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ject\Github\master\"/>
    </mc:Choice>
  </mc:AlternateContent>
  <xr:revisionPtr revIDLastSave="0" documentId="13_ncr:1_{939DB3B2-865E-49B8-8A59-0409A0C0C542}" xr6:coauthVersionLast="47" xr6:coauthVersionMax="47" xr10:uidLastSave="{00000000-0000-0000-0000-000000000000}"/>
  <bookViews>
    <workbookView xWindow="-110" yWindow="-110" windowWidth="19420" windowHeight="10300" tabRatio="759" firstSheet="12" activeTab="16" xr2:uid="{BE8CA7ED-0202-43C3-BCD0-B8D273388A24}"/>
  </bookViews>
  <sheets>
    <sheet name="balance_sheet_annual" sheetId="3" r:id="rId1"/>
    <sheet name="cash_flow_annual" sheetId="6" r:id="rId2"/>
    <sheet name="income_statement_annual" sheetId="7" r:id="rId3"/>
    <sheet name="balance_sheet_quarter" sheetId="8" r:id="rId4"/>
    <sheet name="income_statement_quarter" sheetId="10" r:id="rId5"/>
    <sheet name="cash_flow_quarter" sheetId="9" r:id="rId6"/>
    <sheet name="balance_sheet_annual_filter" sheetId="2" r:id="rId7"/>
    <sheet name="balance_sheet_quarter_filter" sheetId="4" r:id="rId8"/>
    <sheet name="income_statement_annual_filter" sheetId="11" r:id="rId9"/>
    <sheet name="income_statement_quarter_filter" sheetId="12" r:id="rId10"/>
    <sheet name="cash_flow_annual_filter" sheetId="13" r:id="rId11"/>
    <sheet name="cash_flow_quarter_filter" sheetId="14" r:id="rId12"/>
    <sheet name="VNINDEX" sheetId="16" r:id="rId13"/>
    <sheet name="Tresury_2y" sheetId="17" r:id="rId14"/>
    <sheet name="Tresury_10y" sheetId="18" r:id="rId15"/>
    <sheet name="&lt;= SOUCE DATA" sheetId="15" r:id="rId16"/>
    <sheet name="DCF" sheetId="23" r:id="rId17"/>
    <sheet name="NET WORKING ASSET" sheetId="19" r:id="rId18"/>
    <sheet name="FCFF" sheetId="20" r:id="rId19"/>
    <sheet name="FAS" sheetId="21" r:id="rId20"/>
    <sheet name="WACC" sheetId="22" r:id="rId21"/>
    <sheet name="Data Validattion" sheetId="1" r:id="rId22"/>
  </sheets>
  <definedNames>
    <definedName name="_xlnm._FilterDatabase" localSheetId="0" hidden="1">balance_sheet_annual!$A$2:$A$1191</definedName>
    <definedName name="_xlnm._FilterDatabase" localSheetId="12" hidden="1">VNINDEX!$A$1:$I$1</definedName>
    <definedName name="_xlnm.Criteria" localSheetId="6">balance_sheet_annual_filter!#REF!</definedName>
    <definedName name="ExternalData_1" localSheetId="0" hidden="1">balance_sheet_annual!$A$1:$F$1191</definedName>
    <definedName name="ExternalData_1" localSheetId="3" hidden="1">balance_sheet_quarter!$A$1:$R$1191</definedName>
    <definedName name="ExternalData_1" localSheetId="1" hidden="1">'cash_flow_annual'!$A$1:$F$421</definedName>
    <definedName name="ExternalData_1" localSheetId="5" hidden="1">'cash_flow_quarter'!$A$1:$R$421</definedName>
    <definedName name="ExternalData_1" localSheetId="2" hidden="1">income_statement_annual!$A$1:$F$231</definedName>
    <definedName name="ExternalData_2" localSheetId="4" hidden="1">income_statement_quarter!$A$1:$R$231</definedName>
    <definedName name="_xlnm.Extract" localSheetId="0">'Data Validattion'!#REF!</definedName>
    <definedName name="_xlnm.Extract" localSheetId="6">balance_sheet_annual_filter!#REF!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23" l="1"/>
  <c r="I13" i="23" s="1"/>
  <c r="J13" i="23" s="1"/>
  <c r="G13" i="23" l="1"/>
  <c r="F13" i="23" s="1"/>
  <c r="D6" i="2" l="1" a="1"/>
  <c r="D6" i="2" s="1"/>
  <c r="D7" i="2" a="1"/>
  <c r="D7" i="2" s="1"/>
  <c r="E3" i="14"/>
  <c r="F3" i="14"/>
  <c r="G3" i="14"/>
  <c r="H3" i="14"/>
  <c r="I3" i="14"/>
  <c r="J3" i="14"/>
  <c r="K3" i="14"/>
  <c r="L3" i="14"/>
  <c r="M3" i="14"/>
  <c r="N3" i="14"/>
  <c r="O3" i="14"/>
  <c r="P3" i="14"/>
  <c r="Q3" i="14"/>
  <c r="R3" i="14"/>
  <c r="S3" i="14"/>
  <c r="D3" i="14"/>
  <c r="E3" i="13"/>
  <c r="F3" i="13"/>
  <c r="G3" i="13"/>
  <c r="D3" i="13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D3" i="12"/>
  <c r="E3" i="11"/>
  <c r="F3" i="11"/>
  <c r="G3" i="11"/>
  <c r="D3" i="11"/>
  <c r="P3" i="4"/>
  <c r="E3" i="4"/>
  <c r="F3" i="4"/>
  <c r="G3" i="4"/>
  <c r="H3" i="4"/>
  <c r="I3" i="4"/>
  <c r="J3" i="4"/>
  <c r="K3" i="4"/>
  <c r="L3" i="4"/>
  <c r="M3" i="4"/>
  <c r="N3" i="4"/>
  <c r="O3" i="4"/>
  <c r="D3" i="4"/>
  <c r="E3" i="2"/>
  <c r="F3" i="2"/>
  <c r="G3" i="2"/>
  <c r="D3" i="2"/>
  <c r="C4" i="11" a="1"/>
  <c r="C4" i="11" s="1"/>
  <c r="B2" i="14"/>
  <c r="B2" i="13"/>
  <c r="B2" i="12"/>
  <c r="B2" i="11"/>
  <c r="B2" i="4"/>
  <c r="B2" i="2"/>
  <c r="C4" i="13" a="1"/>
  <c r="C4" i="13" s="1"/>
  <c r="C121" i="2" a="1"/>
  <c r="C121" i="2" s="1"/>
  <c r="J30" i="19" l="1"/>
  <c r="J20" i="20"/>
  <c r="J13" i="21"/>
  <c r="C16" i="22"/>
  <c r="C11" i="22"/>
  <c r="E11" i="22" s="1"/>
  <c r="H2" i="16"/>
  <c r="C12" i="22"/>
  <c r="F12" i="22" s="1"/>
  <c r="I2" i="18"/>
  <c r="H2" i="18"/>
  <c r="G2" i="18"/>
  <c r="D50" i="2" a="1"/>
  <c r="D50" i="2" s="1"/>
  <c r="D32" i="2" a="1"/>
  <c r="D32" i="2" s="1"/>
  <c r="D20" i="20"/>
  <c r="E20" i="20"/>
  <c r="F20" i="20"/>
  <c r="G20" i="20"/>
  <c r="H20" i="20"/>
  <c r="I20" i="20"/>
  <c r="C20" i="20"/>
  <c r="D60" i="2" a="1"/>
  <c r="D60" i="2" s="1"/>
  <c r="D4" i="11" a="1"/>
  <c r="D4" i="11" s="1"/>
  <c r="D22" i="2" a="1"/>
  <c r="D22" i="2" s="1"/>
  <c r="C6" i="19" s="1"/>
  <c r="C82" i="4" a="1"/>
  <c r="C82" i="4" s="1"/>
  <c r="L20" i="19"/>
  <c r="M20" i="19"/>
  <c r="N20" i="19"/>
  <c r="O20" i="19"/>
  <c r="P20" i="19"/>
  <c r="Q20" i="19"/>
  <c r="R20" i="19"/>
  <c r="S20" i="19"/>
  <c r="T20" i="19"/>
  <c r="U20" i="19"/>
  <c r="V20" i="19"/>
  <c r="W20" i="19"/>
  <c r="K20" i="19"/>
  <c r="D20" i="19"/>
  <c r="E20" i="19"/>
  <c r="F20" i="19"/>
  <c r="C20" i="19"/>
  <c r="F11" i="22" l="1"/>
  <c r="D11" i="22"/>
  <c r="E12" i="22"/>
  <c r="D12" i="22"/>
  <c r="C13" i="22"/>
  <c r="C83" i="4"/>
  <c r="E13" i="22" l="1"/>
  <c r="E16" i="22" s="1"/>
  <c r="F13" i="22"/>
  <c r="F16" i="22" s="1"/>
  <c r="D13" i="22"/>
  <c r="D16" i="22" s="1"/>
  <c r="C5" i="14" a="1"/>
  <c r="C5" i="14" s="1"/>
  <c r="D5" i="14" a="1"/>
  <c r="D5" i="14" s="1"/>
  <c r="E5" i="14" a="1"/>
  <c r="E5" i="14" s="1"/>
  <c r="F5" i="14" a="1"/>
  <c r="F5" i="14" s="1"/>
  <c r="G5" i="14" a="1"/>
  <c r="G5" i="14" s="1"/>
  <c r="H5" i="14" a="1"/>
  <c r="H5" i="14" s="1"/>
  <c r="I5" i="14" a="1"/>
  <c r="I5" i="14" s="1"/>
  <c r="J5" i="14" a="1"/>
  <c r="J5" i="14" s="1"/>
  <c r="K5" i="14" a="1"/>
  <c r="K5" i="14" s="1"/>
  <c r="L5" i="14" a="1"/>
  <c r="L5" i="14" s="1"/>
  <c r="M5" i="14" a="1"/>
  <c r="M5" i="14" s="1"/>
  <c r="N5" i="14" a="1"/>
  <c r="N5" i="14" s="1"/>
  <c r="O5" i="14" a="1"/>
  <c r="O5" i="14" s="1"/>
  <c r="P5" i="14" a="1"/>
  <c r="P5" i="14" s="1"/>
  <c r="Q5" i="14" a="1"/>
  <c r="Q5" i="14" s="1"/>
  <c r="R5" i="14" a="1"/>
  <c r="R5" i="14" s="1"/>
  <c r="S5" i="14" a="1"/>
  <c r="S5" i="14" s="1"/>
  <c r="C6" i="14" a="1"/>
  <c r="C6" i="14" s="1"/>
  <c r="D6" i="14" a="1"/>
  <c r="D6" i="14" s="1"/>
  <c r="E6" i="14" a="1"/>
  <c r="E6" i="14" s="1"/>
  <c r="F6" i="14" a="1"/>
  <c r="F6" i="14" s="1"/>
  <c r="G6" i="14" a="1"/>
  <c r="G6" i="14" s="1"/>
  <c r="H6" i="14" a="1"/>
  <c r="H6" i="14" s="1"/>
  <c r="I6" i="14" a="1"/>
  <c r="I6" i="14" s="1"/>
  <c r="J6" i="14" a="1"/>
  <c r="J6" i="14" s="1"/>
  <c r="K6" i="14" a="1"/>
  <c r="K6" i="14" s="1"/>
  <c r="L6" i="14" a="1"/>
  <c r="L6" i="14" s="1"/>
  <c r="M6" i="14" a="1"/>
  <c r="M6" i="14" s="1"/>
  <c r="N6" i="14" a="1"/>
  <c r="N6" i="14" s="1"/>
  <c r="O6" i="14" a="1"/>
  <c r="O6" i="14" s="1"/>
  <c r="P6" i="14" a="1"/>
  <c r="P6" i="14" s="1"/>
  <c r="Q6" i="14" a="1"/>
  <c r="Q6" i="14" s="1"/>
  <c r="R6" i="14" a="1"/>
  <c r="R6" i="14" s="1"/>
  <c r="S6" i="14" a="1"/>
  <c r="S6" i="14" s="1"/>
  <c r="C7" i="14" a="1"/>
  <c r="C7" i="14" s="1"/>
  <c r="D7" i="14" a="1"/>
  <c r="D7" i="14" s="1"/>
  <c r="K6" i="21" s="1"/>
  <c r="E7" i="14" a="1"/>
  <c r="E7" i="14" s="1"/>
  <c r="L6" i="21" s="1"/>
  <c r="L12" i="20" s="1"/>
  <c r="F7" i="14" a="1"/>
  <c r="F7" i="14" s="1"/>
  <c r="M6" i="21" s="1"/>
  <c r="M12" i="20" s="1"/>
  <c r="G7" i="14" a="1"/>
  <c r="G7" i="14" s="1"/>
  <c r="N6" i="21" s="1"/>
  <c r="N12" i="20" s="1"/>
  <c r="H7" i="14" a="1"/>
  <c r="H7" i="14" s="1"/>
  <c r="O6" i="21" s="1"/>
  <c r="O12" i="20" s="1"/>
  <c r="I7" i="14" a="1"/>
  <c r="I7" i="14" s="1"/>
  <c r="P6" i="21" s="1"/>
  <c r="P12" i="20" s="1"/>
  <c r="J7" i="14" a="1"/>
  <c r="J7" i="14" s="1"/>
  <c r="Q6" i="21" s="1"/>
  <c r="Q12" i="20" s="1"/>
  <c r="K7" i="14" a="1"/>
  <c r="K7" i="14" s="1"/>
  <c r="R6" i="21" s="1"/>
  <c r="R12" i="20" s="1"/>
  <c r="L7" i="14" a="1"/>
  <c r="L7" i="14" s="1"/>
  <c r="S6" i="21" s="1"/>
  <c r="S12" i="20" s="1"/>
  <c r="M7" i="14" a="1"/>
  <c r="M7" i="14" s="1"/>
  <c r="T6" i="21" s="1"/>
  <c r="T12" i="20" s="1"/>
  <c r="N7" i="14" a="1"/>
  <c r="N7" i="14" s="1"/>
  <c r="U6" i="21" s="1"/>
  <c r="U12" i="20" s="1"/>
  <c r="O7" i="14" a="1"/>
  <c r="O7" i="14" s="1"/>
  <c r="V6" i="21" s="1"/>
  <c r="V12" i="20" s="1"/>
  <c r="P7" i="14" a="1"/>
  <c r="P7" i="14" s="1"/>
  <c r="W6" i="21" s="1"/>
  <c r="W12" i="20" s="1"/>
  <c r="Q7" i="14" a="1"/>
  <c r="Q7" i="14" s="1"/>
  <c r="R7" i="14" a="1"/>
  <c r="R7" i="14" s="1"/>
  <c r="S7" i="14" a="1"/>
  <c r="S7" i="14" s="1"/>
  <c r="C8" i="14" a="1"/>
  <c r="C8" i="14" s="1"/>
  <c r="D8" i="14" a="1"/>
  <c r="D8" i="14" s="1"/>
  <c r="E8" i="14" a="1"/>
  <c r="E8" i="14" s="1"/>
  <c r="F8" i="14" a="1"/>
  <c r="F8" i="14" s="1"/>
  <c r="G8" i="14" a="1"/>
  <c r="G8" i="14" s="1"/>
  <c r="H8" i="14" a="1"/>
  <c r="H8" i="14" s="1"/>
  <c r="I8" i="14" a="1"/>
  <c r="I8" i="14" s="1"/>
  <c r="J8" i="14" a="1"/>
  <c r="J8" i="14" s="1"/>
  <c r="K8" i="14" a="1"/>
  <c r="K8" i="14" s="1"/>
  <c r="L8" i="14" a="1"/>
  <c r="L8" i="14" s="1"/>
  <c r="M8" i="14" a="1"/>
  <c r="M8" i="14" s="1"/>
  <c r="N8" i="14" a="1"/>
  <c r="N8" i="14" s="1"/>
  <c r="O8" i="14" a="1"/>
  <c r="O8" i="14" s="1"/>
  <c r="P8" i="14" a="1"/>
  <c r="P8" i="14" s="1"/>
  <c r="Q8" i="14" a="1"/>
  <c r="Q8" i="14" s="1"/>
  <c r="R8" i="14" a="1"/>
  <c r="R8" i="14" s="1"/>
  <c r="S8" i="14" a="1"/>
  <c r="S8" i="14" s="1"/>
  <c r="C9" i="14" a="1"/>
  <c r="C9" i="14" s="1"/>
  <c r="D9" i="14" a="1"/>
  <c r="D9" i="14" s="1"/>
  <c r="E9" i="14" a="1"/>
  <c r="E9" i="14" s="1"/>
  <c r="F9" i="14" a="1"/>
  <c r="F9" i="14" s="1"/>
  <c r="G9" i="14" a="1"/>
  <c r="G9" i="14" s="1"/>
  <c r="H9" i="14" a="1"/>
  <c r="H9" i="14" s="1"/>
  <c r="I9" i="14" a="1"/>
  <c r="I9" i="14" s="1"/>
  <c r="J9" i="14" a="1"/>
  <c r="J9" i="14" s="1"/>
  <c r="K9" i="14" a="1"/>
  <c r="K9" i="14" s="1"/>
  <c r="L9" i="14" a="1"/>
  <c r="L9" i="14" s="1"/>
  <c r="M9" i="14" a="1"/>
  <c r="M9" i="14" s="1"/>
  <c r="N9" i="14" a="1"/>
  <c r="N9" i="14" s="1"/>
  <c r="O9" i="14" a="1"/>
  <c r="O9" i="14" s="1"/>
  <c r="P9" i="14" a="1"/>
  <c r="P9" i="14" s="1"/>
  <c r="Q9" i="14" a="1"/>
  <c r="Q9" i="14" s="1"/>
  <c r="R9" i="14" a="1"/>
  <c r="R9" i="14" s="1"/>
  <c r="S9" i="14" a="1"/>
  <c r="S9" i="14" s="1"/>
  <c r="C10" i="14" a="1"/>
  <c r="C10" i="14" s="1"/>
  <c r="D10" i="14" a="1"/>
  <c r="D10" i="14" s="1"/>
  <c r="E10" i="14" a="1"/>
  <c r="E10" i="14" s="1"/>
  <c r="F10" i="14" a="1"/>
  <c r="F10" i="14" s="1"/>
  <c r="G10" i="14" a="1"/>
  <c r="G10" i="14" s="1"/>
  <c r="H10" i="14" a="1"/>
  <c r="H10" i="14" s="1"/>
  <c r="I10" i="14" a="1"/>
  <c r="I10" i="14" s="1"/>
  <c r="J10" i="14" a="1"/>
  <c r="J10" i="14" s="1"/>
  <c r="K10" i="14" a="1"/>
  <c r="K10" i="14" s="1"/>
  <c r="L10" i="14" a="1"/>
  <c r="L10" i="14" s="1"/>
  <c r="M10" i="14" a="1"/>
  <c r="M10" i="14" s="1"/>
  <c r="N10" i="14" a="1"/>
  <c r="N10" i="14" s="1"/>
  <c r="O10" i="14" a="1"/>
  <c r="O10" i="14" s="1"/>
  <c r="P10" i="14" a="1"/>
  <c r="P10" i="14" s="1"/>
  <c r="Q10" i="14" a="1"/>
  <c r="Q10" i="14" s="1"/>
  <c r="R10" i="14" a="1"/>
  <c r="R10" i="14" s="1"/>
  <c r="S10" i="14" a="1"/>
  <c r="S10" i="14" s="1"/>
  <c r="C11" i="14" a="1"/>
  <c r="C11" i="14" s="1"/>
  <c r="D11" i="14" a="1"/>
  <c r="D11" i="14" s="1"/>
  <c r="E11" i="14" a="1"/>
  <c r="E11" i="14" s="1"/>
  <c r="F11" i="14" a="1"/>
  <c r="F11" i="14" s="1"/>
  <c r="G11" i="14" a="1"/>
  <c r="G11" i="14" s="1"/>
  <c r="H11" i="14" a="1"/>
  <c r="H11" i="14" s="1"/>
  <c r="I11" i="14" a="1"/>
  <c r="I11" i="14" s="1"/>
  <c r="J11" i="14" a="1"/>
  <c r="J11" i="14" s="1"/>
  <c r="K11" i="14" a="1"/>
  <c r="K11" i="14" s="1"/>
  <c r="L11" i="14" a="1"/>
  <c r="L11" i="14" s="1"/>
  <c r="M11" i="14" a="1"/>
  <c r="M11" i="14" s="1"/>
  <c r="N11" i="14" a="1"/>
  <c r="N11" i="14" s="1"/>
  <c r="O11" i="14" a="1"/>
  <c r="O11" i="14" s="1"/>
  <c r="P11" i="14" a="1"/>
  <c r="P11" i="14" s="1"/>
  <c r="Q11" i="14" a="1"/>
  <c r="Q11" i="14" s="1"/>
  <c r="R11" i="14" a="1"/>
  <c r="R11" i="14" s="1"/>
  <c r="S11" i="14" a="1"/>
  <c r="S11" i="14" s="1"/>
  <c r="C12" i="14" a="1"/>
  <c r="C12" i="14" s="1"/>
  <c r="D12" i="14" a="1"/>
  <c r="D12" i="14" s="1"/>
  <c r="E12" i="14" a="1"/>
  <c r="E12" i="14" s="1"/>
  <c r="F12" i="14" a="1"/>
  <c r="F12" i="14" s="1"/>
  <c r="G12" i="14" a="1"/>
  <c r="G12" i="14" s="1"/>
  <c r="H12" i="14" a="1"/>
  <c r="H12" i="14" s="1"/>
  <c r="I12" i="14" a="1"/>
  <c r="I12" i="14" s="1"/>
  <c r="J12" i="14" a="1"/>
  <c r="J12" i="14" s="1"/>
  <c r="K12" i="14" a="1"/>
  <c r="K12" i="14" s="1"/>
  <c r="L12" i="14" a="1"/>
  <c r="L12" i="14" s="1"/>
  <c r="M12" i="14" a="1"/>
  <c r="M12" i="14" s="1"/>
  <c r="N12" i="14" a="1"/>
  <c r="N12" i="14" s="1"/>
  <c r="O12" i="14" a="1"/>
  <c r="O12" i="14" s="1"/>
  <c r="P12" i="14" a="1"/>
  <c r="P12" i="14" s="1"/>
  <c r="Q12" i="14" a="1"/>
  <c r="Q12" i="14" s="1"/>
  <c r="R12" i="14" a="1"/>
  <c r="R12" i="14" s="1"/>
  <c r="S12" i="14" a="1"/>
  <c r="S12" i="14" s="1"/>
  <c r="C13" i="14" a="1"/>
  <c r="C13" i="14" s="1"/>
  <c r="D13" i="14" a="1"/>
  <c r="D13" i="14" s="1"/>
  <c r="E13" i="14" a="1"/>
  <c r="E13" i="14" s="1"/>
  <c r="F13" i="14" a="1"/>
  <c r="F13" i="14" s="1"/>
  <c r="G13" i="14" a="1"/>
  <c r="G13" i="14" s="1"/>
  <c r="H13" i="14" a="1"/>
  <c r="H13" i="14" s="1"/>
  <c r="I13" i="14" a="1"/>
  <c r="I13" i="14" s="1"/>
  <c r="J13" i="14" a="1"/>
  <c r="J13" i="14" s="1"/>
  <c r="K13" i="14" a="1"/>
  <c r="K13" i="14" s="1"/>
  <c r="L13" i="14" a="1"/>
  <c r="L13" i="14" s="1"/>
  <c r="M13" i="14" a="1"/>
  <c r="M13" i="14" s="1"/>
  <c r="N13" i="14" a="1"/>
  <c r="N13" i="14" s="1"/>
  <c r="O13" i="14" a="1"/>
  <c r="O13" i="14" s="1"/>
  <c r="P13" i="14" a="1"/>
  <c r="P13" i="14" s="1"/>
  <c r="Q13" i="14" a="1"/>
  <c r="Q13" i="14" s="1"/>
  <c r="R13" i="14" a="1"/>
  <c r="R13" i="14" s="1"/>
  <c r="S13" i="14" a="1"/>
  <c r="S13" i="14" s="1"/>
  <c r="C14" i="14" a="1"/>
  <c r="C14" i="14" s="1"/>
  <c r="D14" i="14" a="1"/>
  <c r="D14" i="14" s="1"/>
  <c r="E14" i="14" a="1"/>
  <c r="E14" i="14" s="1"/>
  <c r="F14" i="14" a="1"/>
  <c r="F14" i="14" s="1"/>
  <c r="G14" i="14" a="1"/>
  <c r="G14" i="14" s="1"/>
  <c r="H14" i="14" a="1"/>
  <c r="H14" i="14" s="1"/>
  <c r="I14" i="14" a="1"/>
  <c r="I14" i="14" s="1"/>
  <c r="J14" i="14" a="1"/>
  <c r="J14" i="14" s="1"/>
  <c r="K14" i="14" a="1"/>
  <c r="K14" i="14" s="1"/>
  <c r="L14" i="14" a="1"/>
  <c r="L14" i="14" s="1"/>
  <c r="M14" i="14" a="1"/>
  <c r="M14" i="14" s="1"/>
  <c r="N14" i="14" a="1"/>
  <c r="N14" i="14" s="1"/>
  <c r="O14" i="14" a="1"/>
  <c r="O14" i="14" s="1"/>
  <c r="P14" i="14" a="1"/>
  <c r="P14" i="14" s="1"/>
  <c r="Q14" i="14" a="1"/>
  <c r="Q14" i="14" s="1"/>
  <c r="R14" i="14" a="1"/>
  <c r="R14" i="14" s="1"/>
  <c r="S14" i="14" a="1"/>
  <c r="S14" i="14" s="1"/>
  <c r="C15" i="14" a="1"/>
  <c r="C15" i="14" s="1"/>
  <c r="D15" i="14" a="1"/>
  <c r="D15" i="14" s="1"/>
  <c r="E15" i="14" a="1"/>
  <c r="E15" i="14" s="1"/>
  <c r="F15" i="14" a="1"/>
  <c r="F15" i="14" s="1"/>
  <c r="G15" i="14" a="1"/>
  <c r="G15" i="14" s="1"/>
  <c r="H15" i="14" a="1"/>
  <c r="H15" i="14" s="1"/>
  <c r="I15" i="14" a="1"/>
  <c r="I15" i="14" s="1"/>
  <c r="J15" i="14" a="1"/>
  <c r="J15" i="14" s="1"/>
  <c r="K15" i="14" a="1"/>
  <c r="K15" i="14" s="1"/>
  <c r="L15" i="14" a="1"/>
  <c r="L15" i="14" s="1"/>
  <c r="M15" i="14" a="1"/>
  <c r="M15" i="14" s="1"/>
  <c r="N15" i="14" a="1"/>
  <c r="N15" i="14" s="1"/>
  <c r="O15" i="14" a="1"/>
  <c r="O15" i="14" s="1"/>
  <c r="P15" i="14" a="1"/>
  <c r="P15" i="14" s="1"/>
  <c r="Q15" i="14" a="1"/>
  <c r="Q15" i="14" s="1"/>
  <c r="R15" i="14" a="1"/>
  <c r="R15" i="14" s="1"/>
  <c r="S15" i="14" a="1"/>
  <c r="S15" i="14" s="1"/>
  <c r="C16" i="14" a="1"/>
  <c r="C16" i="14" s="1"/>
  <c r="D16" i="14" a="1"/>
  <c r="D16" i="14" s="1"/>
  <c r="E16" i="14" a="1"/>
  <c r="E16" i="14" s="1"/>
  <c r="F16" i="14" a="1"/>
  <c r="F16" i="14" s="1"/>
  <c r="G16" i="14" a="1"/>
  <c r="G16" i="14" s="1"/>
  <c r="H16" i="14" a="1"/>
  <c r="H16" i="14" s="1"/>
  <c r="I16" i="14" a="1"/>
  <c r="I16" i="14" s="1"/>
  <c r="J16" i="14" a="1"/>
  <c r="J16" i="14" s="1"/>
  <c r="K16" i="14" a="1"/>
  <c r="K16" i="14" s="1"/>
  <c r="L16" i="14" a="1"/>
  <c r="L16" i="14" s="1"/>
  <c r="M16" i="14" a="1"/>
  <c r="M16" i="14" s="1"/>
  <c r="N16" i="14" a="1"/>
  <c r="N16" i="14" s="1"/>
  <c r="O16" i="14" a="1"/>
  <c r="O16" i="14" s="1"/>
  <c r="P16" i="14" a="1"/>
  <c r="P16" i="14" s="1"/>
  <c r="Q16" i="14" a="1"/>
  <c r="Q16" i="14" s="1"/>
  <c r="R16" i="14" a="1"/>
  <c r="R16" i="14" s="1"/>
  <c r="S16" i="14" a="1"/>
  <c r="S16" i="14" s="1"/>
  <c r="C17" i="14" a="1"/>
  <c r="C17" i="14" s="1"/>
  <c r="D17" i="14" a="1"/>
  <c r="D17" i="14" s="1"/>
  <c r="E17" i="14" a="1"/>
  <c r="E17" i="14" s="1"/>
  <c r="F17" i="14" a="1"/>
  <c r="F17" i="14" s="1"/>
  <c r="G17" i="14" a="1"/>
  <c r="G17" i="14" s="1"/>
  <c r="H17" i="14" a="1"/>
  <c r="H17" i="14" s="1"/>
  <c r="I17" i="14" a="1"/>
  <c r="I17" i="14" s="1"/>
  <c r="J17" i="14" a="1"/>
  <c r="J17" i="14" s="1"/>
  <c r="K17" i="14" a="1"/>
  <c r="K17" i="14" s="1"/>
  <c r="L17" i="14" a="1"/>
  <c r="L17" i="14" s="1"/>
  <c r="M17" i="14" a="1"/>
  <c r="M17" i="14" s="1"/>
  <c r="N17" i="14" a="1"/>
  <c r="N17" i="14" s="1"/>
  <c r="O17" i="14" a="1"/>
  <c r="O17" i="14" s="1"/>
  <c r="P17" i="14" a="1"/>
  <c r="P17" i="14" s="1"/>
  <c r="Q17" i="14" a="1"/>
  <c r="Q17" i="14" s="1"/>
  <c r="R17" i="14" a="1"/>
  <c r="R17" i="14" s="1"/>
  <c r="S17" i="14" a="1"/>
  <c r="S17" i="14" s="1"/>
  <c r="C18" i="14" a="1"/>
  <c r="C18" i="14" s="1"/>
  <c r="D18" i="14" a="1"/>
  <c r="D18" i="14" s="1"/>
  <c r="E18" i="14" a="1"/>
  <c r="E18" i="14" s="1"/>
  <c r="F18" i="14" a="1"/>
  <c r="F18" i="14" s="1"/>
  <c r="G18" i="14" a="1"/>
  <c r="G18" i="14" s="1"/>
  <c r="H18" i="14" a="1"/>
  <c r="H18" i="14" s="1"/>
  <c r="I18" i="14" a="1"/>
  <c r="I18" i="14" s="1"/>
  <c r="J18" i="14" a="1"/>
  <c r="J18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P18" i="14" a="1"/>
  <c r="P18" i="14" s="1"/>
  <c r="Q18" i="14" a="1"/>
  <c r="Q18" i="14" s="1"/>
  <c r="R18" i="14" a="1"/>
  <c r="R18" i="14" s="1"/>
  <c r="S18" i="14" a="1"/>
  <c r="S18" i="14" s="1"/>
  <c r="C19" i="14" a="1"/>
  <c r="C19" i="14" s="1"/>
  <c r="D19" i="14" a="1"/>
  <c r="D19" i="14" s="1"/>
  <c r="E19" i="14" a="1"/>
  <c r="E19" i="14" s="1"/>
  <c r="F19" i="14" a="1"/>
  <c r="F19" i="14" s="1"/>
  <c r="G19" i="14" a="1"/>
  <c r="G19" i="14" s="1"/>
  <c r="H19" i="14" a="1"/>
  <c r="H19" i="14" s="1"/>
  <c r="I19" i="14" a="1"/>
  <c r="I19" i="14" s="1"/>
  <c r="J19" i="14" a="1"/>
  <c r="J19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P19" i="14" a="1"/>
  <c r="P19" i="14" s="1"/>
  <c r="Q19" i="14" a="1"/>
  <c r="Q19" i="14" s="1"/>
  <c r="R19" i="14" a="1"/>
  <c r="R19" i="14" s="1"/>
  <c r="S19" i="14" a="1"/>
  <c r="S19" i="14" s="1"/>
  <c r="C20" i="14" a="1"/>
  <c r="C20" i="14" s="1"/>
  <c r="D20" i="14" a="1"/>
  <c r="D20" i="14" s="1"/>
  <c r="E20" i="14" a="1"/>
  <c r="E20" i="14" s="1"/>
  <c r="F20" i="14" a="1"/>
  <c r="F20" i="14" s="1"/>
  <c r="G20" i="14" a="1"/>
  <c r="G20" i="14" s="1"/>
  <c r="H20" i="14" a="1"/>
  <c r="H20" i="14" s="1"/>
  <c r="I20" i="14" a="1"/>
  <c r="I20" i="14" s="1"/>
  <c r="J20" i="14" a="1"/>
  <c r="J20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P20" i="14" a="1"/>
  <c r="P20" i="14" s="1"/>
  <c r="Q20" i="14" a="1"/>
  <c r="Q20" i="14" s="1"/>
  <c r="R20" i="14" a="1"/>
  <c r="R20" i="14" s="1"/>
  <c r="S20" i="14" a="1"/>
  <c r="S20" i="14" s="1"/>
  <c r="C21" i="14" a="1"/>
  <c r="C21" i="14" s="1"/>
  <c r="D21" i="14" a="1"/>
  <c r="D21" i="14" s="1"/>
  <c r="E21" i="14" a="1"/>
  <c r="E21" i="14" s="1"/>
  <c r="F21" i="14" a="1"/>
  <c r="F21" i="14" s="1"/>
  <c r="G21" i="14" a="1"/>
  <c r="G21" i="14" s="1"/>
  <c r="H21" i="14" a="1"/>
  <c r="H21" i="14" s="1"/>
  <c r="I21" i="14" a="1"/>
  <c r="I21" i="14" s="1"/>
  <c r="J21" i="14" a="1"/>
  <c r="J21" i="14" s="1"/>
  <c r="K21" i="14" a="1"/>
  <c r="K21" i="14" s="1"/>
  <c r="L21" i="14" a="1"/>
  <c r="L21" i="14" s="1"/>
  <c r="M21" i="14" a="1"/>
  <c r="M21" i="14" s="1"/>
  <c r="N21" i="14" a="1"/>
  <c r="N21" i="14" s="1"/>
  <c r="O21" i="14" a="1"/>
  <c r="O21" i="14" s="1"/>
  <c r="P21" i="14" a="1"/>
  <c r="P21" i="14" s="1"/>
  <c r="Q21" i="14" a="1"/>
  <c r="Q21" i="14" s="1"/>
  <c r="R21" i="14" a="1"/>
  <c r="R21" i="14" s="1"/>
  <c r="S21" i="14" a="1"/>
  <c r="S21" i="14" s="1"/>
  <c r="C22" i="14" a="1"/>
  <c r="C22" i="14" s="1"/>
  <c r="D22" i="14" a="1"/>
  <c r="D22" i="14" s="1"/>
  <c r="E22" i="14" a="1"/>
  <c r="E22" i="14" s="1"/>
  <c r="F22" i="14" a="1"/>
  <c r="F22" i="14" s="1"/>
  <c r="G22" i="14" a="1"/>
  <c r="G22" i="14" s="1"/>
  <c r="H22" i="14" a="1"/>
  <c r="H22" i="14" s="1"/>
  <c r="I22" i="14" a="1"/>
  <c r="I22" i="14" s="1"/>
  <c r="J22" i="14" a="1"/>
  <c r="J22" i="14" s="1"/>
  <c r="K22" i="14" a="1"/>
  <c r="K22" i="14" s="1"/>
  <c r="L22" i="14" a="1"/>
  <c r="L22" i="14" s="1"/>
  <c r="M22" i="14" a="1"/>
  <c r="M22" i="14" s="1"/>
  <c r="N22" i="14" a="1"/>
  <c r="N22" i="14" s="1"/>
  <c r="O22" i="14" a="1"/>
  <c r="O22" i="14" s="1"/>
  <c r="P22" i="14" a="1"/>
  <c r="P22" i="14" s="1"/>
  <c r="Q22" i="14" a="1"/>
  <c r="Q22" i="14" s="1"/>
  <c r="R22" i="14" a="1"/>
  <c r="R22" i="14" s="1"/>
  <c r="S22" i="14" a="1"/>
  <c r="S22" i="14" s="1"/>
  <c r="C23" i="14" a="1"/>
  <c r="C23" i="14" s="1"/>
  <c r="D23" i="14" a="1"/>
  <c r="D23" i="14" s="1"/>
  <c r="E23" i="14" a="1"/>
  <c r="E23" i="14" s="1"/>
  <c r="F23" i="14" a="1"/>
  <c r="F23" i="14" s="1"/>
  <c r="G23" i="14" a="1"/>
  <c r="G23" i="14" s="1"/>
  <c r="H23" i="14" a="1"/>
  <c r="H23" i="14" s="1"/>
  <c r="I23" i="14" a="1"/>
  <c r="I23" i="14" s="1"/>
  <c r="J23" i="14" a="1"/>
  <c r="J23" i="14" s="1"/>
  <c r="K23" i="14" a="1"/>
  <c r="K23" i="14" s="1"/>
  <c r="L23" i="14" a="1"/>
  <c r="L23" i="14" s="1"/>
  <c r="M23" i="14" a="1"/>
  <c r="M23" i="14" s="1"/>
  <c r="N23" i="14" a="1"/>
  <c r="N23" i="14" s="1"/>
  <c r="O23" i="14" a="1"/>
  <c r="O23" i="14" s="1"/>
  <c r="P23" i="14" a="1"/>
  <c r="P23" i="14" s="1"/>
  <c r="Q23" i="14" a="1"/>
  <c r="Q23" i="14" s="1"/>
  <c r="R23" i="14" a="1"/>
  <c r="R23" i="14" s="1"/>
  <c r="S23" i="14" a="1"/>
  <c r="S23" i="14" s="1"/>
  <c r="C24" i="14" a="1"/>
  <c r="C24" i="14" s="1"/>
  <c r="D24" i="14" a="1"/>
  <c r="D24" i="14" s="1"/>
  <c r="E24" i="14" a="1"/>
  <c r="E24" i="14" s="1"/>
  <c r="F24" i="14" a="1"/>
  <c r="F24" i="14" s="1"/>
  <c r="G24" i="14" a="1"/>
  <c r="G24" i="14" s="1"/>
  <c r="H24" i="14" a="1"/>
  <c r="H24" i="14" s="1"/>
  <c r="I24" i="14" a="1"/>
  <c r="I24" i="14" s="1"/>
  <c r="J24" i="14" a="1"/>
  <c r="J24" i="14" s="1"/>
  <c r="K24" i="14" a="1"/>
  <c r="K24" i="14" s="1"/>
  <c r="L24" i="14" a="1"/>
  <c r="L24" i="14" s="1"/>
  <c r="M24" i="14" a="1"/>
  <c r="M24" i="14" s="1"/>
  <c r="N24" i="14" a="1"/>
  <c r="N24" i="14" s="1"/>
  <c r="O24" i="14" a="1"/>
  <c r="O24" i="14" s="1"/>
  <c r="P24" i="14" a="1"/>
  <c r="P24" i="14" s="1"/>
  <c r="Q24" i="14" a="1"/>
  <c r="Q24" i="14" s="1"/>
  <c r="R24" i="14" a="1"/>
  <c r="R24" i="14" s="1"/>
  <c r="S24" i="14" a="1"/>
  <c r="S24" i="14" s="1"/>
  <c r="C25" i="14" a="1"/>
  <c r="C25" i="14" s="1"/>
  <c r="D25" i="14" a="1"/>
  <c r="D25" i="14" s="1"/>
  <c r="E25" i="14" a="1"/>
  <c r="E25" i="14" s="1"/>
  <c r="F25" i="14" a="1"/>
  <c r="F25" i="14" s="1"/>
  <c r="G25" i="14" a="1"/>
  <c r="G25" i="14" s="1"/>
  <c r="H25" i="14" a="1"/>
  <c r="H25" i="14" s="1"/>
  <c r="I25" i="14" a="1"/>
  <c r="I25" i="14" s="1"/>
  <c r="J25" i="14" a="1"/>
  <c r="J25" i="14" s="1"/>
  <c r="K25" i="14" a="1"/>
  <c r="K25" i="14" s="1"/>
  <c r="L25" i="14" a="1"/>
  <c r="L25" i="14" s="1"/>
  <c r="M25" i="14" a="1"/>
  <c r="M25" i="14" s="1"/>
  <c r="N25" i="14" a="1"/>
  <c r="N25" i="14" s="1"/>
  <c r="O25" i="14" a="1"/>
  <c r="O25" i="14" s="1"/>
  <c r="P25" i="14" a="1"/>
  <c r="P25" i="14" s="1"/>
  <c r="Q25" i="14" a="1"/>
  <c r="Q25" i="14" s="1"/>
  <c r="R25" i="14" a="1"/>
  <c r="R25" i="14" s="1"/>
  <c r="S25" i="14" a="1"/>
  <c r="S25" i="14" s="1"/>
  <c r="C26" i="14" a="1"/>
  <c r="C26" i="14" s="1"/>
  <c r="D26" i="14" a="1"/>
  <c r="D26" i="14" s="1"/>
  <c r="E26" i="14" a="1"/>
  <c r="E26" i="14" s="1"/>
  <c r="F26" i="14" a="1"/>
  <c r="F26" i="14" s="1"/>
  <c r="G26" i="14" a="1"/>
  <c r="G26" i="14" s="1"/>
  <c r="H26" i="14" a="1"/>
  <c r="H26" i="14" s="1"/>
  <c r="I26" i="14" a="1"/>
  <c r="I26" i="14" s="1"/>
  <c r="J26" i="14" a="1"/>
  <c r="J26" i="14" s="1"/>
  <c r="K26" i="14" a="1"/>
  <c r="K26" i="14" s="1"/>
  <c r="L26" i="14" a="1"/>
  <c r="L26" i="14" s="1"/>
  <c r="M26" i="14" a="1"/>
  <c r="M26" i="14" s="1"/>
  <c r="N26" i="14" a="1"/>
  <c r="N26" i="14" s="1"/>
  <c r="O26" i="14" a="1"/>
  <c r="O26" i="14" s="1"/>
  <c r="P26" i="14" a="1"/>
  <c r="P26" i="14" s="1"/>
  <c r="Q26" i="14" a="1"/>
  <c r="Q26" i="14" s="1"/>
  <c r="R26" i="14" a="1"/>
  <c r="R26" i="14" s="1"/>
  <c r="S26" i="14" a="1"/>
  <c r="S26" i="14" s="1"/>
  <c r="C27" i="14" a="1"/>
  <c r="C27" i="14" s="1"/>
  <c r="D27" i="14" a="1"/>
  <c r="D27" i="14" s="1"/>
  <c r="E27" i="14" a="1"/>
  <c r="E27" i="14" s="1"/>
  <c r="F27" i="14" a="1"/>
  <c r="F27" i="14" s="1"/>
  <c r="G27" i="14" a="1"/>
  <c r="G27" i="14" s="1"/>
  <c r="H27" i="14" a="1"/>
  <c r="H27" i="14" s="1"/>
  <c r="I27" i="14" a="1"/>
  <c r="I27" i="14" s="1"/>
  <c r="J27" i="14" a="1"/>
  <c r="J27" i="14" s="1"/>
  <c r="K27" i="14" a="1"/>
  <c r="K27" i="14" s="1"/>
  <c r="L27" i="14" a="1"/>
  <c r="L27" i="14" s="1"/>
  <c r="M27" i="14" a="1"/>
  <c r="M27" i="14" s="1"/>
  <c r="N27" i="14" a="1"/>
  <c r="N27" i="14" s="1"/>
  <c r="O27" i="14" a="1"/>
  <c r="O27" i="14" s="1"/>
  <c r="P27" i="14" a="1"/>
  <c r="P27" i="14" s="1"/>
  <c r="Q27" i="14" a="1"/>
  <c r="Q27" i="14" s="1"/>
  <c r="R27" i="14" a="1"/>
  <c r="R27" i="14" s="1"/>
  <c r="S27" i="14" a="1"/>
  <c r="S27" i="14" s="1"/>
  <c r="C28" i="14" a="1"/>
  <c r="C28" i="14" s="1"/>
  <c r="D28" i="14" a="1"/>
  <c r="D28" i="14" s="1"/>
  <c r="E28" i="14" a="1"/>
  <c r="E28" i="14" s="1"/>
  <c r="F28" i="14" a="1"/>
  <c r="F28" i="14" s="1"/>
  <c r="G28" i="14" a="1"/>
  <c r="G28" i="14" s="1"/>
  <c r="H28" i="14" a="1"/>
  <c r="H28" i="14" s="1"/>
  <c r="I28" i="14" a="1"/>
  <c r="I28" i="14" s="1"/>
  <c r="J28" i="14" a="1"/>
  <c r="J28" i="14" s="1"/>
  <c r="K28" i="14" a="1"/>
  <c r="K28" i="14" s="1"/>
  <c r="L28" i="14" a="1"/>
  <c r="L28" i="14" s="1"/>
  <c r="M28" i="14" a="1"/>
  <c r="M28" i="14" s="1"/>
  <c r="N28" i="14" a="1"/>
  <c r="N28" i="14" s="1"/>
  <c r="O28" i="14" a="1"/>
  <c r="O28" i="14" s="1"/>
  <c r="P28" i="14" a="1"/>
  <c r="P28" i="14" s="1"/>
  <c r="Q28" i="14" a="1"/>
  <c r="Q28" i="14" s="1"/>
  <c r="R28" i="14" a="1"/>
  <c r="R28" i="14" s="1"/>
  <c r="S28" i="14" a="1"/>
  <c r="S28" i="14" s="1"/>
  <c r="C29" i="14" a="1"/>
  <c r="C29" i="14" s="1"/>
  <c r="D29" i="14" a="1"/>
  <c r="D29" i="14" s="1"/>
  <c r="E29" i="14" a="1"/>
  <c r="E29" i="14" s="1"/>
  <c r="F29" i="14" a="1"/>
  <c r="F29" i="14" s="1"/>
  <c r="G29" i="14" a="1"/>
  <c r="G29" i="14" s="1"/>
  <c r="H29" i="14" a="1"/>
  <c r="H29" i="14" s="1"/>
  <c r="I29" i="14" a="1"/>
  <c r="I29" i="14" s="1"/>
  <c r="J29" i="14" a="1"/>
  <c r="J29" i="14" s="1"/>
  <c r="K29" i="14" a="1"/>
  <c r="K29" i="14" s="1"/>
  <c r="L29" i="14" a="1"/>
  <c r="L29" i="14" s="1"/>
  <c r="M29" i="14" a="1"/>
  <c r="M29" i="14" s="1"/>
  <c r="N29" i="14" a="1"/>
  <c r="N29" i="14" s="1"/>
  <c r="O29" i="14" a="1"/>
  <c r="O29" i="14" s="1"/>
  <c r="P29" i="14" a="1"/>
  <c r="P29" i="14" s="1"/>
  <c r="Q29" i="14" a="1"/>
  <c r="Q29" i="14" s="1"/>
  <c r="R29" i="14" a="1"/>
  <c r="R29" i="14" s="1"/>
  <c r="S29" i="14" a="1"/>
  <c r="S29" i="14" s="1"/>
  <c r="C30" i="14" a="1"/>
  <c r="C30" i="14" s="1"/>
  <c r="D30" i="14" a="1"/>
  <c r="D30" i="14" s="1"/>
  <c r="E30" i="14" a="1"/>
  <c r="E30" i="14" s="1"/>
  <c r="F30" i="14" a="1"/>
  <c r="F30" i="14" s="1"/>
  <c r="G30" i="14" a="1"/>
  <c r="G30" i="14" s="1"/>
  <c r="H30" i="14" a="1"/>
  <c r="H30" i="14" s="1"/>
  <c r="I30" i="14" a="1"/>
  <c r="I30" i="14" s="1"/>
  <c r="J30" i="14" a="1"/>
  <c r="J30" i="14" s="1"/>
  <c r="K30" i="14" a="1"/>
  <c r="K30" i="14" s="1"/>
  <c r="L30" i="14" a="1"/>
  <c r="L30" i="14" s="1"/>
  <c r="M30" i="14" a="1"/>
  <c r="M30" i="14" s="1"/>
  <c r="N30" i="14" a="1"/>
  <c r="N30" i="14" s="1"/>
  <c r="O30" i="14" a="1"/>
  <c r="O30" i="14" s="1"/>
  <c r="P30" i="14" a="1"/>
  <c r="P30" i="14" s="1"/>
  <c r="Q30" i="14" a="1"/>
  <c r="Q30" i="14" s="1"/>
  <c r="R30" i="14" a="1"/>
  <c r="R30" i="14" s="1"/>
  <c r="S30" i="14" a="1"/>
  <c r="S30" i="14" s="1"/>
  <c r="C31" i="14" a="1"/>
  <c r="C31" i="14" s="1"/>
  <c r="D31" i="14" a="1"/>
  <c r="D31" i="14" s="1"/>
  <c r="E31" i="14" a="1"/>
  <c r="E31" i="14" s="1"/>
  <c r="F31" i="14" a="1"/>
  <c r="F31" i="14" s="1"/>
  <c r="G31" i="14" a="1"/>
  <c r="G31" i="14" s="1"/>
  <c r="H31" i="14" a="1"/>
  <c r="H31" i="14" s="1"/>
  <c r="I31" i="14" a="1"/>
  <c r="I31" i="14" s="1"/>
  <c r="J31" i="14" a="1"/>
  <c r="J31" i="14" s="1"/>
  <c r="K31" i="14" a="1"/>
  <c r="K31" i="14" s="1"/>
  <c r="L31" i="14" a="1"/>
  <c r="L31" i="14" s="1"/>
  <c r="M31" i="14" a="1"/>
  <c r="M31" i="14" s="1"/>
  <c r="N31" i="14" a="1"/>
  <c r="N31" i="14" s="1"/>
  <c r="O31" i="14" a="1"/>
  <c r="O31" i="14" s="1"/>
  <c r="P31" i="14" a="1"/>
  <c r="P31" i="14" s="1"/>
  <c r="Q31" i="14" a="1"/>
  <c r="Q31" i="14" s="1"/>
  <c r="R31" i="14" a="1"/>
  <c r="R31" i="14" s="1"/>
  <c r="S31" i="14" a="1"/>
  <c r="S31" i="14" s="1"/>
  <c r="C32" i="14" a="1"/>
  <c r="C32" i="14" s="1"/>
  <c r="D32" i="14" a="1"/>
  <c r="D32" i="14" s="1"/>
  <c r="E32" i="14" a="1"/>
  <c r="E32" i="14" s="1"/>
  <c r="F32" i="14" a="1"/>
  <c r="F32" i="14" s="1"/>
  <c r="G32" i="14" a="1"/>
  <c r="G32" i="14" s="1"/>
  <c r="H32" i="14" a="1"/>
  <c r="H32" i="14" s="1"/>
  <c r="I32" i="14" a="1"/>
  <c r="I32" i="14" s="1"/>
  <c r="J32" i="14" a="1"/>
  <c r="J32" i="14" s="1"/>
  <c r="K32" i="14" a="1"/>
  <c r="K32" i="14" s="1"/>
  <c r="L32" i="14" a="1"/>
  <c r="L32" i="14" s="1"/>
  <c r="M32" i="14" a="1"/>
  <c r="M32" i="14" s="1"/>
  <c r="N32" i="14" a="1"/>
  <c r="N32" i="14" s="1"/>
  <c r="O32" i="14" a="1"/>
  <c r="O32" i="14" s="1"/>
  <c r="P32" i="14" a="1"/>
  <c r="P32" i="14" s="1"/>
  <c r="Q32" i="14" a="1"/>
  <c r="Q32" i="14" s="1"/>
  <c r="R32" i="14" a="1"/>
  <c r="R32" i="14" s="1"/>
  <c r="S32" i="14" a="1"/>
  <c r="S32" i="14" s="1"/>
  <c r="C33" i="14" a="1"/>
  <c r="C33" i="14" s="1"/>
  <c r="D33" i="14" a="1"/>
  <c r="D33" i="14" s="1"/>
  <c r="E33" i="14" a="1"/>
  <c r="E33" i="14" s="1"/>
  <c r="F33" i="14" a="1"/>
  <c r="F33" i="14" s="1"/>
  <c r="G33" i="14" a="1"/>
  <c r="G33" i="14" s="1"/>
  <c r="H33" i="14" a="1"/>
  <c r="H33" i="14" s="1"/>
  <c r="I33" i="14" a="1"/>
  <c r="I33" i="14" s="1"/>
  <c r="J33" i="14" a="1"/>
  <c r="J33" i="14" s="1"/>
  <c r="K33" i="14" a="1"/>
  <c r="K33" i="14" s="1"/>
  <c r="L33" i="14" a="1"/>
  <c r="L33" i="14" s="1"/>
  <c r="M33" i="14" a="1"/>
  <c r="M33" i="14" s="1"/>
  <c r="N33" i="14" a="1"/>
  <c r="N33" i="14" s="1"/>
  <c r="O33" i="14" a="1"/>
  <c r="O33" i="14" s="1"/>
  <c r="P33" i="14" a="1"/>
  <c r="P33" i="14" s="1"/>
  <c r="Q33" i="14" a="1"/>
  <c r="Q33" i="14" s="1"/>
  <c r="R33" i="14" a="1"/>
  <c r="R33" i="14" s="1"/>
  <c r="S33" i="14" a="1"/>
  <c r="S33" i="14" s="1"/>
  <c r="D4" i="14" a="1"/>
  <c r="D4" i="14" s="1"/>
  <c r="E4" i="14" a="1"/>
  <c r="E4" i="14" s="1"/>
  <c r="F4" i="14" a="1"/>
  <c r="F4" i="14" s="1"/>
  <c r="G4" i="14" a="1"/>
  <c r="G4" i="14" s="1"/>
  <c r="H4" i="14" a="1"/>
  <c r="H4" i="14" s="1"/>
  <c r="I4" i="14" a="1"/>
  <c r="I4" i="14" s="1"/>
  <c r="J4" i="14" a="1"/>
  <c r="J4" i="14" s="1"/>
  <c r="K4" i="14" a="1"/>
  <c r="K4" i="14" s="1"/>
  <c r="L4" i="14" a="1"/>
  <c r="L4" i="14" s="1"/>
  <c r="M4" i="14" a="1"/>
  <c r="M4" i="14" s="1"/>
  <c r="N4" i="14" a="1"/>
  <c r="N4" i="14" s="1"/>
  <c r="O4" i="14" a="1"/>
  <c r="O4" i="14" s="1"/>
  <c r="P4" i="14" a="1"/>
  <c r="P4" i="14" s="1"/>
  <c r="Q4" i="14" a="1"/>
  <c r="Q4" i="14" s="1"/>
  <c r="R4" i="14" a="1"/>
  <c r="R4" i="14" s="1"/>
  <c r="S4" i="14" a="1"/>
  <c r="S4" i="14" s="1"/>
  <c r="C4" i="14" a="1"/>
  <c r="C4" i="14" s="1"/>
  <c r="C29" i="13" a="1"/>
  <c r="C29" i="13" s="1"/>
  <c r="D29" i="13" a="1"/>
  <c r="D29" i="13" s="1"/>
  <c r="E29" i="13" a="1"/>
  <c r="E29" i="13" s="1"/>
  <c r="F29" i="13" a="1"/>
  <c r="F29" i="13" s="1"/>
  <c r="G29" i="13" a="1"/>
  <c r="G29" i="13" s="1"/>
  <c r="C30" i="13" a="1"/>
  <c r="C30" i="13" s="1"/>
  <c r="D30" i="13" a="1"/>
  <c r="D30" i="13" s="1"/>
  <c r="E30" i="13" a="1"/>
  <c r="E30" i="13" s="1"/>
  <c r="F30" i="13" a="1"/>
  <c r="F30" i="13" s="1"/>
  <c r="G30" i="13" a="1"/>
  <c r="G30" i="13" s="1"/>
  <c r="C31" i="13" a="1"/>
  <c r="C31" i="13" s="1"/>
  <c r="D31" i="13" a="1"/>
  <c r="D31" i="13" s="1"/>
  <c r="E31" i="13" a="1"/>
  <c r="E31" i="13" s="1"/>
  <c r="F31" i="13" a="1"/>
  <c r="F31" i="13" s="1"/>
  <c r="G31" i="13" a="1"/>
  <c r="G31" i="13" s="1"/>
  <c r="C32" i="13" a="1"/>
  <c r="C32" i="13" s="1"/>
  <c r="D32" i="13" a="1"/>
  <c r="D32" i="13" s="1"/>
  <c r="E32" i="13" a="1"/>
  <c r="E32" i="13" s="1"/>
  <c r="F32" i="13" a="1"/>
  <c r="F32" i="13" s="1"/>
  <c r="G32" i="13" a="1"/>
  <c r="G32" i="13" s="1"/>
  <c r="C33" i="13" a="1"/>
  <c r="C33" i="13" s="1"/>
  <c r="D33" i="13" a="1"/>
  <c r="D33" i="13" s="1"/>
  <c r="E33" i="13" a="1"/>
  <c r="E33" i="13" s="1"/>
  <c r="F33" i="13" a="1"/>
  <c r="F33" i="13" s="1"/>
  <c r="G33" i="13" a="1"/>
  <c r="G33" i="13" s="1"/>
  <c r="C5" i="13" a="1"/>
  <c r="C5" i="13" s="1"/>
  <c r="D5" i="13" a="1"/>
  <c r="D5" i="13" s="1"/>
  <c r="E5" i="13" a="1"/>
  <c r="E5" i="13" s="1"/>
  <c r="F5" i="13" a="1"/>
  <c r="F5" i="13" s="1"/>
  <c r="G5" i="13" a="1"/>
  <c r="G5" i="13" s="1"/>
  <c r="C6" i="13" a="1"/>
  <c r="C6" i="13" s="1"/>
  <c r="D6" i="13" a="1"/>
  <c r="D6" i="13" s="1"/>
  <c r="E6" i="13" a="1"/>
  <c r="E6" i="13" s="1"/>
  <c r="F6" i="13" a="1"/>
  <c r="F6" i="13" s="1"/>
  <c r="G6" i="13" a="1"/>
  <c r="G6" i="13" s="1"/>
  <c r="C7" i="13" a="1"/>
  <c r="C7" i="13" s="1"/>
  <c r="D7" i="13" a="1"/>
  <c r="D7" i="13" s="1"/>
  <c r="C6" i="21" s="1"/>
  <c r="C12" i="20" s="1"/>
  <c r="E7" i="13" a="1"/>
  <c r="E7" i="13" s="1"/>
  <c r="D6" i="21" s="1"/>
  <c r="F7" i="13" a="1"/>
  <c r="F7" i="13" s="1"/>
  <c r="E6" i="21" s="1"/>
  <c r="E12" i="20" s="1"/>
  <c r="G7" i="13" a="1"/>
  <c r="G7" i="13" s="1"/>
  <c r="F6" i="21" s="1"/>
  <c r="F12" i="20" s="1"/>
  <c r="C8" i="13" a="1"/>
  <c r="C8" i="13" s="1"/>
  <c r="D8" i="13" a="1"/>
  <c r="D8" i="13" s="1"/>
  <c r="E8" i="13" a="1"/>
  <c r="E8" i="13" s="1"/>
  <c r="F8" i="13" a="1"/>
  <c r="F8" i="13" s="1"/>
  <c r="G8" i="13" a="1"/>
  <c r="G8" i="13" s="1"/>
  <c r="C9" i="13" a="1"/>
  <c r="C9" i="13" s="1"/>
  <c r="D9" i="13" a="1"/>
  <c r="D9" i="13" s="1"/>
  <c r="E9" i="13" a="1"/>
  <c r="E9" i="13" s="1"/>
  <c r="F9" i="13" a="1"/>
  <c r="F9" i="13" s="1"/>
  <c r="G9" i="13" a="1"/>
  <c r="G9" i="13" s="1"/>
  <c r="C10" i="13" a="1"/>
  <c r="C10" i="13" s="1"/>
  <c r="D10" i="13" a="1"/>
  <c r="D10" i="13" s="1"/>
  <c r="E10" i="13" a="1"/>
  <c r="E10" i="13" s="1"/>
  <c r="F10" i="13" a="1"/>
  <c r="F10" i="13" s="1"/>
  <c r="G10" i="13" a="1"/>
  <c r="G10" i="13" s="1"/>
  <c r="C11" i="13" a="1"/>
  <c r="C11" i="13" s="1"/>
  <c r="D11" i="13" a="1"/>
  <c r="D11" i="13" s="1"/>
  <c r="E11" i="13" a="1"/>
  <c r="E11" i="13" s="1"/>
  <c r="F11" i="13" a="1"/>
  <c r="F11" i="13" s="1"/>
  <c r="G11" i="13" a="1"/>
  <c r="G11" i="13" s="1"/>
  <c r="C12" i="13" a="1"/>
  <c r="C12" i="13" s="1"/>
  <c r="D12" i="13" a="1"/>
  <c r="D12" i="13" s="1"/>
  <c r="E12" i="13" a="1"/>
  <c r="E12" i="13" s="1"/>
  <c r="F12" i="13" a="1"/>
  <c r="F12" i="13" s="1"/>
  <c r="G12" i="13" a="1"/>
  <c r="G12" i="13" s="1"/>
  <c r="C13" i="13" a="1"/>
  <c r="C13" i="13" s="1"/>
  <c r="D13" i="13" a="1"/>
  <c r="D13" i="13" s="1"/>
  <c r="E13" i="13" a="1"/>
  <c r="E13" i="13" s="1"/>
  <c r="F13" i="13" a="1"/>
  <c r="F13" i="13" s="1"/>
  <c r="G13" i="13" a="1"/>
  <c r="G13" i="13" s="1"/>
  <c r="C14" i="13" a="1"/>
  <c r="C14" i="13" s="1"/>
  <c r="D14" i="13" a="1"/>
  <c r="D14" i="13" s="1"/>
  <c r="E14" i="13" a="1"/>
  <c r="E14" i="13" s="1"/>
  <c r="F14" i="13" a="1"/>
  <c r="F14" i="13" s="1"/>
  <c r="G14" i="13" a="1"/>
  <c r="G14" i="13" s="1"/>
  <c r="C15" i="13" a="1"/>
  <c r="C15" i="13" s="1"/>
  <c r="D15" i="13" a="1"/>
  <c r="D15" i="13" s="1"/>
  <c r="E15" i="13" a="1"/>
  <c r="E15" i="13" s="1"/>
  <c r="F15" i="13" a="1"/>
  <c r="F15" i="13" s="1"/>
  <c r="G15" i="13" a="1"/>
  <c r="G15" i="13" s="1"/>
  <c r="C16" i="13" a="1"/>
  <c r="C16" i="13" s="1"/>
  <c r="D16" i="13" a="1"/>
  <c r="D16" i="13" s="1"/>
  <c r="E16" i="13" a="1"/>
  <c r="E16" i="13" s="1"/>
  <c r="F16" i="13" a="1"/>
  <c r="F16" i="13" s="1"/>
  <c r="G16" i="13" a="1"/>
  <c r="G16" i="13" s="1"/>
  <c r="C17" i="13" a="1"/>
  <c r="C17" i="13" s="1"/>
  <c r="D17" i="13" a="1"/>
  <c r="D17" i="13" s="1"/>
  <c r="E17" i="13" a="1"/>
  <c r="E17" i="13" s="1"/>
  <c r="F17" i="13" a="1"/>
  <c r="F17" i="13" s="1"/>
  <c r="G17" i="13" a="1"/>
  <c r="G17" i="13" s="1"/>
  <c r="C18" i="13" a="1"/>
  <c r="C18" i="13" s="1"/>
  <c r="D18" i="13" a="1"/>
  <c r="D18" i="13" s="1"/>
  <c r="E18" i="13" a="1"/>
  <c r="E18" i="13" s="1"/>
  <c r="F18" i="13" a="1"/>
  <c r="F18" i="13" s="1"/>
  <c r="G18" i="13" a="1"/>
  <c r="G18" i="13" s="1"/>
  <c r="C19" i="13" a="1"/>
  <c r="C19" i="13" s="1"/>
  <c r="D19" i="13" a="1"/>
  <c r="D19" i="13" s="1"/>
  <c r="E19" i="13" a="1"/>
  <c r="E19" i="13" s="1"/>
  <c r="F19" i="13" a="1"/>
  <c r="F19" i="13" s="1"/>
  <c r="G19" i="13" a="1"/>
  <c r="G19" i="13" s="1"/>
  <c r="C20" i="13" a="1"/>
  <c r="C20" i="13" s="1"/>
  <c r="D20" i="13" a="1"/>
  <c r="D20" i="13" s="1"/>
  <c r="E20" i="13" a="1"/>
  <c r="E20" i="13" s="1"/>
  <c r="F20" i="13" a="1"/>
  <c r="F20" i="13" s="1"/>
  <c r="G20" i="13" a="1"/>
  <c r="G20" i="13" s="1"/>
  <c r="C21" i="13" a="1"/>
  <c r="C21" i="13" s="1"/>
  <c r="D21" i="13" a="1"/>
  <c r="D21" i="13" s="1"/>
  <c r="E21" i="13" a="1"/>
  <c r="E21" i="13" s="1"/>
  <c r="F21" i="13" a="1"/>
  <c r="F21" i="13" s="1"/>
  <c r="G21" i="13" a="1"/>
  <c r="G21" i="13" s="1"/>
  <c r="C22" i="13" a="1"/>
  <c r="C22" i="13" s="1"/>
  <c r="D22" i="13" a="1"/>
  <c r="D22" i="13" s="1"/>
  <c r="E22" i="13" a="1"/>
  <c r="E22" i="13" s="1"/>
  <c r="F22" i="13" a="1"/>
  <c r="F22" i="13" s="1"/>
  <c r="G22" i="13" a="1"/>
  <c r="G22" i="13" s="1"/>
  <c r="C23" i="13" a="1"/>
  <c r="C23" i="13" s="1"/>
  <c r="D23" i="13" a="1"/>
  <c r="D23" i="13" s="1"/>
  <c r="E23" i="13" a="1"/>
  <c r="E23" i="13" s="1"/>
  <c r="F23" i="13" a="1"/>
  <c r="F23" i="13" s="1"/>
  <c r="G23" i="13" a="1"/>
  <c r="G23" i="13" s="1"/>
  <c r="C24" i="13" a="1"/>
  <c r="C24" i="13" s="1"/>
  <c r="D24" i="13" a="1"/>
  <c r="D24" i="13" s="1"/>
  <c r="E24" i="13" a="1"/>
  <c r="E24" i="13" s="1"/>
  <c r="F24" i="13" a="1"/>
  <c r="F24" i="13" s="1"/>
  <c r="G24" i="13" a="1"/>
  <c r="G24" i="13" s="1"/>
  <c r="C25" i="13" a="1"/>
  <c r="C25" i="13" s="1"/>
  <c r="D25" i="13" a="1"/>
  <c r="D25" i="13" s="1"/>
  <c r="E25" i="13" a="1"/>
  <c r="E25" i="13" s="1"/>
  <c r="F25" i="13" a="1"/>
  <c r="F25" i="13" s="1"/>
  <c r="G25" i="13" a="1"/>
  <c r="G25" i="13" s="1"/>
  <c r="C26" i="13" a="1"/>
  <c r="C26" i="13" s="1"/>
  <c r="D26" i="13" a="1"/>
  <c r="D26" i="13" s="1"/>
  <c r="E26" i="13" a="1"/>
  <c r="E26" i="13" s="1"/>
  <c r="F26" i="13" a="1"/>
  <c r="F26" i="13" s="1"/>
  <c r="G26" i="13" a="1"/>
  <c r="G26" i="13" s="1"/>
  <c r="C27" i="13" a="1"/>
  <c r="C27" i="13" s="1"/>
  <c r="D27" i="13" a="1"/>
  <c r="D27" i="13" s="1"/>
  <c r="E27" i="13" a="1"/>
  <c r="E27" i="13" s="1"/>
  <c r="F27" i="13" a="1"/>
  <c r="F27" i="13" s="1"/>
  <c r="G27" i="13" a="1"/>
  <c r="G27" i="13" s="1"/>
  <c r="C28" i="13" a="1"/>
  <c r="C28" i="13" s="1"/>
  <c r="D28" i="13" a="1"/>
  <c r="D28" i="13" s="1"/>
  <c r="E28" i="13" a="1"/>
  <c r="E28" i="13" s="1"/>
  <c r="F28" i="13" a="1"/>
  <c r="F28" i="13" s="1"/>
  <c r="G28" i="13" a="1"/>
  <c r="G28" i="13" s="1"/>
  <c r="D4" i="13" a="1"/>
  <c r="D4" i="13" s="1"/>
  <c r="E4" i="13" a="1"/>
  <c r="E4" i="13" s="1"/>
  <c r="F4" i="13" a="1"/>
  <c r="F4" i="13" s="1"/>
  <c r="G4" i="13" a="1"/>
  <c r="G4" i="13" s="1"/>
  <c r="C23" i="12" a="1"/>
  <c r="C23" i="12" s="1"/>
  <c r="D23" i="12" a="1"/>
  <c r="D23" i="12" s="1"/>
  <c r="E23" i="12" a="1"/>
  <c r="E23" i="12" s="1"/>
  <c r="F23" i="12" a="1"/>
  <c r="F23" i="12" s="1"/>
  <c r="G23" i="12" a="1"/>
  <c r="G23" i="12" s="1"/>
  <c r="H23" i="12" a="1"/>
  <c r="H23" i="12" s="1"/>
  <c r="I23" i="12" a="1"/>
  <c r="I23" i="12" s="1"/>
  <c r="J23" i="12" a="1"/>
  <c r="J23" i="12" s="1"/>
  <c r="K23" i="12" a="1"/>
  <c r="K23" i="12" s="1"/>
  <c r="L23" i="12" a="1"/>
  <c r="L23" i="12" s="1"/>
  <c r="M23" i="12" a="1"/>
  <c r="M23" i="12" s="1"/>
  <c r="N23" i="12" a="1"/>
  <c r="N23" i="12" s="1"/>
  <c r="O23" i="12" a="1"/>
  <c r="O23" i="12" s="1"/>
  <c r="P23" i="12" a="1"/>
  <c r="P23" i="12" s="1"/>
  <c r="Q23" i="12" a="1"/>
  <c r="Q23" i="12" s="1"/>
  <c r="R23" i="12" a="1"/>
  <c r="R23" i="12" s="1"/>
  <c r="S23" i="12" a="1"/>
  <c r="S23" i="12" s="1"/>
  <c r="C24" i="12" a="1"/>
  <c r="C24" i="12" s="1"/>
  <c r="D24" i="12" a="1"/>
  <c r="D24" i="12" s="1"/>
  <c r="E24" i="12" a="1"/>
  <c r="E24" i="12" s="1"/>
  <c r="F24" i="12" a="1"/>
  <c r="F24" i="12" s="1"/>
  <c r="G24" i="12" a="1"/>
  <c r="G24" i="12" s="1"/>
  <c r="H24" i="12" a="1"/>
  <c r="H24" i="12" s="1"/>
  <c r="I24" i="12" a="1"/>
  <c r="I24" i="12" s="1"/>
  <c r="J24" i="12" a="1"/>
  <c r="J24" i="12" s="1"/>
  <c r="K24" i="12" a="1"/>
  <c r="K24" i="12" s="1"/>
  <c r="L24" i="12" a="1"/>
  <c r="L24" i="12" s="1"/>
  <c r="M24" i="12" a="1"/>
  <c r="M24" i="12" s="1"/>
  <c r="N24" i="12" a="1"/>
  <c r="N24" i="12" s="1"/>
  <c r="O24" i="12" a="1"/>
  <c r="O24" i="12" s="1"/>
  <c r="P24" i="12" a="1"/>
  <c r="P24" i="12" s="1"/>
  <c r="Q24" i="12" a="1"/>
  <c r="Q24" i="12" s="1"/>
  <c r="R24" i="12" a="1"/>
  <c r="R24" i="12" s="1"/>
  <c r="S24" i="12" a="1"/>
  <c r="S24" i="12" s="1"/>
  <c r="C25" i="12" a="1"/>
  <c r="C25" i="12" s="1"/>
  <c r="D25" i="12" a="1"/>
  <c r="D25" i="12" s="1"/>
  <c r="E25" i="12" a="1"/>
  <c r="E25" i="12" s="1"/>
  <c r="F25" i="12" a="1"/>
  <c r="F25" i="12" s="1"/>
  <c r="G25" i="12" a="1"/>
  <c r="G25" i="12" s="1"/>
  <c r="H25" i="12" a="1"/>
  <c r="H25" i="12" s="1"/>
  <c r="I25" i="12" a="1"/>
  <c r="I25" i="12" s="1"/>
  <c r="J25" i="12" a="1"/>
  <c r="J25" i="12" s="1"/>
  <c r="K25" i="12" a="1"/>
  <c r="K25" i="12" s="1"/>
  <c r="L25" i="12" a="1"/>
  <c r="L25" i="12" s="1"/>
  <c r="M25" i="12" a="1"/>
  <c r="M25" i="12" s="1"/>
  <c r="N25" i="12" a="1"/>
  <c r="N25" i="12" s="1"/>
  <c r="O25" i="12" a="1"/>
  <c r="O25" i="12" s="1"/>
  <c r="P25" i="12" a="1"/>
  <c r="P25" i="12" s="1"/>
  <c r="Q25" i="12" a="1"/>
  <c r="Q25" i="12" s="1"/>
  <c r="R25" i="12" a="1"/>
  <c r="R25" i="12" s="1"/>
  <c r="S25" i="12" a="1"/>
  <c r="S25" i="12" s="1"/>
  <c r="C5" i="12" a="1"/>
  <c r="C5" i="12" s="1"/>
  <c r="D5" i="12" a="1"/>
  <c r="D5" i="12" s="1"/>
  <c r="E5" i="12" a="1"/>
  <c r="E5" i="12" s="1"/>
  <c r="F5" i="12" a="1"/>
  <c r="F5" i="12" s="1"/>
  <c r="G5" i="12" a="1"/>
  <c r="G5" i="12" s="1"/>
  <c r="H5" i="12" a="1"/>
  <c r="H5" i="12" s="1"/>
  <c r="I5" i="12" a="1"/>
  <c r="I5" i="12" s="1"/>
  <c r="J5" i="12" a="1"/>
  <c r="J5" i="12" s="1"/>
  <c r="K5" i="12" a="1"/>
  <c r="K5" i="12" s="1"/>
  <c r="L5" i="12" a="1"/>
  <c r="L5" i="12" s="1"/>
  <c r="M5" i="12" a="1"/>
  <c r="M5" i="12" s="1"/>
  <c r="N5" i="12" a="1"/>
  <c r="N5" i="12" s="1"/>
  <c r="O5" i="12" a="1"/>
  <c r="O5" i="12" s="1"/>
  <c r="P5" i="12" a="1"/>
  <c r="P5" i="12" s="1"/>
  <c r="Q5" i="12" a="1"/>
  <c r="Q5" i="12" s="1"/>
  <c r="R5" i="12" a="1"/>
  <c r="R5" i="12" s="1"/>
  <c r="S5" i="12" a="1"/>
  <c r="S5" i="12" s="1"/>
  <c r="C6" i="12" a="1"/>
  <c r="C6" i="12" s="1"/>
  <c r="D6" i="12" a="1"/>
  <c r="D6" i="12" s="1"/>
  <c r="E6" i="12" a="1"/>
  <c r="E6" i="12" s="1"/>
  <c r="L5" i="20" s="1"/>
  <c r="F6" i="12" a="1"/>
  <c r="F6" i="12" s="1"/>
  <c r="M5" i="20" s="1"/>
  <c r="G6" i="12" a="1"/>
  <c r="G6" i="12" s="1"/>
  <c r="N5" i="20" s="1"/>
  <c r="H6" i="12" a="1"/>
  <c r="H6" i="12" s="1"/>
  <c r="O5" i="20" s="1"/>
  <c r="I6" i="12" a="1"/>
  <c r="I6" i="12" s="1"/>
  <c r="P5" i="20" s="1"/>
  <c r="J6" i="12" a="1"/>
  <c r="J6" i="12" s="1"/>
  <c r="Q5" i="20" s="1"/>
  <c r="K6" i="12" a="1"/>
  <c r="K6" i="12" s="1"/>
  <c r="R5" i="20" s="1"/>
  <c r="L6" i="12" a="1"/>
  <c r="L6" i="12" s="1"/>
  <c r="S5" i="20" s="1"/>
  <c r="M6" i="12" a="1"/>
  <c r="M6" i="12" s="1"/>
  <c r="T5" i="20" s="1"/>
  <c r="N6" i="12" a="1"/>
  <c r="N6" i="12" s="1"/>
  <c r="U5" i="20" s="1"/>
  <c r="O6" i="12" a="1"/>
  <c r="O6" i="12" s="1"/>
  <c r="V5" i="20" s="1"/>
  <c r="P6" i="12" a="1"/>
  <c r="P6" i="12" s="1"/>
  <c r="W5" i="20" s="1"/>
  <c r="Q6" i="12" a="1"/>
  <c r="Q6" i="12" s="1"/>
  <c r="R6" i="12" a="1"/>
  <c r="R6" i="12" s="1"/>
  <c r="S6" i="12" a="1"/>
  <c r="S6" i="12" s="1"/>
  <c r="C7" i="12" a="1"/>
  <c r="C7" i="12" s="1"/>
  <c r="D7" i="12" a="1"/>
  <c r="D7" i="12" s="1"/>
  <c r="E7" i="12" a="1"/>
  <c r="E7" i="12" s="1"/>
  <c r="F7" i="12" a="1"/>
  <c r="F7" i="12" s="1"/>
  <c r="G7" i="12" a="1"/>
  <c r="G7" i="12" s="1"/>
  <c r="H7" i="12" a="1"/>
  <c r="H7" i="12" s="1"/>
  <c r="I7" i="12" a="1"/>
  <c r="I7" i="12" s="1"/>
  <c r="J7" i="12" a="1"/>
  <c r="J7" i="12" s="1"/>
  <c r="K7" i="12" a="1"/>
  <c r="K7" i="12" s="1"/>
  <c r="L7" i="12" a="1"/>
  <c r="L7" i="12" s="1"/>
  <c r="M7" i="12" a="1"/>
  <c r="M7" i="12" s="1"/>
  <c r="N7" i="12" a="1"/>
  <c r="N7" i="12" s="1"/>
  <c r="O7" i="12" a="1"/>
  <c r="O7" i="12" s="1"/>
  <c r="P7" i="12" a="1"/>
  <c r="P7" i="12" s="1"/>
  <c r="Q7" i="12" a="1"/>
  <c r="Q7" i="12" s="1"/>
  <c r="R7" i="12" a="1"/>
  <c r="R7" i="12" s="1"/>
  <c r="S7" i="12" a="1"/>
  <c r="S7" i="12" s="1"/>
  <c r="C8" i="12" a="1"/>
  <c r="C8" i="12" s="1"/>
  <c r="C9" i="12" a="1"/>
  <c r="C9" i="12" s="1"/>
  <c r="D9" i="12" a="1"/>
  <c r="D9" i="12" s="1"/>
  <c r="E9" i="12" a="1"/>
  <c r="E9" i="12" s="1"/>
  <c r="F9" i="12" a="1"/>
  <c r="F9" i="12" s="1"/>
  <c r="G9" i="12" a="1"/>
  <c r="G9" i="12" s="1"/>
  <c r="H9" i="12" a="1"/>
  <c r="H9" i="12" s="1"/>
  <c r="I9" i="12" a="1"/>
  <c r="I9" i="12" s="1"/>
  <c r="J9" i="12" a="1"/>
  <c r="J9" i="12" s="1"/>
  <c r="K9" i="12" a="1"/>
  <c r="K9" i="12" s="1"/>
  <c r="L9" i="12" a="1"/>
  <c r="L9" i="12" s="1"/>
  <c r="M9" i="12" a="1"/>
  <c r="M9" i="12" s="1"/>
  <c r="N9" i="12" a="1"/>
  <c r="N9" i="12" s="1"/>
  <c r="O9" i="12" a="1"/>
  <c r="O9" i="12" s="1"/>
  <c r="P9" i="12" a="1"/>
  <c r="P9" i="12" s="1"/>
  <c r="Q9" i="12" a="1"/>
  <c r="Q9" i="12" s="1"/>
  <c r="R9" i="12" a="1"/>
  <c r="R9" i="12" s="1"/>
  <c r="S9" i="12" a="1"/>
  <c r="S9" i="12" s="1"/>
  <c r="C10" i="12" a="1"/>
  <c r="C10" i="12" s="1"/>
  <c r="D10" i="12" a="1"/>
  <c r="D10" i="12" s="1"/>
  <c r="E10" i="12" a="1"/>
  <c r="E10" i="12" s="1"/>
  <c r="F10" i="12" a="1"/>
  <c r="F10" i="12" s="1"/>
  <c r="G10" i="12" a="1"/>
  <c r="G10" i="12" s="1"/>
  <c r="H10" i="12" a="1"/>
  <c r="H10" i="12" s="1"/>
  <c r="I10" i="12" a="1"/>
  <c r="I10" i="12" s="1"/>
  <c r="J10" i="12" a="1"/>
  <c r="J10" i="12" s="1"/>
  <c r="K10" i="12" a="1"/>
  <c r="K10" i="12" s="1"/>
  <c r="L10" i="12" a="1"/>
  <c r="L10" i="12" s="1"/>
  <c r="M10" i="12" a="1"/>
  <c r="M10" i="12" s="1"/>
  <c r="N10" i="12" a="1"/>
  <c r="N10" i="12" s="1"/>
  <c r="O10" i="12" a="1"/>
  <c r="O10" i="12" s="1"/>
  <c r="P10" i="12" a="1"/>
  <c r="P10" i="12" s="1"/>
  <c r="Q10" i="12" a="1"/>
  <c r="Q10" i="12" s="1"/>
  <c r="R10" i="12" a="1"/>
  <c r="R10" i="12" s="1"/>
  <c r="S10" i="12" a="1"/>
  <c r="S10" i="12" s="1"/>
  <c r="C11" i="12" a="1"/>
  <c r="C11" i="12" s="1"/>
  <c r="D11" i="12" a="1"/>
  <c r="D11" i="12" s="1"/>
  <c r="E11" i="12" a="1"/>
  <c r="E11" i="12" s="1"/>
  <c r="F11" i="12" a="1"/>
  <c r="F11" i="12" s="1"/>
  <c r="G11" i="12" a="1"/>
  <c r="G11" i="12" s="1"/>
  <c r="H11" i="12" a="1"/>
  <c r="H11" i="12" s="1"/>
  <c r="I11" i="12" a="1"/>
  <c r="I11" i="12" s="1"/>
  <c r="J11" i="12" a="1"/>
  <c r="J11" i="12" s="1"/>
  <c r="K11" i="12" a="1"/>
  <c r="K11" i="12" s="1"/>
  <c r="L11" i="12" a="1"/>
  <c r="L11" i="12" s="1"/>
  <c r="M11" i="12" a="1"/>
  <c r="M11" i="12" s="1"/>
  <c r="N11" i="12" a="1"/>
  <c r="N11" i="12" s="1"/>
  <c r="O11" i="12" a="1"/>
  <c r="O11" i="12" s="1"/>
  <c r="P11" i="12" a="1"/>
  <c r="P11" i="12" s="1"/>
  <c r="Q11" i="12" a="1"/>
  <c r="Q11" i="12" s="1"/>
  <c r="R11" i="12" a="1"/>
  <c r="R11" i="12" s="1"/>
  <c r="S11" i="12" a="1"/>
  <c r="S11" i="12" s="1"/>
  <c r="C12" i="12" a="1"/>
  <c r="C12" i="12" s="1"/>
  <c r="D12" i="12" a="1"/>
  <c r="D12" i="12" s="1"/>
  <c r="E12" i="12" a="1"/>
  <c r="E12" i="12" s="1"/>
  <c r="F12" i="12" a="1"/>
  <c r="F12" i="12" s="1"/>
  <c r="G12" i="12" a="1"/>
  <c r="G12" i="12" s="1"/>
  <c r="H12" i="12" a="1"/>
  <c r="H12" i="12" s="1"/>
  <c r="I12" i="12" a="1"/>
  <c r="I12" i="12" s="1"/>
  <c r="J12" i="12" a="1"/>
  <c r="J12" i="12" s="1"/>
  <c r="K12" i="12" a="1"/>
  <c r="K12" i="12" s="1"/>
  <c r="L12" i="12" a="1"/>
  <c r="L12" i="12" s="1"/>
  <c r="M12" i="12" a="1"/>
  <c r="M12" i="12" s="1"/>
  <c r="N12" i="12" a="1"/>
  <c r="N12" i="12" s="1"/>
  <c r="O12" i="12" a="1"/>
  <c r="O12" i="12" s="1"/>
  <c r="P12" i="12" a="1"/>
  <c r="P12" i="12" s="1"/>
  <c r="Q12" i="12" a="1"/>
  <c r="Q12" i="12" s="1"/>
  <c r="R12" i="12" a="1"/>
  <c r="R12" i="12" s="1"/>
  <c r="S12" i="12" a="1"/>
  <c r="S12" i="12" s="1"/>
  <c r="C13" i="12" a="1"/>
  <c r="C13" i="12" s="1"/>
  <c r="D13" i="12" a="1"/>
  <c r="D13" i="12" s="1"/>
  <c r="E13" i="12" a="1"/>
  <c r="E13" i="12" s="1"/>
  <c r="F13" i="12" a="1"/>
  <c r="F13" i="12" s="1"/>
  <c r="G13" i="12" a="1"/>
  <c r="G13" i="12" s="1"/>
  <c r="H13" i="12" a="1"/>
  <c r="H13" i="12" s="1"/>
  <c r="I13" i="12" a="1"/>
  <c r="I13" i="12" s="1"/>
  <c r="J13" i="12" a="1"/>
  <c r="J13" i="12" s="1"/>
  <c r="K13" i="12" a="1"/>
  <c r="K13" i="12" s="1"/>
  <c r="L13" i="12" a="1"/>
  <c r="L13" i="12" s="1"/>
  <c r="M13" i="12" a="1"/>
  <c r="M13" i="12" s="1"/>
  <c r="N13" i="12" a="1"/>
  <c r="N13" i="12" s="1"/>
  <c r="O13" i="12" a="1"/>
  <c r="O13" i="12" s="1"/>
  <c r="P13" i="12" a="1"/>
  <c r="P13" i="12" s="1"/>
  <c r="Q13" i="12" a="1"/>
  <c r="Q13" i="12" s="1"/>
  <c r="R13" i="12" a="1"/>
  <c r="R13" i="12" s="1"/>
  <c r="S13" i="12" a="1"/>
  <c r="S13" i="12" s="1"/>
  <c r="C14" i="12" a="1"/>
  <c r="C14" i="12" s="1"/>
  <c r="D14" i="12" a="1"/>
  <c r="D14" i="12" s="1"/>
  <c r="E14" i="12" a="1"/>
  <c r="E14" i="12" s="1"/>
  <c r="F14" i="12" a="1"/>
  <c r="F14" i="12" s="1"/>
  <c r="G14" i="12" a="1"/>
  <c r="G14" i="12" s="1"/>
  <c r="H14" i="12" a="1"/>
  <c r="H14" i="12" s="1"/>
  <c r="I14" i="12" a="1"/>
  <c r="I14" i="12" s="1"/>
  <c r="J14" i="12" a="1"/>
  <c r="J14" i="12" s="1"/>
  <c r="K14" i="12" a="1"/>
  <c r="K14" i="12" s="1"/>
  <c r="L14" i="12" a="1"/>
  <c r="L14" i="12" s="1"/>
  <c r="M14" i="12" a="1"/>
  <c r="M14" i="12" s="1"/>
  <c r="N14" i="12" a="1"/>
  <c r="N14" i="12" s="1"/>
  <c r="O14" i="12" a="1"/>
  <c r="O14" i="12" s="1"/>
  <c r="P14" i="12" a="1"/>
  <c r="P14" i="12" s="1"/>
  <c r="Q14" i="12" a="1"/>
  <c r="Q14" i="12" s="1"/>
  <c r="R14" i="12" a="1"/>
  <c r="R14" i="12" s="1"/>
  <c r="S14" i="12" a="1"/>
  <c r="S14" i="12" s="1"/>
  <c r="C15" i="12" a="1"/>
  <c r="C15" i="12" s="1"/>
  <c r="D15" i="12" a="1"/>
  <c r="D15" i="12" s="1"/>
  <c r="E15" i="12" a="1"/>
  <c r="E15" i="12" s="1"/>
  <c r="F15" i="12" a="1"/>
  <c r="F15" i="12" s="1"/>
  <c r="G15" i="12" a="1"/>
  <c r="G15" i="12" s="1"/>
  <c r="H15" i="12" a="1"/>
  <c r="H15" i="12" s="1"/>
  <c r="I15" i="12" a="1"/>
  <c r="I15" i="12" s="1"/>
  <c r="J15" i="12" a="1"/>
  <c r="J15" i="12" s="1"/>
  <c r="K15" i="12" a="1"/>
  <c r="K15" i="12" s="1"/>
  <c r="L15" i="12" a="1"/>
  <c r="L15" i="12" s="1"/>
  <c r="M15" i="12" a="1"/>
  <c r="M15" i="12" s="1"/>
  <c r="N15" i="12" a="1"/>
  <c r="N15" i="12" s="1"/>
  <c r="O15" i="12" a="1"/>
  <c r="O15" i="12" s="1"/>
  <c r="P15" i="12" a="1"/>
  <c r="P15" i="12" s="1"/>
  <c r="Q15" i="12" a="1"/>
  <c r="Q15" i="12" s="1"/>
  <c r="R15" i="12" a="1"/>
  <c r="R15" i="12" s="1"/>
  <c r="S15" i="12" a="1"/>
  <c r="S15" i="12" s="1"/>
  <c r="C16" i="12" a="1"/>
  <c r="C16" i="12" s="1"/>
  <c r="D16" i="12" a="1"/>
  <c r="D16" i="12" s="1"/>
  <c r="E16" i="12" a="1"/>
  <c r="E16" i="12" s="1"/>
  <c r="F16" i="12" a="1"/>
  <c r="F16" i="12" s="1"/>
  <c r="G16" i="12" a="1"/>
  <c r="G16" i="12" s="1"/>
  <c r="H16" i="12" a="1"/>
  <c r="H16" i="12" s="1"/>
  <c r="I16" i="12" a="1"/>
  <c r="I16" i="12" s="1"/>
  <c r="J16" i="12" a="1"/>
  <c r="J16" i="12" s="1"/>
  <c r="K16" i="12" a="1"/>
  <c r="K16" i="12" s="1"/>
  <c r="L16" i="12" a="1"/>
  <c r="L16" i="12" s="1"/>
  <c r="M16" i="12" a="1"/>
  <c r="M16" i="12" s="1"/>
  <c r="N16" i="12" a="1"/>
  <c r="N16" i="12" s="1"/>
  <c r="O16" i="12" a="1"/>
  <c r="O16" i="12" s="1"/>
  <c r="P16" i="12" a="1"/>
  <c r="P16" i="12" s="1"/>
  <c r="Q16" i="12" a="1"/>
  <c r="Q16" i="12" s="1"/>
  <c r="R16" i="12" a="1"/>
  <c r="R16" i="12" s="1"/>
  <c r="S16" i="12" a="1"/>
  <c r="S16" i="12" s="1"/>
  <c r="C17" i="12" a="1"/>
  <c r="C17" i="12" s="1"/>
  <c r="D17" i="12" a="1"/>
  <c r="D17" i="12" s="1"/>
  <c r="E17" i="12" a="1"/>
  <c r="E17" i="12" s="1"/>
  <c r="F17" i="12" a="1"/>
  <c r="F17" i="12" s="1"/>
  <c r="G17" i="12" a="1"/>
  <c r="G17" i="12" s="1"/>
  <c r="H17" i="12" a="1"/>
  <c r="H17" i="12" s="1"/>
  <c r="I17" i="12" a="1"/>
  <c r="I17" i="12" s="1"/>
  <c r="J17" i="12" a="1"/>
  <c r="J17" i="12" s="1"/>
  <c r="K17" i="12" a="1"/>
  <c r="K17" i="12" s="1"/>
  <c r="L17" i="12" a="1"/>
  <c r="L17" i="12" s="1"/>
  <c r="M17" i="12" a="1"/>
  <c r="M17" i="12" s="1"/>
  <c r="N17" i="12" a="1"/>
  <c r="N17" i="12" s="1"/>
  <c r="O17" i="12" a="1"/>
  <c r="O17" i="12" s="1"/>
  <c r="P17" i="12" a="1"/>
  <c r="P17" i="12" s="1"/>
  <c r="Q17" i="12" a="1"/>
  <c r="Q17" i="12" s="1"/>
  <c r="R17" i="12" a="1"/>
  <c r="R17" i="12" s="1"/>
  <c r="S17" i="12" a="1"/>
  <c r="S17" i="12" s="1"/>
  <c r="C18" i="12" a="1"/>
  <c r="C18" i="12" s="1"/>
  <c r="D18" i="12" a="1"/>
  <c r="D18" i="12" s="1"/>
  <c r="E18" i="12" a="1"/>
  <c r="E18" i="12" s="1"/>
  <c r="F18" i="12" a="1"/>
  <c r="F18" i="12" s="1"/>
  <c r="G18" i="12" a="1"/>
  <c r="G18" i="12" s="1"/>
  <c r="H18" i="12" a="1"/>
  <c r="H18" i="12" s="1"/>
  <c r="I18" i="12" a="1"/>
  <c r="I18" i="12" s="1"/>
  <c r="J18" i="12" a="1"/>
  <c r="J18" i="12" s="1"/>
  <c r="K18" i="12" a="1"/>
  <c r="K18" i="12" s="1"/>
  <c r="L18" i="12" a="1"/>
  <c r="L18" i="12" s="1"/>
  <c r="M18" i="12" a="1"/>
  <c r="M18" i="12" s="1"/>
  <c r="N18" i="12" a="1"/>
  <c r="N18" i="12" s="1"/>
  <c r="O18" i="12" a="1"/>
  <c r="O18" i="12" s="1"/>
  <c r="P18" i="12" a="1"/>
  <c r="P18" i="12" s="1"/>
  <c r="Q18" i="12" a="1"/>
  <c r="Q18" i="12" s="1"/>
  <c r="R18" i="12" a="1"/>
  <c r="R18" i="12" s="1"/>
  <c r="S18" i="12" a="1"/>
  <c r="S18" i="12" s="1"/>
  <c r="C19" i="12" a="1"/>
  <c r="C19" i="12" s="1"/>
  <c r="D19" i="12" a="1"/>
  <c r="D19" i="12" s="1"/>
  <c r="E19" i="12" a="1"/>
  <c r="E19" i="12" s="1"/>
  <c r="F19" i="12" a="1"/>
  <c r="F19" i="12" s="1"/>
  <c r="G19" i="12" a="1"/>
  <c r="G19" i="12" s="1"/>
  <c r="H19" i="12" a="1"/>
  <c r="H19" i="12" s="1"/>
  <c r="I19" i="12" a="1"/>
  <c r="I19" i="12" s="1"/>
  <c r="J19" i="12" a="1"/>
  <c r="J19" i="12" s="1"/>
  <c r="K19" i="12" a="1"/>
  <c r="K19" i="12" s="1"/>
  <c r="L19" i="12" a="1"/>
  <c r="L19" i="12" s="1"/>
  <c r="M19" i="12" a="1"/>
  <c r="M19" i="12" s="1"/>
  <c r="N19" i="12" a="1"/>
  <c r="N19" i="12" s="1"/>
  <c r="O19" i="12" a="1"/>
  <c r="O19" i="12" s="1"/>
  <c r="P19" i="12" a="1"/>
  <c r="P19" i="12" s="1"/>
  <c r="Q19" i="12" a="1"/>
  <c r="Q19" i="12" s="1"/>
  <c r="R19" i="12" a="1"/>
  <c r="R19" i="12" s="1"/>
  <c r="S19" i="12" a="1"/>
  <c r="S19" i="12" s="1"/>
  <c r="C20" i="12" a="1"/>
  <c r="C20" i="12" s="1"/>
  <c r="D20" i="12" a="1"/>
  <c r="D20" i="12" s="1"/>
  <c r="K10" i="20" s="1"/>
  <c r="E20" i="12" a="1"/>
  <c r="E20" i="12" s="1"/>
  <c r="L10" i="20" s="1"/>
  <c r="F20" i="12" a="1"/>
  <c r="F20" i="12" s="1"/>
  <c r="M10" i="20" s="1"/>
  <c r="G20" i="12" a="1"/>
  <c r="G20" i="12" s="1"/>
  <c r="N10" i="20" s="1"/>
  <c r="H20" i="12" a="1"/>
  <c r="H20" i="12" s="1"/>
  <c r="O10" i="20" s="1"/>
  <c r="O25" i="20" s="1"/>
  <c r="I20" i="12" a="1"/>
  <c r="I20" i="12" s="1"/>
  <c r="P10" i="20" s="1"/>
  <c r="P25" i="20" s="1"/>
  <c r="J20" i="12" a="1"/>
  <c r="J20" i="12" s="1"/>
  <c r="Q10" i="20" s="1"/>
  <c r="K20" i="12" a="1"/>
  <c r="K20" i="12" s="1"/>
  <c r="R10" i="20" s="1"/>
  <c r="L20" i="12" a="1"/>
  <c r="L20" i="12" s="1"/>
  <c r="S10" i="20" s="1"/>
  <c r="M20" i="12" a="1"/>
  <c r="M20" i="12" s="1"/>
  <c r="T10" i="20" s="1"/>
  <c r="N20" i="12" a="1"/>
  <c r="N20" i="12" s="1"/>
  <c r="U10" i="20" s="1"/>
  <c r="O20" i="12" a="1"/>
  <c r="O20" i="12" s="1"/>
  <c r="V10" i="20" s="1"/>
  <c r="P20" i="12" a="1"/>
  <c r="P20" i="12" s="1"/>
  <c r="W10" i="20" s="1"/>
  <c r="Q20" i="12" a="1"/>
  <c r="Q20" i="12" s="1"/>
  <c r="R20" i="12" a="1"/>
  <c r="R20" i="12" s="1"/>
  <c r="S20" i="12" a="1"/>
  <c r="S20" i="12" s="1"/>
  <c r="C21" i="12" a="1"/>
  <c r="C21" i="12" s="1"/>
  <c r="D21" i="12" a="1"/>
  <c r="D21" i="12" s="1"/>
  <c r="E21" i="12" a="1"/>
  <c r="E21" i="12" s="1"/>
  <c r="F21" i="12" a="1"/>
  <c r="F21" i="12" s="1"/>
  <c r="G21" i="12" a="1"/>
  <c r="G21" i="12" s="1"/>
  <c r="H21" i="12" a="1"/>
  <c r="H21" i="12" s="1"/>
  <c r="I21" i="12" a="1"/>
  <c r="I21" i="12" s="1"/>
  <c r="J21" i="12" a="1"/>
  <c r="J21" i="12" s="1"/>
  <c r="K21" i="12" a="1"/>
  <c r="K21" i="12" s="1"/>
  <c r="L21" i="12" a="1"/>
  <c r="L21" i="12" s="1"/>
  <c r="M21" i="12" a="1"/>
  <c r="M21" i="12" s="1"/>
  <c r="N21" i="12" a="1"/>
  <c r="N21" i="12" s="1"/>
  <c r="O21" i="12" a="1"/>
  <c r="O21" i="12" s="1"/>
  <c r="P21" i="12" a="1"/>
  <c r="P21" i="12" s="1"/>
  <c r="Q21" i="12" a="1"/>
  <c r="Q21" i="12" s="1"/>
  <c r="R21" i="12" a="1"/>
  <c r="R21" i="12" s="1"/>
  <c r="S21" i="12" a="1"/>
  <c r="S21" i="12" s="1"/>
  <c r="C22" i="12" a="1"/>
  <c r="C22" i="12" s="1"/>
  <c r="D22" i="12" a="1"/>
  <c r="D22" i="12" s="1"/>
  <c r="E22" i="12" a="1"/>
  <c r="E22" i="12" s="1"/>
  <c r="F22" i="12" a="1"/>
  <c r="F22" i="12" s="1"/>
  <c r="G22" i="12" a="1"/>
  <c r="G22" i="12" s="1"/>
  <c r="H22" i="12" a="1"/>
  <c r="H22" i="12" s="1"/>
  <c r="I22" i="12" a="1"/>
  <c r="I22" i="12" s="1"/>
  <c r="J22" i="12" a="1"/>
  <c r="J22" i="12" s="1"/>
  <c r="K22" i="12" a="1"/>
  <c r="K22" i="12" s="1"/>
  <c r="L22" i="12" a="1"/>
  <c r="L22" i="12" s="1"/>
  <c r="M22" i="12" a="1"/>
  <c r="M22" i="12" s="1"/>
  <c r="N22" i="12" a="1"/>
  <c r="N22" i="12" s="1"/>
  <c r="O22" i="12" a="1"/>
  <c r="O22" i="12" s="1"/>
  <c r="P22" i="12" a="1"/>
  <c r="P22" i="12" s="1"/>
  <c r="Q22" i="12" a="1"/>
  <c r="Q22" i="12" s="1"/>
  <c r="R22" i="12" a="1"/>
  <c r="R22" i="12" s="1"/>
  <c r="S22" i="12" a="1"/>
  <c r="S22" i="12" s="1"/>
  <c r="D4" i="12" a="1"/>
  <c r="D4" i="12" s="1"/>
  <c r="E4" i="12" a="1"/>
  <c r="E4" i="12" s="1"/>
  <c r="F4" i="12" a="1"/>
  <c r="F4" i="12" s="1"/>
  <c r="G4" i="12" a="1"/>
  <c r="G4" i="12" s="1"/>
  <c r="H4" i="12" a="1"/>
  <c r="H4" i="12" s="1"/>
  <c r="I4" i="12" a="1"/>
  <c r="I4" i="12" s="1"/>
  <c r="J4" i="12" a="1"/>
  <c r="J4" i="12" s="1"/>
  <c r="K4" i="12" a="1"/>
  <c r="K4" i="12" s="1"/>
  <c r="L4" i="12" a="1"/>
  <c r="L4" i="12" s="1"/>
  <c r="M4" i="12" a="1"/>
  <c r="M4" i="12" s="1"/>
  <c r="N4" i="12" a="1"/>
  <c r="N4" i="12" s="1"/>
  <c r="O4" i="12" a="1"/>
  <c r="O4" i="12" s="1"/>
  <c r="P4" i="12" a="1"/>
  <c r="P4" i="12" s="1"/>
  <c r="Q4" i="12" a="1"/>
  <c r="Q4" i="12" s="1"/>
  <c r="R4" i="12" a="1"/>
  <c r="R4" i="12" s="1"/>
  <c r="S4" i="12" a="1"/>
  <c r="S4" i="12" s="1"/>
  <c r="C4" i="12" a="1"/>
  <c r="C4" i="12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C6" i="11" a="1"/>
  <c r="C6" i="11" s="1"/>
  <c r="D6" i="11" a="1"/>
  <c r="D6" i="11" s="1"/>
  <c r="E6" i="11" a="1"/>
  <c r="E6" i="11" s="1"/>
  <c r="D5" i="20" s="1"/>
  <c r="F6" i="11" a="1"/>
  <c r="F6" i="11" s="1"/>
  <c r="E5" i="20" s="1"/>
  <c r="G6" i="11" a="1"/>
  <c r="G6" i="11" s="1"/>
  <c r="C7" i="11" a="1"/>
  <c r="C7" i="11" s="1"/>
  <c r="D7" i="11" a="1"/>
  <c r="D7" i="11" s="1"/>
  <c r="C6" i="20" s="1"/>
  <c r="E7" i="11" a="1"/>
  <c r="E7" i="11" s="1"/>
  <c r="F7" i="11" a="1"/>
  <c r="F7" i="11" s="1"/>
  <c r="G7" i="11" a="1"/>
  <c r="G7" i="11" s="1"/>
  <c r="C8" i="11" a="1"/>
  <c r="C8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C10" i="11" a="1"/>
  <c r="C10" i="11" s="1"/>
  <c r="D10" i="11" a="1"/>
  <c r="D10" i="11" s="1"/>
  <c r="E10" i="11" a="1"/>
  <c r="E10" i="11" s="1"/>
  <c r="F10" i="11" a="1"/>
  <c r="F10" i="11" s="1"/>
  <c r="G10" i="11" a="1"/>
  <c r="G10" i="11" s="1"/>
  <c r="C11" i="11" a="1"/>
  <c r="C11" i="11" s="1"/>
  <c r="D11" i="11" a="1"/>
  <c r="D11" i="11" s="1"/>
  <c r="E11" i="11" a="1"/>
  <c r="E11" i="11" s="1"/>
  <c r="F11" i="11" a="1"/>
  <c r="F11" i="11" s="1"/>
  <c r="G11" i="11" a="1"/>
  <c r="G11" i="11" s="1"/>
  <c r="C12" i="11" a="1"/>
  <c r="C12" i="11" s="1"/>
  <c r="D12" i="11" a="1"/>
  <c r="D12" i="11" s="1"/>
  <c r="E12" i="11" a="1"/>
  <c r="E12" i="11" s="1"/>
  <c r="F12" i="11" a="1"/>
  <c r="F12" i="11" s="1"/>
  <c r="G12" i="11" a="1"/>
  <c r="G12" i="11" s="1"/>
  <c r="C13" i="11" a="1"/>
  <c r="C13" i="11" s="1"/>
  <c r="D13" i="11" a="1"/>
  <c r="D13" i="11" s="1"/>
  <c r="E13" i="11" a="1"/>
  <c r="E13" i="11" s="1"/>
  <c r="F13" i="11" a="1"/>
  <c r="F13" i="11" s="1"/>
  <c r="G13" i="11" a="1"/>
  <c r="G13" i="11" s="1"/>
  <c r="C14" i="11" a="1"/>
  <c r="C14" i="11" s="1"/>
  <c r="D14" i="11" a="1"/>
  <c r="D14" i="11" s="1"/>
  <c r="E14" i="11" a="1"/>
  <c r="E14" i="11" s="1"/>
  <c r="F14" i="11" a="1"/>
  <c r="F14" i="11" s="1"/>
  <c r="G14" i="11" a="1"/>
  <c r="G14" i="11" s="1"/>
  <c r="C15" i="11" a="1"/>
  <c r="C15" i="11" s="1"/>
  <c r="D15" i="11" a="1"/>
  <c r="D15" i="11" s="1"/>
  <c r="E15" i="11" a="1"/>
  <c r="E15" i="11" s="1"/>
  <c r="F15" i="11" a="1"/>
  <c r="F15" i="11" s="1"/>
  <c r="G15" i="11" a="1"/>
  <c r="G15" i="11" s="1"/>
  <c r="C16" i="11" a="1"/>
  <c r="C16" i="11" s="1"/>
  <c r="D16" i="11" a="1"/>
  <c r="D16" i="11" s="1"/>
  <c r="E16" i="11" a="1"/>
  <c r="E16" i="11" s="1"/>
  <c r="F16" i="11" a="1"/>
  <c r="F16" i="11" s="1"/>
  <c r="G16" i="11" a="1"/>
  <c r="G16" i="11" s="1"/>
  <c r="C17" i="11" a="1"/>
  <c r="C17" i="11" s="1"/>
  <c r="D17" i="11" a="1"/>
  <c r="D17" i="11" s="1"/>
  <c r="E17" i="11" a="1"/>
  <c r="E17" i="11" s="1"/>
  <c r="F17" i="11" a="1"/>
  <c r="F17" i="11" s="1"/>
  <c r="G17" i="11" a="1"/>
  <c r="G17" i="11" s="1"/>
  <c r="C18" i="11" a="1"/>
  <c r="C18" i="11" s="1"/>
  <c r="D18" i="11" a="1"/>
  <c r="D18" i="11" s="1"/>
  <c r="E18" i="11" a="1"/>
  <c r="E18" i="11" s="1"/>
  <c r="F18" i="11" a="1"/>
  <c r="F18" i="11" s="1"/>
  <c r="G18" i="11" a="1"/>
  <c r="G18" i="11" s="1"/>
  <c r="C19" i="11" a="1"/>
  <c r="C19" i="11" s="1"/>
  <c r="D19" i="11" a="1"/>
  <c r="D19" i="11" s="1"/>
  <c r="E19" i="11" a="1"/>
  <c r="E19" i="11" s="1"/>
  <c r="F19" i="11" a="1"/>
  <c r="F19" i="11" s="1"/>
  <c r="G19" i="11" a="1"/>
  <c r="G19" i="11" s="1"/>
  <c r="C20" i="11" a="1"/>
  <c r="C20" i="11" s="1"/>
  <c r="D20" i="11" a="1"/>
  <c r="D20" i="11" s="1"/>
  <c r="C10" i="20" s="1"/>
  <c r="E20" i="11" a="1"/>
  <c r="E20" i="11" s="1"/>
  <c r="D10" i="20" s="1"/>
  <c r="D25" i="20" s="1"/>
  <c r="F20" i="11" a="1"/>
  <c r="F20" i="11" s="1"/>
  <c r="E10" i="20" s="1"/>
  <c r="G20" i="11" a="1"/>
  <c r="G20" i="11" s="1"/>
  <c r="F10" i="20" s="1"/>
  <c r="C21" i="11" a="1"/>
  <c r="C21" i="11" s="1"/>
  <c r="D21" i="11" a="1"/>
  <c r="D21" i="11" s="1"/>
  <c r="E21" i="11" a="1"/>
  <c r="E21" i="11" s="1"/>
  <c r="F21" i="11" a="1"/>
  <c r="F21" i="11" s="1"/>
  <c r="G21" i="11" a="1"/>
  <c r="G21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C25" i="11" a="1"/>
  <c r="C25" i="11" s="1"/>
  <c r="D25" i="11" a="1"/>
  <c r="D25" i="11" s="1"/>
  <c r="E25" i="11" a="1"/>
  <c r="E25" i="11" s="1"/>
  <c r="F25" i="11" a="1"/>
  <c r="F25" i="11" s="1"/>
  <c r="G25" i="11" a="1"/>
  <c r="G25" i="11" s="1"/>
  <c r="E4" i="11" a="1"/>
  <c r="E4" i="11" s="1"/>
  <c r="F4" i="11" a="1"/>
  <c r="F4" i="11" s="1"/>
  <c r="G4" i="11" a="1"/>
  <c r="G4" i="11" s="1"/>
  <c r="C4" i="2" a="1"/>
  <c r="C4" i="2" s="1"/>
  <c r="C19" i="4" a="1"/>
  <c r="C19" i="4" s="1"/>
  <c r="D19" i="4" a="1"/>
  <c r="D19" i="4" s="1"/>
  <c r="E19" i="4" a="1"/>
  <c r="E19" i="4" s="1"/>
  <c r="F19" i="4" a="1"/>
  <c r="F19" i="4" s="1"/>
  <c r="G19" i="4" a="1"/>
  <c r="G19" i="4" s="1"/>
  <c r="H19" i="4" a="1"/>
  <c r="H19" i="4" s="1"/>
  <c r="I19" i="4" a="1"/>
  <c r="I19" i="4" s="1"/>
  <c r="J19" i="4" a="1"/>
  <c r="J19" i="4" s="1"/>
  <c r="K19" i="4" a="1"/>
  <c r="K19" i="4" s="1"/>
  <c r="L19" i="4" a="1"/>
  <c r="L19" i="4" s="1"/>
  <c r="M19" i="4" a="1"/>
  <c r="M19" i="4" s="1"/>
  <c r="N19" i="4" a="1"/>
  <c r="N19" i="4" s="1"/>
  <c r="O19" i="4" a="1"/>
  <c r="O19" i="4" s="1"/>
  <c r="P19" i="4" a="1"/>
  <c r="P19" i="4" s="1"/>
  <c r="C20" i="4" a="1"/>
  <c r="C20" i="4" s="1"/>
  <c r="D20" i="4" a="1"/>
  <c r="D20" i="4" s="1"/>
  <c r="E20" i="4" a="1"/>
  <c r="E20" i="4" s="1"/>
  <c r="F20" i="4" a="1"/>
  <c r="F20" i="4" s="1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O20" i="4" a="1"/>
  <c r="O20" i="4" s="1"/>
  <c r="P20" i="4" a="1"/>
  <c r="P20" i="4" s="1"/>
  <c r="C21" i="4" a="1"/>
  <c r="C21" i="4" s="1"/>
  <c r="D21" i="4" a="1"/>
  <c r="D21" i="4" s="1"/>
  <c r="E21" i="4" a="1"/>
  <c r="E21" i="4" s="1"/>
  <c r="F21" i="4" a="1"/>
  <c r="F21" i="4" s="1"/>
  <c r="G21" i="4" a="1"/>
  <c r="G21" i="4" s="1"/>
  <c r="H21" i="4" a="1"/>
  <c r="H21" i="4" s="1"/>
  <c r="I21" i="4" a="1"/>
  <c r="I21" i="4" s="1"/>
  <c r="J21" i="4" a="1"/>
  <c r="J21" i="4" s="1"/>
  <c r="K21" i="4" a="1"/>
  <c r="K21" i="4" s="1"/>
  <c r="L21" i="4" a="1"/>
  <c r="L21" i="4" s="1"/>
  <c r="M21" i="4" a="1"/>
  <c r="M21" i="4" s="1"/>
  <c r="N21" i="4" a="1"/>
  <c r="N21" i="4" s="1"/>
  <c r="O21" i="4" a="1"/>
  <c r="O21" i="4" s="1"/>
  <c r="P21" i="4" a="1"/>
  <c r="P21" i="4" s="1"/>
  <c r="C22" i="4" a="1"/>
  <c r="C22" i="4" s="1"/>
  <c r="D22" i="4" a="1"/>
  <c r="D22" i="4" s="1"/>
  <c r="K6" i="19" s="1"/>
  <c r="E22" i="4" a="1"/>
  <c r="E22" i="4" s="1"/>
  <c r="L6" i="19" s="1"/>
  <c r="F22" i="4" a="1"/>
  <c r="F22" i="4" s="1"/>
  <c r="M6" i="19" s="1"/>
  <c r="G22" i="4" a="1"/>
  <c r="G22" i="4" s="1"/>
  <c r="N6" i="19" s="1"/>
  <c r="H22" i="4" a="1"/>
  <c r="H22" i="4" s="1"/>
  <c r="O6" i="19" s="1"/>
  <c r="I22" i="4" a="1"/>
  <c r="I22" i="4" s="1"/>
  <c r="P6" i="19" s="1"/>
  <c r="J22" i="4" a="1"/>
  <c r="J22" i="4" s="1"/>
  <c r="Q6" i="19" s="1"/>
  <c r="K22" i="4" a="1"/>
  <c r="K22" i="4" s="1"/>
  <c r="R6" i="19" s="1"/>
  <c r="L22" i="4" a="1"/>
  <c r="L22" i="4" s="1"/>
  <c r="S6" i="19" s="1"/>
  <c r="M22" i="4" a="1"/>
  <c r="M22" i="4" s="1"/>
  <c r="T6" i="19" s="1"/>
  <c r="N22" i="4" a="1"/>
  <c r="N22" i="4" s="1"/>
  <c r="U6" i="19" s="1"/>
  <c r="O22" i="4" a="1"/>
  <c r="O22" i="4" s="1"/>
  <c r="V6" i="19" s="1"/>
  <c r="P22" i="4" a="1"/>
  <c r="P22" i="4" s="1"/>
  <c r="W6" i="19" s="1"/>
  <c r="C23" i="4" a="1"/>
  <c r="C23" i="4" s="1"/>
  <c r="D23" i="4" a="1"/>
  <c r="D23" i="4" s="1"/>
  <c r="E23" i="4" a="1"/>
  <c r="E23" i="4" s="1"/>
  <c r="F23" i="4" a="1"/>
  <c r="F23" i="4" s="1"/>
  <c r="G23" i="4" a="1"/>
  <c r="G23" i="4" s="1"/>
  <c r="H23" i="4" a="1"/>
  <c r="H23" i="4" s="1"/>
  <c r="I23" i="4" a="1"/>
  <c r="I23" i="4" s="1"/>
  <c r="J23" i="4" a="1"/>
  <c r="J23" i="4" s="1"/>
  <c r="K23" i="4" a="1"/>
  <c r="K23" i="4" s="1"/>
  <c r="L23" i="4" a="1"/>
  <c r="L23" i="4" s="1"/>
  <c r="M23" i="4" a="1"/>
  <c r="M23" i="4" s="1"/>
  <c r="N23" i="4" a="1"/>
  <c r="N23" i="4" s="1"/>
  <c r="O23" i="4" a="1"/>
  <c r="O23" i="4" s="1"/>
  <c r="P23" i="4" a="1"/>
  <c r="P23" i="4" s="1"/>
  <c r="C24" i="4" a="1"/>
  <c r="C24" i="4" s="1"/>
  <c r="D24" i="4" a="1"/>
  <c r="D24" i="4" s="1"/>
  <c r="E24" i="4" a="1"/>
  <c r="E24" i="4" s="1"/>
  <c r="F24" i="4" a="1"/>
  <c r="F24" i="4" s="1"/>
  <c r="G24" i="4" a="1"/>
  <c r="G24" i="4" s="1"/>
  <c r="H24" i="4" a="1"/>
  <c r="H24" i="4" s="1"/>
  <c r="I24" i="4" a="1"/>
  <c r="I24" i="4" s="1"/>
  <c r="J24" i="4" a="1"/>
  <c r="J24" i="4" s="1"/>
  <c r="K24" i="4" a="1"/>
  <c r="K24" i="4" s="1"/>
  <c r="L24" i="4" a="1"/>
  <c r="L24" i="4" s="1"/>
  <c r="M24" i="4" a="1"/>
  <c r="M24" i="4" s="1"/>
  <c r="N24" i="4" a="1"/>
  <c r="N24" i="4" s="1"/>
  <c r="O24" i="4" a="1"/>
  <c r="O24" i="4" s="1"/>
  <c r="P24" i="4" a="1"/>
  <c r="P24" i="4" s="1"/>
  <c r="C25" i="4" a="1"/>
  <c r="C25" i="4" s="1"/>
  <c r="D25" i="4" a="1"/>
  <c r="D25" i="4" s="1"/>
  <c r="K8" i="19" s="1"/>
  <c r="E25" i="4" a="1"/>
  <c r="E25" i="4" s="1"/>
  <c r="L8" i="19" s="1"/>
  <c r="F25" i="4" a="1"/>
  <c r="F25" i="4" s="1"/>
  <c r="M8" i="19" s="1"/>
  <c r="G25" i="4" a="1"/>
  <c r="G25" i="4" s="1"/>
  <c r="N8" i="19" s="1"/>
  <c r="H25" i="4" a="1"/>
  <c r="H25" i="4" s="1"/>
  <c r="O8" i="19" s="1"/>
  <c r="I25" i="4" a="1"/>
  <c r="I25" i="4" s="1"/>
  <c r="P8" i="19" s="1"/>
  <c r="J25" i="4" a="1"/>
  <c r="J25" i="4" s="1"/>
  <c r="Q8" i="19" s="1"/>
  <c r="K25" i="4" a="1"/>
  <c r="K25" i="4" s="1"/>
  <c r="R8" i="19" s="1"/>
  <c r="L25" i="4" a="1"/>
  <c r="L25" i="4" s="1"/>
  <c r="S8" i="19" s="1"/>
  <c r="M25" i="4" a="1"/>
  <c r="M25" i="4" s="1"/>
  <c r="T8" i="19" s="1"/>
  <c r="N25" i="4" a="1"/>
  <c r="N25" i="4" s="1"/>
  <c r="U8" i="19" s="1"/>
  <c r="O25" i="4" a="1"/>
  <c r="O25" i="4" s="1"/>
  <c r="V8" i="19" s="1"/>
  <c r="P25" i="4" a="1"/>
  <c r="P25" i="4" s="1"/>
  <c r="W8" i="19" s="1"/>
  <c r="C26" i="4" a="1"/>
  <c r="C26" i="4" s="1"/>
  <c r="D26" i="4" a="1"/>
  <c r="D26" i="4" s="1"/>
  <c r="E26" i="4" a="1"/>
  <c r="E26" i="4" s="1"/>
  <c r="F26" i="4" a="1"/>
  <c r="F26" i="4" s="1"/>
  <c r="G26" i="4" a="1"/>
  <c r="G26" i="4" s="1"/>
  <c r="H26" i="4" a="1"/>
  <c r="H26" i="4" s="1"/>
  <c r="I26" i="4" a="1"/>
  <c r="I26" i="4" s="1"/>
  <c r="J26" i="4" a="1"/>
  <c r="J26" i="4" s="1"/>
  <c r="K26" i="4" a="1"/>
  <c r="K26" i="4" s="1"/>
  <c r="L26" i="4" a="1"/>
  <c r="L26" i="4" s="1"/>
  <c r="M26" i="4" a="1"/>
  <c r="M26" i="4" s="1"/>
  <c r="N26" i="4" a="1"/>
  <c r="N26" i="4" s="1"/>
  <c r="O26" i="4" a="1"/>
  <c r="O26" i="4" s="1"/>
  <c r="P26" i="4" a="1"/>
  <c r="P26" i="4" s="1"/>
  <c r="C27" i="4" a="1"/>
  <c r="C27" i="4" s="1"/>
  <c r="D27" i="4" a="1"/>
  <c r="D27" i="4" s="1"/>
  <c r="E27" i="4" a="1"/>
  <c r="E27" i="4" s="1"/>
  <c r="F27" i="4" a="1"/>
  <c r="F27" i="4" s="1"/>
  <c r="G27" i="4" a="1"/>
  <c r="G27" i="4" s="1"/>
  <c r="H27" i="4" a="1"/>
  <c r="H27" i="4" s="1"/>
  <c r="I27" i="4" a="1"/>
  <c r="I27" i="4" s="1"/>
  <c r="J27" i="4" a="1"/>
  <c r="J27" i="4" s="1"/>
  <c r="K27" i="4" a="1"/>
  <c r="K27" i="4" s="1"/>
  <c r="L27" i="4" a="1"/>
  <c r="L27" i="4" s="1"/>
  <c r="M27" i="4" a="1"/>
  <c r="M27" i="4" s="1"/>
  <c r="N27" i="4" a="1"/>
  <c r="N27" i="4" s="1"/>
  <c r="O27" i="4" a="1"/>
  <c r="O27" i="4" s="1"/>
  <c r="P27" i="4" a="1"/>
  <c r="P27" i="4" s="1"/>
  <c r="C28" i="4" a="1"/>
  <c r="C28" i="4" s="1"/>
  <c r="D28" i="4" a="1"/>
  <c r="D28" i="4" s="1"/>
  <c r="E28" i="4" a="1"/>
  <c r="E28" i="4" s="1"/>
  <c r="F28" i="4" a="1"/>
  <c r="F28" i="4" s="1"/>
  <c r="G28" i="4" a="1"/>
  <c r="G28" i="4" s="1"/>
  <c r="H28" i="4" a="1"/>
  <c r="H28" i="4" s="1"/>
  <c r="I28" i="4" a="1"/>
  <c r="I28" i="4" s="1"/>
  <c r="J28" i="4" a="1"/>
  <c r="J28" i="4" s="1"/>
  <c r="K28" i="4" a="1"/>
  <c r="K28" i="4" s="1"/>
  <c r="L28" i="4" a="1"/>
  <c r="L28" i="4" s="1"/>
  <c r="M28" i="4" a="1"/>
  <c r="M28" i="4" s="1"/>
  <c r="N28" i="4" a="1"/>
  <c r="N28" i="4" s="1"/>
  <c r="O28" i="4" a="1"/>
  <c r="O28" i="4" s="1"/>
  <c r="P28" i="4" a="1"/>
  <c r="P28" i="4" s="1"/>
  <c r="C29" i="4" a="1"/>
  <c r="C29" i="4" s="1"/>
  <c r="D29" i="4" a="1"/>
  <c r="D29" i="4" s="1"/>
  <c r="E29" i="4" a="1"/>
  <c r="E29" i="4" s="1"/>
  <c r="F29" i="4" a="1"/>
  <c r="F29" i="4" s="1"/>
  <c r="G29" i="4" a="1"/>
  <c r="G29" i="4" s="1"/>
  <c r="H29" i="4" a="1"/>
  <c r="H29" i="4" s="1"/>
  <c r="I29" i="4" a="1"/>
  <c r="I29" i="4" s="1"/>
  <c r="J29" i="4" a="1"/>
  <c r="J29" i="4" s="1"/>
  <c r="K29" i="4" a="1"/>
  <c r="K29" i="4" s="1"/>
  <c r="L29" i="4" a="1"/>
  <c r="L29" i="4" s="1"/>
  <c r="M29" i="4" a="1"/>
  <c r="M29" i="4" s="1"/>
  <c r="N29" i="4" a="1"/>
  <c r="N29" i="4" s="1"/>
  <c r="O29" i="4" a="1"/>
  <c r="O29" i="4" s="1"/>
  <c r="P29" i="4" a="1"/>
  <c r="P29" i="4" s="1"/>
  <c r="C30" i="4" a="1"/>
  <c r="C30" i="4" s="1"/>
  <c r="D30" i="4" a="1"/>
  <c r="D30" i="4" s="1"/>
  <c r="E30" i="4" a="1"/>
  <c r="E30" i="4" s="1"/>
  <c r="F30" i="4" a="1"/>
  <c r="F30" i="4" s="1"/>
  <c r="G30" i="4" a="1"/>
  <c r="G30" i="4" s="1"/>
  <c r="H30" i="4" a="1"/>
  <c r="H30" i="4" s="1"/>
  <c r="I30" i="4" a="1"/>
  <c r="I30" i="4" s="1"/>
  <c r="J30" i="4" a="1"/>
  <c r="J30" i="4" s="1"/>
  <c r="K30" i="4" a="1"/>
  <c r="K30" i="4" s="1"/>
  <c r="L30" i="4" a="1"/>
  <c r="L30" i="4" s="1"/>
  <c r="M30" i="4" a="1"/>
  <c r="M30" i="4" s="1"/>
  <c r="N30" i="4" a="1"/>
  <c r="N30" i="4" s="1"/>
  <c r="O30" i="4" a="1"/>
  <c r="O30" i="4" s="1"/>
  <c r="P30" i="4" a="1"/>
  <c r="P30" i="4" s="1"/>
  <c r="C31" i="4" a="1"/>
  <c r="C31" i="4" s="1"/>
  <c r="C32" i="4" a="1"/>
  <c r="C32" i="4" s="1"/>
  <c r="D32" i="4" a="1"/>
  <c r="D32" i="4" s="1"/>
  <c r="E32" i="4" a="1"/>
  <c r="E32" i="4" s="1"/>
  <c r="F32" i="4" a="1"/>
  <c r="F32" i="4" s="1"/>
  <c r="G32" i="4" a="1"/>
  <c r="G32" i="4" s="1"/>
  <c r="H32" i="4" a="1"/>
  <c r="H32" i="4" s="1"/>
  <c r="I32" i="4" a="1"/>
  <c r="I32" i="4" s="1"/>
  <c r="J32" i="4" a="1"/>
  <c r="J32" i="4" s="1"/>
  <c r="K32" i="4" a="1"/>
  <c r="K32" i="4" s="1"/>
  <c r="L32" i="4" a="1"/>
  <c r="L32" i="4" s="1"/>
  <c r="M32" i="4" a="1"/>
  <c r="M32" i="4" s="1"/>
  <c r="N32" i="4" a="1"/>
  <c r="N32" i="4" s="1"/>
  <c r="O32" i="4" a="1"/>
  <c r="O32" i="4" s="1"/>
  <c r="P32" i="4" a="1"/>
  <c r="P32" i="4" s="1"/>
  <c r="C33" i="4" a="1"/>
  <c r="C33" i="4" s="1"/>
  <c r="D33" i="4" a="1"/>
  <c r="D33" i="4" s="1"/>
  <c r="E33" i="4" a="1"/>
  <c r="E33" i="4" s="1"/>
  <c r="F33" i="4" a="1"/>
  <c r="F33" i="4" s="1"/>
  <c r="G33" i="4" a="1"/>
  <c r="G33" i="4" s="1"/>
  <c r="H33" i="4" a="1"/>
  <c r="H33" i="4" s="1"/>
  <c r="I33" i="4" a="1"/>
  <c r="I33" i="4" s="1"/>
  <c r="J33" i="4" a="1"/>
  <c r="J33" i="4" s="1"/>
  <c r="K33" i="4" a="1"/>
  <c r="K33" i="4" s="1"/>
  <c r="L33" i="4" a="1"/>
  <c r="L33" i="4" s="1"/>
  <c r="M33" i="4" a="1"/>
  <c r="M33" i="4" s="1"/>
  <c r="N33" i="4" a="1"/>
  <c r="N33" i="4" s="1"/>
  <c r="O33" i="4" a="1"/>
  <c r="O33" i="4" s="1"/>
  <c r="P33" i="4" a="1"/>
  <c r="P33" i="4" s="1"/>
  <c r="C34" i="4" a="1"/>
  <c r="C34" i="4" s="1"/>
  <c r="D34" i="4" a="1"/>
  <c r="D34" i="4" s="1"/>
  <c r="E34" i="4" a="1"/>
  <c r="E34" i="4" s="1"/>
  <c r="F34" i="4" a="1"/>
  <c r="F34" i="4" s="1"/>
  <c r="G34" i="4" a="1"/>
  <c r="G34" i="4" s="1"/>
  <c r="H34" i="4" a="1"/>
  <c r="H34" i="4" s="1"/>
  <c r="I34" i="4" a="1"/>
  <c r="I34" i="4" s="1"/>
  <c r="J34" i="4" a="1"/>
  <c r="J34" i="4" s="1"/>
  <c r="K34" i="4" a="1"/>
  <c r="K34" i="4" s="1"/>
  <c r="L34" i="4" a="1"/>
  <c r="L34" i="4" s="1"/>
  <c r="M34" i="4" a="1"/>
  <c r="M34" i="4" s="1"/>
  <c r="N34" i="4" a="1"/>
  <c r="N34" i="4" s="1"/>
  <c r="O34" i="4" a="1"/>
  <c r="O34" i="4" s="1"/>
  <c r="P34" i="4" a="1"/>
  <c r="P34" i="4" s="1"/>
  <c r="C35" i="4" a="1"/>
  <c r="C35" i="4" s="1"/>
  <c r="D35" i="4" a="1"/>
  <c r="D35" i="4" s="1"/>
  <c r="E35" i="4" a="1"/>
  <c r="E35" i="4" s="1"/>
  <c r="F35" i="4" a="1"/>
  <c r="F35" i="4" s="1"/>
  <c r="G35" i="4" a="1"/>
  <c r="G35" i="4" s="1"/>
  <c r="H35" i="4" a="1"/>
  <c r="H35" i="4" s="1"/>
  <c r="I35" i="4" a="1"/>
  <c r="I35" i="4" s="1"/>
  <c r="J35" i="4" a="1"/>
  <c r="J35" i="4" s="1"/>
  <c r="K35" i="4" a="1"/>
  <c r="K35" i="4" s="1"/>
  <c r="L35" i="4" a="1"/>
  <c r="L35" i="4" s="1"/>
  <c r="M35" i="4" a="1"/>
  <c r="M35" i="4" s="1"/>
  <c r="N35" i="4" a="1"/>
  <c r="N35" i="4" s="1"/>
  <c r="O35" i="4" a="1"/>
  <c r="O35" i="4" s="1"/>
  <c r="P35" i="4" a="1"/>
  <c r="P35" i="4" s="1"/>
  <c r="C36" i="4" a="1"/>
  <c r="C36" i="4" s="1"/>
  <c r="D36" i="4" a="1"/>
  <c r="D36" i="4" s="1"/>
  <c r="E36" i="4" a="1"/>
  <c r="E36" i="4" s="1"/>
  <c r="F36" i="4" a="1"/>
  <c r="F36" i="4" s="1"/>
  <c r="G36" i="4" a="1"/>
  <c r="G36" i="4" s="1"/>
  <c r="H36" i="4" a="1"/>
  <c r="H36" i="4" s="1"/>
  <c r="I36" i="4" a="1"/>
  <c r="I36" i="4" s="1"/>
  <c r="J36" i="4" a="1"/>
  <c r="J36" i="4" s="1"/>
  <c r="K36" i="4" a="1"/>
  <c r="K36" i="4" s="1"/>
  <c r="L36" i="4" a="1"/>
  <c r="L36" i="4" s="1"/>
  <c r="M36" i="4" a="1"/>
  <c r="M36" i="4" s="1"/>
  <c r="N36" i="4" a="1"/>
  <c r="N36" i="4" s="1"/>
  <c r="O36" i="4" a="1"/>
  <c r="O36" i="4" s="1"/>
  <c r="P36" i="4" a="1"/>
  <c r="P36" i="4" s="1"/>
  <c r="C37" i="4" a="1"/>
  <c r="C37" i="4" s="1"/>
  <c r="D37" i="4" a="1"/>
  <c r="D37" i="4" s="1"/>
  <c r="E37" i="4" a="1"/>
  <c r="E37" i="4" s="1"/>
  <c r="F37" i="4" a="1"/>
  <c r="F37" i="4" s="1"/>
  <c r="G37" i="4" a="1"/>
  <c r="G37" i="4" s="1"/>
  <c r="H37" i="4" a="1"/>
  <c r="H37" i="4" s="1"/>
  <c r="I37" i="4" a="1"/>
  <c r="I37" i="4" s="1"/>
  <c r="J37" i="4" a="1"/>
  <c r="J37" i="4" s="1"/>
  <c r="K37" i="4" a="1"/>
  <c r="K37" i="4" s="1"/>
  <c r="L37" i="4" a="1"/>
  <c r="L37" i="4" s="1"/>
  <c r="M37" i="4" a="1"/>
  <c r="M37" i="4" s="1"/>
  <c r="N37" i="4" a="1"/>
  <c r="N37" i="4" s="1"/>
  <c r="O37" i="4" a="1"/>
  <c r="O37" i="4" s="1"/>
  <c r="P37" i="4" a="1"/>
  <c r="P37" i="4" s="1"/>
  <c r="C38" i="4" a="1"/>
  <c r="C38" i="4" s="1"/>
  <c r="D38" i="4" a="1"/>
  <c r="D38" i="4" s="1"/>
  <c r="E38" i="4" a="1"/>
  <c r="E38" i="4" s="1"/>
  <c r="F38" i="4" a="1"/>
  <c r="F38" i="4" s="1"/>
  <c r="G38" i="4" a="1"/>
  <c r="G38" i="4" s="1"/>
  <c r="H38" i="4" a="1"/>
  <c r="H38" i="4" s="1"/>
  <c r="I38" i="4" a="1"/>
  <c r="I38" i="4" s="1"/>
  <c r="J38" i="4" a="1"/>
  <c r="J38" i="4" s="1"/>
  <c r="K38" i="4" a="1"/>
  <c r="K38" i="4" s="1"/>
  <c r="L38" i="4" a="1"/>
  <c r="L38" i="4" s="1"/>
  <c r="M38" i="4" a="1"/>
  <c r="M38" i="4" s="1"/>
  <c r="N38" i="4" a="1"/>
  <c r="N38" i="4" s="1"/>
  <c r="O38" i="4" a="1"/>
  <c r="O38" i="4" s="1"/>
  <c r="P38" i="4" a="1"/>
  <c r="P38" i="4" s="1"/>
  <c r="C39" i="4" a="1"/>
  <c r="C39" i="4" s="1"/>
  <c r="D39" i="4" a="1"/>
  <c r="D39" i="4" s="1"/>
  <c r="E39" i="4" a="1"/>
  <c r="E39" i="4" s="1"/>
  <c r="F39" i="4" a="1"/>
  <c r="F39" i="4" s="1"/>
  <c r="G39" i="4" a="1"/>
  <c r="G39" i="4" s="1"/>
  <c r="H39" i="4" a="1"/>
  <c r="H39" i="4" s="1"/>
  <c r="I39" i="4" a="1"/>
  <c r="I39" i="4" s="1"/>
  <c r="J39" i="4" a="1"/>
  <c r="J39" i="4" s="1"/>
  <c r="K39" i="4" a="1"/>
  <c r="K39" i="4" s="1"/>
  <c r="L39" i="4" a="1"/>
  <c r="L39" i="4" s="1"/>
  <c r="M39" i="4" a="1"/>
  <c r="M39" i="4" s="1"/>
  <c r="N39" i="4" a="1"/>
  <c r="N39" i="4" s="1"/>
  <c r="O39" i="4" a="1"/>
  <c r="O39" i="4" s="1"/>
  <c r="P39" i="4" a="1"/>
  <c r="P39" i="4" s="1"/>
  <c r="C40" i="4" a="1"/>
  <c r="C40" i="4" s="1"/>
  <c r="D40" i="4" a="1"/>
  <c r="D40" i="4" s="1"/>
  <c r="E40" i="4" a="1"/>
  <c r="E40" i="4" s="1"/>
  <c r="F40" i="4" a="1"/>
  <c r="F40" i="4" s="1"/>
  <c r="G40" i="4" a="1"/>
  <c r="G40" i="4" s="1"/>
  <c r="H40" i="4" a="1"/>
  <c r="H40" i="4" s="1"/>
  <c r="I40" i="4" a="1"/>
  <c r="I40" i="4" s="1"/>
  <c r="J40" i="4" a="1"/>
  <c r="J40" i="4" s="1"/>
  <c r="K40" i="4" a="1"/>
  <c r="K40" i="4" s="1"/>
  <c r="L40" i="4" a="1"/>
  <c r="L40" i="4" s="1"/>
  <c r="M40" i="4" a="1"/>
  <c r="M40" i="4" s="1"/>
  <c r="N40" i="4" a="1"/>
  <c r="N40" i="4" s="1"/>
  <c r="O40" i="4" a="1"/>
  <c r="O40" i="4" s="1"/>
  <c r="P40" i="4" a="1"/>
  <c r="P40" i="4" s="1"/>
  <c r="C41" i="4" a="1"/>
  <c r="C41" i="4" s="1"/>
  <c r="D41" i="4" a="1"/>
  <c r="D41" i="4" s="1"/>
  <c r="E41" i="4" a="1"/>
  <c r="E41" i="4" s="1"/>
  <c r="F41" i="4" a="1"/>
  <c r="F41" i="4" s="1"/>
  <c r="G41" i="4" a="1"/>
  <c r="G41" i="4" s="1"/>
  <c r="H41" i="4" a="1"/>
  <c r="H41" i="4" s="1"/>
  <c r="I41" i="4" a="1"/>
  <c r="I41" i="4" s="1"/>
  <c r="J41" i="4" a="1"/>
  <c r="J41" i="4" s="1"/>
  <c r="K41" i="4" a="1"/>
  <c r="K41" i="4" s="1"/>
  <c r="L41" i="4" a="1"/>
  <c r="L41" i="4" s="1"/>
  <c r="M41" i="4" a="1"/>
  <c r="M41" i="4" s="1"/>
  <c r="N41" i="4" a="1"/>
  <c r="N41" i="4" s="1"/>
  <c r="O41" i="4" a="1"/>
  <c r="O41" i="4" s="1"/>
  <c r="P41" i="4" a="1"/>
  <c r="P41" i="4" s="1"/>
  <c r="C42" i="4" a="1"/>
  <c r="C42" i="4" s="1"/>
  <c r="D42" i="4" a="1"/>
  <c r="D42" i="4" s="1"/>
  <c r="E42" i="4" a="1"/>
  <c r="E42" i="4" s="1"/>
  <c r="F42" i="4" a="1"/>
  <c r="F42" i="4" s="1"/>
  <c r="G42" i="4" a="1"/>
  <c r="G42" i="4" s="1"/>
  <c r="H42" i="4" a="1"/>
  <c r="H42" i="4" s="1"/>
  <c r="I42" i="4" a="1"/>
  <c r="I42" i="4" s="1"/>
  <c r="J42" i="4" a="1"/>
  <c r="J42" i="4" s="1"/>
  <c r="K42" i="4" a="1"/>
  <c r="K42" i="4" s="1"/>
  <c r="L42" i="4" a="1"/>
  <c r="L42" i="4" s="1"/>
  <c r="M42" i="4" a="1"/>
  <c r="M42" i="4" s="1"/>
  <c r="N42" i="4" a="1"/>
  <c r="N42" i="4" s="1"/>
  <c r="O42" i="4" a="1"/>
  <c r="O42" i="4" s="1"/>
  <c r="P42" i="4" a="1"/>
  <c r="P42" i="4" s="1"/>
  <c r="C43" i="4" a="1"/>
  <c r="C43" i="4" s="1"/>
  <c r="D43" i="4" a="1"/>
  <c r="D43" i="4" s="1"/>
  <c r="E43" i="4" a="1"/>
  <c r="E43" i="4" s="1"/>
  <c r="F43" i="4" a="1"/>
  <c r="F43" i="4" s="1"/>
  <c r="G43" i="4" a="1"/>
  <c r="G43" i="4" s="1"/>
  <c r="H43" i="4" a="1"/>
  <c r="H43" i="4" s="1"/>
  <c r="I43" i="4" a="1"/>
  <c r="I43" i="4" s="1"/>
  <c r="J43" i="4" a="1"/>
  <c r="J43" i="4" s="1"/>
  <c r="K43" i="4" a="1"/>
  <c r="K43" i="4" s="1"/>
  <c r="L43" i="4" a="1"/>
  <c r="L43" i="4" s="1"/>
  <c r="M43" i="4" a="1"/>
  <c r="M43" i="4" s="1"/>
  <c r="N43" i="4" a="1"/>
  <c r="N43" i="4" s="1"/>
  <c r="O43" i="4" a="1"/>
  <c r="O43" i="4" s="1"/>
  <c r="P43" i="4" a="1"/>
  <c r="P43" i="4" s="1"/>
  <c r="C44" i="4" a="1"/>
  <c r="C44" i="4" s="1"/>
  <c r="D44" i="4" a="1"/>
  <c r="D44" i="4" s="1"/>
  <c r="E44" i="4" a="1"/>
  <c r="E44" i="4" s="1"/>
  <c r="F44" i="4" a="1"/>
  <c r="F44" i="4" s="1"/>
  <c r="G44" i="4" a="1"/>
  <c r="G44" i="4" s="1"/>
  <c r="H44" i="4" a="1"/>
  <c r="H44" i="4" s="1"/>
  <c r="I44" i="4" a="1"/>
  <c r="I44" i="4" s="1"/>
  <c r="J44" i="4" a="1"/>
  <c r="J44" i="4" s="1"/>
  <c r="K44" i="4" a="1"/>
  <c r="K44" i="4" s="1"/>
  <c r="L44" i="4" a="1"/>
  <c r="L44" i="4" s="1"/>
  <c r="M44" i="4" a="1"/>
  <c r="M44" i="4" s="1"/>
  <c r="N44" i="4" a="1"/>
  <c r="N44" i="4" s="1"/>
  <c r="O44" i="4" a="1"/>
  <c r="O44" i="4" s="1"/>
  <c r="P44" i="4" a="1"/>
  <c r="P44" i="4" s="1"/>
  <c r="C45" i="4" a="1"/>
  <c r="C45" i="4" s="1"/>
  <c r="D45" i="4" a="1"/>
  <c r="D45" i="4" s="1"/>
  <c r="E45" i="4" a="1"/>
  <c r="E45" i="4" s="1"/>
  <c r="F45" i="4" a="1"/>
  <c r="F45" i="4" s="1"/>
  <c r="G45" i="4" a="1"/>
  <c r="G45" i="4" s="1"/>
  <c r="H45" i="4" a="1"/>
  <c r="H45" i="4" s="1"/>
  <c r="I45" i="4" a="1"/>
  <c r="I45" i="4" s="1"/>
  <c r="J45" i="4" a="1"/>
  <c r="J45" i="4" s="1"/>
  <c r="K45" i="4" a="1"/>
  <c r="K45" i="4" s="1"/>
  <c r="L45" i="4" a="1"/>
  <c r="L45" i="4" s="1"/>
  <c r="M45" i="4" a="1"/>
  <c r="M45" i="4" s="1"/>
  <c r="N45" i="4" a="1"/>
  <c r="N45" i="4" s="1"/>
  <c r="O45" i="4" a="1"/>
  <c r="O45" i="4" s="1"/>
  <c r="P45" i="4" a="1"/>
  <c r="P45" i="4" s="1"/>
  <c r="C46" i="4" a="1"/>
  <c r="C46" i="4" s="1"/>
  <c r="D46" i="4" a="1"/>
  <c r="D46" i="4" s="1"/>
  <c r="E46" i="4" a="1"/>
  <c r="E46" i="4" s="1"/>
  <c r="F46" i="4" a="1"/>
  <c r="F46" i="4" s="1"/>
  <c r="G46" i="4" a="1"/>
  <c r="G46" i="4" s="1"/>
  <c r="H46" i="4" a="1"/>
  <c r="H46" i="4" s="1"/>
  <c r="I46" i="4" a="1"/>
  <c r="I46" i="4" s="1"/>
  <c r="J46" i="4" a="1"/>
  <c r="J46" i="4" s="1"/>
  <c r="K46" i="4" a="1"/>
  <c r="K46" i="4" s="1"/>
  <c r="L46" i="4" a="1"/>
  <c r="L46" i="4" s="1"/>
  <c r="M46" i="4" a="1"/>
  <c r="M46" i="4" s="1"/>
  <c r="N46" i="4" a="1"/>
  <c r="N46" i="4" s="1"/>
  <c r="O46" i="4" a="1"/>
  <c r="O46" i="4" s="1"/>
  <c r="P46" i="4" a="1"/>
  <c r="P46" i="4" s="1"/>
  <c r="C47" i="4" a="1"/>
  <c r="C47" i="4" s="1"/>
  <c r="D47" i="4" a="1"/>
  <c r="D47" i="4" s="1"/>
  <c r="E47" i="4" a="1"/>
  <c r="E47" i="4" s="1"/>
  <c r="F47" i="4" a="1"/>
  <c r="F47" i="4" s="1"/>
  <c r="G47" i="4" a="1"/>
  <c r="G47" i="4" s="1"/>
  <c r="H47" i="4" a="1"/>
  <c r="H47" i="4" s="1"/>
  <c r="I47" i="4" a="1"/>
  <c r="I47" i="4" s="1"/>
  <c r="J47" i="4" a="1"/>
  <c r="J47" i="4" s="1"/>
  <c r="K47" i="4" a="1"/>
  <c r="K47" i="4" s="1"/>
  <c r="L47" i="4" a="1"/>
  <c r="L47" i="4" s="1"/>
  <c r="M47" i="4" a="1"/>
  <c r="M47" i="4" s="1"/>
  <c r="N47" i="4" a="1"/>
  <c r="N47" i="4" s="1"/>
  <c r="O47" i="4" a="1"/>
  <c r="O47" i="4" s="1"/>
  <c r="P47" i="4" a="1"/>
  <c r="P47" i="4" s="1"/>
  <c r="C48" i="4" a="1"/>
  <c r="C48" i="4" s="1"/>
  <c r="D48" i="4" a="1"/>
  <c r="D48" i="4" s="1"/>
  <c r="E48" i="4" a="1"/>
  <c r="E48" i="4" s="1"/>
  <c r="F48" i="4" a="1"/>
  <c r="F48" i="4" s="1"/>
  <c r="G48" i="4" a="1"/>
  <c r="G48" i="4" s="1"/>
  <c r="H48" i="4" a="1"/>
  <c r="H48" i="4" s="1"/>
  <c r="I48" i="4" a="1"/>
  <c r="I48" i="4" s="1"/>
  <c r="J48" i="4" a="1"/>
  <c r="J48" i="4" s="1"/>
  <c r="K48" i="4" a="1"/>
  <c r="K48" i="4" s="1"/>
  <c r="L48" i="4" a="1"/>
  <c r="L48" i="4" s="1"/>
  <c r="M48" i="4" a="1"/>
  <c r="M48" i="4" s="1"/>
  <c r="N48" i="4" a="1"/>
  <c r="N48" i="4" s="1"/>
  <c r="O48" i="4" a="1"/>
  <c r="O48" i="4" s="1"/>
  <c r="P48" i="4" a="1"/>
  <c r="P48" i="4" s="1"/>
  <c r="C49" i="4" a="1"/>
  <c r="C49" i="4" s="1"/>
  <c r="D49" i="4" a="1"/>
  <c r="D49" i="4" s="1"/>
  <c r="E49" i="4" a="1"/>
  <c r="E49" i="4" s="1"/>
  <c r="F49" i="4" a="1"/>
  <c r="F49" i="4" s="1"/>
  <c r="G49" i="4" a="1"/>
  <c r="G49" i="4" s="1"/>
  <c r="H49" i="4" a="1"/>
  <c r="H49" i="4" s="1"/>
  <c r="I49" i="4" a="1"/>
  <c r="I49" i="4" s="1"/>
  <c r="J49" i="4" a="1"/>
  <c r="J49" i="4" s="1"/>
  <c r="K49" i="4" a="1"/>
  <c r="K49" i="4" s="1"/>
  <c r="L49" i="4" a="1"/>
  <c r="L49" i="4" s="1"/>
  <c r="M49" i="4" a="1"/>
  <c r="M49" i="4" s="1"/>
  <c r="N49" i="4" a="1"/>
  <c r="N49" i="4" s="1"/>
  <c r="O49" i="4" a="1"/>
  <c r="O49" i="4" s="1"/>
  <c r="P49" i="4" a="1"/>
  <c r="P49" i="4" s="1"/>
  <c r="C50" i="4" a="1"/>
  <c r="C50" i="4" s="1"/>
  <c r="D50" i="4" a="1"/>
  <c r="D50" i="4" s="1"/>
  <c r="E50" i="4" a="1"/>
  <c r="E50" i="4" s="1"/>
  <c r="F50" i="4" a="1"/>
  <c r="F50" i="4" s="1"/>
  <c r="G50" i="4" a="1"/>
  <c r="G50" i="4" s="1"/>
  <c r="H50" i="4" a="1"/>
  <c r="H50" i="4" s="1"/>
  <c r="I50" i="4" a="1"/>
  <c r="I50" i="4" s="1"/>
  <c r="J50" i="4" a="1"/>
  <c r="J50" i="4" s="1"/>
  <c r="K50" i="4" a="1"/>
  <c r="K50" i="4" s="1"/>
  <c r="L50" i="4" a="1"/>
  <c r="L50" i="4" s="1"/>
  <c r="M50" i="4" a="1"/>
  <c r="M50" i="4" s="1"/>
  <c r="N50" i="4" a="1"/>
  <c r="N50" i="4" s="1"/>
  <c r="O50" i="4" a="1"/>
  <c r="O50" i="4" s="1"/>
  <c r="P50" i="4" a="1"/>
  <c r="P50" i="4" s="1"/>
  <c r="C51" i="4" a="1"/>
  <c r="C51" i="4" s="1"/>
  <c r="D51" i="4" a="1"/>
  <c r="D51" i="4" s="1"/>
  <c r="E51" i="4" a="1"/>
  <c r="E51" i="4" s="1"/>
  <c r="F51" i="4" a="1"/>
  <c r="F51" i="4" s="1"/>
  <c r="G51" i="4" a="1"/>
  <c r="G51" i="4" s="1"/>
  <c r="H51" i="4" a="1"/>
  <c r="H51" i="4" s="1"/>
  <c r="I51" i="4" a="1"/>
  <c r="I51" i="4" s="1"/>
  <c r="J51" i="4" a="1"/>
  <c r="J51" i="4" s="1"/>
  <c r="K51" i="4" a="1"/>
  <c r="K51" i="4" s="1"/>
  <c r="L51" i="4" a="1"/>
  <c r="L51" i="4" s="1"/>
  <c r="M51" i="4" a="1"/>
  <c r="M51" i="4" s="1"/>
  <c r="N51" i="4" a="1"/>
  <c r="N51" i="4" s="1"/>
  <c r="O51" i="4" a="1"/>
  <c r="O51" i="4" s="1"/>
  <c r="P51" i="4" a="1"/>
  <c r="P51" i="4" s="1"/>
  <c r="C52" i="4" a="1"/>
  <c r="C52" i="4" s="1"/>
  <c r="D52" i="4" a="1"/>
  <c r="D52" i="4" s="1"/>
  <c r="E52" i="4" a="1"/>
  <c r="E52" i="4" s="1"/>
  <c r="F52" i="4" a="1"/>
  <c r="F52" i="4" s="1"/>
  <c r="G52" i="4" a="1"/>
  <c r="G52" i="4" s="1"/>
  <c r="H52" i="4" a="1"/>
  <c r="H52" i="4" s="1"/>
  <c r="I52" i="4" a="1"/>
  <c r="I52" i="4" s="1"/>
  <c r="J52" i="4" a="1"/>
  <c r="J52" i="4" s="1"/>
  <c r="K52" i="4" a="1"/>
  <c r="K52" i="4" s="1"/>
  <c r="L52" i="4" a="1"/>
  <c r="L52" i="4" s="1"/>
  <c r="M52" i="4" a="1"/>
  <c r="M52" i="4" s="1"/>
  <c r="N52" i="4" a="1"/>
  <c r="N52" i="4" s="1"/>
  <c r="O52" i="4" a="1"/>
  <c r="O52" i="4" s="1"/>
  <c r="P52" i="4" a="1"/>
  <c r="P52" i="4" s="1"/>
  <c r="C53" i="4" a="1"/>
  <c r="C53" i="4" s="1"/>
  <c r="D53" i="4" a="1"/>
  <c r="D53" i="4" s="1"/>
  <c r="E53" i="4" a="1"/>
  <c r="E5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C54" i="4" a="1"/>
  <c r="C54" i="4" s="1"/>
  <c r="D54" i="4" a="1"/>
  <c r="D54" i="4" s="1"/>
  <c r="E54" i="4" a="1"/>
  <c r="E54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C55" i="4" a="1"/>
  <c r="C55" i="4" s="1"/>
  <c r="D55" i="4" a="1"/>
  <c r="D55" i="4" s="1"/>
  <c r="E55" i="4" a="1"/>
  <c r="E55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C56" i="4" a="1"/>
  <c r="C56" i="4" s="1"/>
  <c r="D56" i="4" a="1"/>
  <c r="D56" i="4" s="1"/>
  <c r="E56" i="4" a="1"/>
  <c r="E56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C57" i="4" a="1"/>
  <c r="C57" i="4" s="1"/>
  <c r="D57" i="4" a="1"/>
  <c r="D57" i="4" s="1"/>
  <c r="E57" i="4" a="1"/>
  <c r="E57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C58" i="4" a="1"/>
  <c r="C58" i="4" s="1"/>
  <c r="D58" i="4" a="1"/>
  <c r="D58" i="4" s="1"/>
  <c r="E58" i="4" a="1"/>
  <c r="E58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C59" i="4" a="1"/>
  <c r="C59" i="4" s="1"/>
  <c r="D59" i="4" a="1"/>
  <c r="D59" i="4" s="1"/>
  <c r="E59" i="4" a="1"/>
  <c r="E59" i="4" s="1"/>
  <c r="F59" i="4" a="1"/>
  <c r="F59" i="4" s="1"/>
  <c r="G59" i="4" a="1"/>
  <c r="G59" i="4" s="1"/>
  <c r="H59" i="4" a="1"/>
  <c r="H59" i="4" s="1"/>
  <c r="I59" i="4" a="1"/>
  <c r="I59" i="4" s="1"/>
  <c r="J59" i="4" a="1"/>
  <c r="J59" i="4" s="1"/>
  <c r="K59" i="4" a="1"/>
  <c r="K59" i="4" s="1"/>
  <c r="L59" i="4" a="1"/>
  <c r="L59" i="4" s="1"/>
  <c r="M59" i="4" a="1"/>
  <c r="M59" i="4" s="1"/>
  <c r="N59" i="4" a="1"/>
  <c r="N59" i="4" s="1"/>
  <c r="O59" i="4" a="1"/>
  <c r="O59" i="4" s="1"/>
  <c r="P59" i="4" a="1"/>
  <c r="P59" i="4" s="1"/>
  <c r="C60" i="4" a="1"/>
  <c r="C60" i="4" s="1"/>
  <c r="D60" i="4" a="1"/>
  <c r="D60" i="4" s="1"/>
  <c r="E60" i="4" a="1"/>
  <c r="E60" i="4" s="1"/>
  <c r="F60" i="4" a="1"/>
  <c r="F60" i="4" s="1"/>
  <c r="G60" i="4" a="1"/>
  <c r="G60" i="4" s="1"/>
  <c r="H60" i="4" a="1"/>
  <c r="H60" i="4" s="1"/>
  <c r="I60" i="4" a="1"/>
  <c r="I60" i="4" s="1"/>
  <c r="J60" i="4" a="1"/>
  <c r="J60" i="4" s="1"/>
  <c r="K60" i="4" a="1"/>
  <c r="K60" i="4" s="1"/>
  <c r="L60" i="4" a="1"/>
  <c r="L60" i="4" s="1"/>
  <c r="M60" i="4" a="1"/>
  <c r="M60" i="4" s="1"/>
  <c r="N60" i="4" a="1"/>
  <c r="N60" i="4" s="1"/>
  <c r="O60" i="4" a="1"/>
  <c r="O60" i="4" s="1"/>
  <c r="P60" i="4" a="1"/>
  <c r="P60" i="4" s="1"/>
  <c r="C61" i="4" a="1"/>
  <c r="C61" i="4" s="1"/>
  <c r="D61" i="4" a="1"/>
  <c r="D61" i="4" s="1"/>
  <c r="E61" i="4" a="1"/>
  <c r="E61" i="4" s="1"/>
  <c r="F61" i="4" a="1"/>
  <c r="F61" i="4" s="1"/>
  <c r="G61" i="4" a="1"/>
  <c r="G61" i="4" s="1"/>
  <c r="H61" i="4" a="1"/>
  <c r="H61" i="4" s="1"/>
  <c r="I61" i="4" a="1"/>
  <c r="I61" i="4" s="1"/>
  <c r="J61" i="4" a="1"/>
  <c r="J61" i="4" s="1"/>
  <c r="K61" i="4" a="1"/>
  <c r="K61" i="4" s="1"/>
  <c r="L61" i="4" a="1"/>
  <c r="L61" i="4" s="1"/>
  <c r="M61" i="4" a="1"/>
  <c r="M61" i="4" s="1"/>
  <c r="N61" i="4" a="1"/>
  <c r="N61" i="4" s="1"/>
  <c r="O61" i="4" a="1"/>
  <c r="O61" i="4" s="1"/>
  <c r="P61" i="4" a="1"/>
  <c r="P61" i="4" s="1"/>
  <c r="C62" i="4" a="1"/>
  <c r="C62" i="4" s="1"/>
  <c r="D62" i="4" a="1"/>
  <c r="D62" i="4" s="1"/>
  <c r="E62" i="4" a="1"/>
  <c r="E62" i="4" s="1"/>
  <c r="F62" i="4" a="1"/>
  <c r="F62" i="4" s="1"/>
  <c r="G62" i="4" a="1"/>
  <c r="G62" i="4" s="1"/>
  <c r="H62" i="4" a="1"/>
  <c r="H62" i="4" s="1"/>
  <c r="I62" i="4" a="1"/>
  <c r="I62" i="4" s="1"/>
  <c r="J62" i="4" a="1"/>
  <c r="J62" i="4" s="1"/>
  <c r="K62" i="4" a="1"/>
  <c r="K62" i="4" s="1"/>
  <c r="L62" i="4" a="1"/>
  <c r="L62" i="4" s="1"/>
  <c r="M62" i="4" a="1"/>
  <c r="M62" i="4" s="1"/>
  <c r="N62" i="4" a="1"/>
  <c r="N62" i="4" s="1"/>
  <c r="O62" i="4" a="1"/>
  <c r="O62" i="4" s="1"/>
  <c r="P62" i="4" a="1"/>
  <c r="P62" i="4" s="1"/>
  <c r="C63" i="4" a="1"/>
  <c r="C63" i="4" s="1"/>
  <c r="D63" i="4" a="1"/>
  <c r="D63" i="4" s="1"/>
  <c r="E63" i="4" a="1"/>
  <c r="E63" i="4" s="1"/>
  <c r="F63" i="4" a="1"/>
  <c r="F63" i="4" s="1"/>
  <c r="G63" i="4" a="1"/>
  <c r="G63" i="4" s="1"/>
  <c r="H63" i="4" a="1"/>
  <c r="H63" i="4" s="1"/>
  <c r="I63" i="4" a="1"/>
  <c r="I63" i="4" s="1"/>
  <c r="J63" i="4" a="1"/>
  <c r="J63" i="4" s="1"/>
  <c r="K63" i="4" a="1"/>
  <c r="K63" i="4" s="1"/>
  <c r="L63" i="4" a="1"/>
  <c r="L63" i="4" s="1"/>
  <c r="M63" i="4" a="1"/>
  <c r="M63" i="4" s="1"/>
  <c r="N63" i="4" a="1"/>
  <c r="N63" i="4" s="1"/>
  <c r="O63" i="4" a="1"/>
  <c r="O63" i="4" s="1"/>
  <c r="P63" i="4" a="1"/>
  <c r="P63" i="4" s="1"/>
  <c r="C64" i="4" a="1"/>
  <c r="C64" i="4" s="1"/>
  <c r="D64" i="4" a="1"/>
  <c r="D64" i="4" s="1"/>
  <c r="E64" i="4" a="1"/>
  <c r="E64" i="4" s="1"/>
  <c r="F64" i="4" a="1"/>
  <c r="F64" i="4" s="1"/>
  <c r="G64" i="4" a="1"/>
  <c r="G64" i="4" s="1"/>
  <c r="H64" i="4" a="1"/>
  <c r="H64" i="4" s="1"/>
  <c r="I64" i="4" a="1"/>
  <c r="I64" i="4" s="1"/>
  <c r="J64" i="4" a="1"/>
  <c r="J64" i="4" s="1"/>
  <c r="K64" i="4" a="1"/>
  <c r="K64" i="4" s="1"/>
  <c r="L64" i="4" a="1"/>
  <c r="L64" i="4" s="1"/>
  <c r="M64" i="4" a="1"/>
  <c r="M64" i="4" s="1"/>
  <c r="N64" i="4" a="1"/>
  <c r="N64" i="4" s="1"/>
  <c r="O64" i="4" a="1"/>
  <c r="O64" i="4" s="1"/>
  <c r="P64" i="4" a="1"/>
  <c r="P64" i="4" s="1"/>
  <c r="C65" i="4" a="1"/>
  <c r="C65" i="4" s="1"/>
  <c r="D65" i="4" a="1"/>
  <c r="D65" i="4" s="1"/>
  <c r="E65" i="4" a="1"/>
  <c r="E65" i="4" s="1"/>
  <c r="F65" i="4" a="1"/>
  <c r="F65" i="4" s="1"/>
  <c r="G65" i="4" a="1"/>
  <c r="G65" i="4" s="1"/>
  <c r="H65" i="4" a="1"/>
  <c r="H65" i="4" s="1"/>
  <c r="I65" i="4" a="1"/>
  <c r="I65" i="4" s="1"/>
  <c r="J65" i="4" a="1"/>
  <c r="J65" i="4" s="1"/>
  <c r="K65" i="4" a="1"/>
  <c r="K65" i="4" s="1"/>
  <c r="L65" i="4" a="1"/>
  <c r="L65" i="4" s="1"/>
  <c r="M65" i="4" a="1"/>
  <c r="M65" i="4" s="1"/>
  <c r="N65" i="4" a="1"/>
  <c r="N65" i="4" s="1"/>
  <c r="O65" i="4" a="1"/>
  <c r="O65" i="4" s="1"/>
  <c r="P65" i="4" a="1"/>
  <c r="P65" i="4" s="1"/>
  <c r="C66" i="4" a="1"/>
  <c r="C66" i="4" s="1"/>
  <c r="D66" i="4" a="1"/>
  <c r="D66" i="4" s="1"/>
  <c r="E66" i="4" a="1"/>
  <c r="E66" i="4" s="1"/>
  <c r="F66" i="4" a="1"/>
  <c r="F66" i="4" s="1"/>
  <c r="G66" i="4" a="1"/>
  <c r="G66" i="4" s="1"/>
  <c r="H66" i="4" a="1"/>
  <c r="H66" i="4" s="1"/>
  <c r="I66" i="4" a="1"/>
  <c r="I66" i="4" s="1"/>
  <c r="J66" i="4" a="1"/>
  <c r="J66" i="4" s="1"/>
  <c r="K66" i="4" a="1"/>
  <c r="K66" i="4" s="1"/>
  <c r="L66" i="4" a="1"/>
  <c r="L66" i="4" s="1"/>
  <c r="M66" i="4" a="1"/>
  <c r="M66" i="4" s="1"/>
  <c r="N66" i="4" a="1"/>
  <c r="N66" i="4" s="1"/>
  <c r="O66" i="4" a="1"/>
  <c r="O66" i="4" s="1"/>
  <c r="P66" i="4" a="1"/>
  <c r="P66" i="4" s="1"/>
  <c r="C67" i="4" a="1"/>
  <c r="C67" i="4" s="1"/>
  <c r="D67" i="4" a="1"/>
  <c r="D67" i="4" s="1"/>
  <c r="E67" i="4" a="1"/>
  <c r="E67" i="4" s="1"/>
  <c r="F67" i="4" a="1"/>
  <c r="F67" i="4" s="1"/>
  <c r="G67" i="4" a="1"/>
  <c r="G67" i="4" s="1"/>
  <c r="H67" i="4" a="1"/>
  <c r="H67" i="4" s="1"/>
  <c r="I67" i="4" a="1"/>
  <c r="I67" i="4" s="1"/>
  <c r="J67" i="4" a="1"/>
  <c r="J67" i="4" s="1"/>
  <c r="K67" i="4" a="1"/>
  <c r="K67" i="4" s="1"/>
  <c r="L67" i="4" a="1"/>
  <c r="L67" i="4" s="1"/>
  <c r="M67" i="4" a="1"/>
  <c r="M67" i="4" s="1"/>
  <c r="N67" i="4" a="1"/>
  <c r="N67" i="4" s="1"/>
  <c r="O67" i="4" a="1"/>
  <c r="O67" i="4" s="1"/>
  <c r="P67" i="4" a="1"/>
  <c r="P67" i="4" s="1"/>
  <c r="C68" i="4" a="1"/>
  <c r="C68" i="4" s="1"/>
  <c r="C69" i="4" a="1"/>
  <c r="C69" i="4" s="1"/>
  <c r="C70" i="4" a="1"/>
  <c r="C70" i="4" s="1"/>
  <c r="D70" i="4" a="1"/>
  <c r="D70" i="4" s="1"/>
  <c r="E70" i="4" a="1"/>
  <c r="E70" i="4" s="1"/>
  <c r="F70" i="4" a="1"/>
  <c r="F70" i="4" s="1"/>
  <c r="G70" i="4" a="1"/>
  <c r="G70" i="4" s="1"/>
  <c r="H70" i="4" a="1"/>
  <c r="H70" i="4" s="1"/>
  <c r="I70" i="4" a="1"/>
  <c r="I70" i="4" s="1"/>
  <c r="J70" i="4" a="1"/>
  <c r="J70" i="4" s="1"/>
  <c r="K70" i="4" a="1"/>
  <c r="K70" i="4" s="1"/>
  <c r="L70" i="4" a="1"/>
  <c r="L70" i="4" s="1"/>
  <c r="M70" i="4" a="1"/>
  <c r="M70" i="4" s="1"/>
  <c r="N70" i="4" a="1"/>
  <c r="N70" i="4" s="1"/>
  <c r="O70" i="4" a="1"/>
  <c r="O70" i="4" s="1"/>
  <c r="P70" i="4" a="1"/>
  <c r="P70" i="4" s="1"/>
  <c r="C71" i="4" a="1"/>
  <c r="C71" i="4" s="1"/>
  <c r="D71" i="4" a="1"/>
  <c r="D71" i="4" s="1"/>
  <c r="E71" i="4" a="1"/>
  <c r="E71" i="4" s="1"/>
  <c r="F71" i="4" a="1"/>
  <c r="F71" i="4" s="1"/>
  <c r="G71" i="4" a="1"/>
  <c r="G71" i="4" s="1"/>
  <c r="H71" i="4" a="1"/>
  <c r="H71" i="4" s="1"/>
  <c r="I71" i="4" a="1"/>
  <c r="I71" i="4" s="1"/>
  <c r="J71" i="4" a="1"/>
  <c r="J71" i="4" s="1"/>
  <c r="K71" i="4" a="1"/>
  <c r="K71" i="4" s="1"/>
  <c r="L71" i="4" a="1"/>
  <c r="L71" i="4" s="1"/>
  <c r="M71" i="4" a="1"/>
  <c r="M71" i="4" s="1"/>
  <c r="N71" i="4" a="1"/>
  <c r="N71" i="4" s="1"/>
  <c r="O71" i="4" a="1"/>
  <c r="O71" i="4" s="1"/>
  <c r="P71" i="4" a="1"/>
  <c r="P71" i="4" s="1"/>
  <c r="C72" i="4" a="1"/>
  <c r="C72" i="4" s="1"/>
  <c r="D72" i="4" a="1"/>
  <c r="D72" i="4" s="1"/>
  <c r="K11" i="19" s="1"/>
  <c r="E72" i="4" a="1"/>
  <c r="E72" i="4" s="1"/>
  <c r="L11" i="19" s="1"/>
  <c r="F72" i="4" a="1"/>
  <c r="F72" i="4" s="1"/>
  <c r="M11" i="19" s="1"/>
  <c r="G72" i="4" a="1"/>
  <c r="G72" i="4" s="1"/>
  <c r="N11" i="19" s="1"/>
  <c r="H72" i="4" a="1"/>
  <c r="H72" i="4" s="1"/>
  <c r="O11" i="19" s="1"/>
  <c r="I72" i="4" a="1"/>
  <c r="I72" i="4" s="1"/>
  <c r="P11" i="19" s="1"/>
  <c r="J72" i="4" a="1"/>
  <c r="J72" i="4" s="1"/>
  <c r="Q11" i="19" s="1"/>
  <c r="K72" i="4" a="1"/>
  <c r="K72" i="4" s="1"/>
  <c r="R11" i="19" s="1"/>
  <c r="L72" i="4" a="1"/>
  <c r="L72" i="4" s="1"/>
  <c r="S11" i="19" s="1"/>
  <c r="M72" i="4" a="1"/>
  <c r="M72" i="4" s="1"/>
  <c r="T11" i="19" s="1"/>
  <c r="N72" i="4" a="1"/>
  <c r="N72" i="4" s="1"/>
  <c r="U11" i="19" s="1"/>
  <c r="O72" i="4" a="1"/>
  <c r="O72" i="4" s="1"/>
  <c r="V11" i="19" s="1"/>
  <c r="P72" i="4" a="1"/>
  <c r="P72" i="4" s="1"/>
  <c r="W11" i="19" s="1"/>
  <c r="C73" i="4" a="1"/>
  <c r="C73" i="4" s="1"/>
  <c r="D73" i="4" a="1"/>
  <c r="D73" i="4" s="1"/>
  <c r="E73" i="4" a="1"/>
  <c r="E73" i="4" s="1"/>
  <c r="F73" i="4" a="1"/>
  <c r="F73" i="4" s="1"/>
  <c r="G73" i="4" a="1"/>
  <c r="G73" i="4" s="1"/>
  <c r="H73" i="4" a="1"/>
  <c r="H73" i="4" s="1"/>
  <c r="I73" i="4" a="1"/>
  <c r="I73" i="4" s="1"/>
  <c r="J73" i="4" a="1"/>
  <c r="J73" i="4" s="1"/>
  <c r="K73" i="4" a="1"/>
  <c r="K73" i="4" s="1"/>
  <c r="L73" i="4" a="1"/>
  <c r="L73" i="4" s="1"/>
  <c r="M73" i="4" a="1"/>
  <c r="M73" i="4" s="1"/>
  <c r="N73" i="4" a="1"/>
  <c r="N73" i="4" s="1"/>
  <c r="O73" i="4" a="1"/>
  <c r="O73" i="4" s="1"/>
  <c r="P73" i="4" a="1"/>
  <c r="P73" i="4" s="1"/>
  <c r="C74" i="4" a="1"/>
  <c r="C74" i="4" s="1"/>
  <c r="D74" i="4" a="1"/>
  <c r="D74" i="4" s="1"/>
  <c r="E74" i="4" a="1"/>
  <c r="E74" i="4" s="1"/>
  <c r="F74" i="4" a="1"/>
  <c r="F74" i="4" s="1"/>
  <c r="G74" i="4" a="1"/>
  <c r="G74" i="4" s="1"/>
  <c r="H74" i="4" a="1"/>
  <c r="H74" i="4" s="1"/>
  <c r="I74" i="4" a="1"/>
  <c r="I74" i="4" s="1"/>
  <c r="J74" i="4" a="1"/>
  <c r="J74" i="4" s="1"/>
  <c r="K74" i="4" a="1"/>
  <c r="K74" i="4" s="1"/>
  <c r="L74" i="4" a="1"/>
  <c r="L74" i="4" s="1"/>
  <c r="M74" i="4" a="1"/>
  <c r="M74" i="4" s="1"/>
  <c r="N74" i="4" a="1"/>
  <c r="N74" i="4" s="1"/>
  <c r="O74" i="4" a="1"/>
  <c r="O74" i="4" s="1"/>
  <c r="P74" i="4" a="1"/>
  <c r="P74" i="4" s="1"/>
  <c r="C75" i="4" a="1"/>
  <c r="C75" i="4" s="1"/>
  <c r="D75" i="4" a="1"/>
  <c r="D75" i="4" s="1"/>
  <c r="E75" i="4" a="1"/>
  <c r="E75" i="4" s="1"/>
  <c r="F75" i="4" a="1"/>
  <c r="F75" i="4" s="1"/>
  <c r="G75" i="4" a="1"/>
  <c r="G75" i="4" s="1"/>
  <c r="H75" i="4" a="1"/>
  <c r="H75" i="4" s="1"/>
  <c r="I75" i="4" a="1"/>
  <c r="I75" i="4" s="1"/>
  <c r="J75" i="4" a="1"/>
  <c r="J75" i="4" s="1"/>
  <c r="K75" i="4" a="1"/>
  <c r="K75" i="4" s="1"/>
  <c r="L75" i="4" a="1"/>
  <c r="L75" i="4" s="1"/>
  <c r="M75" i="4" a="1"/>
  <c r="M75" i="4" s="1"/>
  <c r="N75" i="4" a="1"/>
  <c r="N75" i="4" s="1"/>
  <c r="O75" i="4" a="1"/>
  <c r="O75" i="4" s="1"/>
  <c r="P75" i="4" a="1"/>
  <c r="P75" i="4" s="1"/>
  <c r="C76" i="4" a="1"/>
  <c r="C76" i="4" s="1"/>
  <c r="D76" i="4" a="1"/>
  <c r="D76" i="4" s="1"/>
  <c r="E76" i="4" a="1"/>
  <c r="E76" i="4" s="1"/>
  <c r="F76" i="4" a="1"/>
  <c r="F76" i="4" s="1"/>
  <c r="G76" i="4" a="1"/>
  <c r="G76" i="4" s="1"/>
  <c r="H76" i="4" a="1"/>
  <c r="H76" i="4" s="1"/>
  <c r="I76" i="4" a="1"/>
  <c r="I76" i="4" s="1"/>
  <c r="J76" i="4" a="1"/>
  <c r="J76" i="4" s="1"/>
  <c r="K76" i="4" a="1"/>
  <c r="K76" i="4" s="1"/>
  <c r="L76" i="4" a="1"/>
  <c r="L76" i="4" s="1"/>
  <c r="M76" i="4" a="1"/>
  <c r="M76" i="4" s="1"/>
  <c r="N76" i="4" a="1"/>
  <c r="N76" i="4" s="1"/>
  <c r="O76" i="4" a="1"/>
  <c r="O76" i="4" s="1"/>
  <c r="P76" i="4" a="1"/>
  <c r="P76" i="4" s="1"/>
  <c r="C77" i="4" a="1"/>
  <c r="C77" i="4" s="1"/>
  <c r="D77" i="4" a="1"/>
  <c r="D77" i="4" s="1"/>
  <c r="E77" i="4" a="1"/>
  <c r="E77" i="4" s="1"/>
  <c r="F77" i="4" a="1"/>
  <c r="F77" i="4" s="1"/>
  <c r="G77" i="4" a="1"/>
  <c r="G77" i="4" s="1"/>
  <c r="H77" i="4" a="1"/>
  <c r="H77" i="4" s="1"/>
  <c r="I77" i="4" a="1"/>
  <c r="I77" i="4" s="1"/>
  <c r="J77" i="4" a="1"/>
  <c r="J77" i="4" s="1"/>
  <c r="K77" i="4" a="1"/>
  <c r="K77" i="4" s="1"/>
  <c r="L77" i="4" a="1"/>
  <c r="L77" i="4" s="1"/>
  <c r="M77" i="4" a="1"/>
  <c r="M77" i="4" s="1"/>
  <c r="N77" i="4" a="1"/>
  <c r="N77" i="4" s="1"/>
  <c r="O77" i="4" a="1"/>
  <c r="O77" i="4" s="1"/>
  <c r="P77" i="4" a="1"/>
  <c r="P77" i="4" s="1"/>
  <c r="C78" i="4" a="1"/>
  <c r="C78" i="4" s="1"/>
  <c r="D78" i="4" a="1"/>
  <c r="D78" i="4" s="1"/>
  <c r="E78" i="4" a="1"/>
  <c r="E78" i="4" s="1"/>
  <c r="F78" i="4" a="1"/>
  <c r="F78" i="4" s="1"/>
  <c r="G78" i="4" a="1"/>
  <c r="G78" i="4" s="1"/>
  <c r="H78" i="4" a="1"/>
  <c r="H78" i="4" s="1"/>
  <c r="I78" i="4" a="1"/>
  <c r="I78" i="4" s="1"/>
  <c r="J78" i="4" a="1"/>
  <c r="J78" i="4" s="1"/>
  <c r="K78" i="4" a="1"/>
  <c r="K78" i="4" s="1"/>
  <c r="L78" i="4" a="1"/>
  <c r="L78" i="4" s="1"/>
  <c r="M78" i="4" a="1"/>
  <c r="M78" i="4" s="1"/>
  <c r="N78" i="4" a="1"/>
  <c r="N78" i="4" s="1"/>
  <c r="O78" i="4" a="1"/>
  <c r="O78" i="4" s="1"/>
  <c r="P78" i="4" a="1"/>
  <c r="P78" i="4" s="1"/>
  <c r="C79" i="4" a="1"/>
  <c r="C79" i="4" s="1"/>
  <c r="D79" i="4" a="1"/>
  <c r="D79" i="4" s="1"/>
  <c r="E79" i="4" a="1"/>
  <c r="E79" i="4" s="1"/>
  <c r="F79" i="4" a="1"/>
  <c r="F79" i="4" s="1"/>
  <c r="G79" i="4" a="1"/>
  <c r="G79" i="4" s="1"/>
  <c r="H79" i="4" a="1"/>
  <c r="H79" i="4" s="1"/>
  <c r="I79" i="4" a="1"/>
  <c r="I79" i="4" s="1"/>
  <c r="J79" i="4" a="1"/>
  <c r="J79" i="4" s="1"/>
  <c r="K79" i="4" a="1"/>
  <c r="K79" i="4" s="1"/>
  <c r="L79" i="4" a="1"/>
  <c r="L79" i="4" s="1"/>
  <c r="M79" i="4" a="1"/>
  <c r="M79" i="4" s="1"/>
  <c r="N79" i="4" a="1"/>
  <c r="N79" i="4" s="1"/>
  <c r="O79" i="4" a="1"/>
  <c r="O79" i="4" s="1"/>
  <c r="P79" i="4" a="1"/>
  <c r="P79" i="4" s="1"/>
  <c r="C80" i="4" a="1"/>
  <c r="C80" i="4" s="1"/>
  <c r="D80" i="4" a="1"/>
  <c r="D80" i="4" s="1"/>
  <c r="E80" i="4" a="1"/>
  <c r="E80" i="4" s="1"/>
  <c r="F80" i="4" a="1"/>
  <c r="F80" i="4" s="1"/>
  <c r="G80" i="4" a="1"/>
  <c r="G80" i="4" s="1"/>
  <c r="H80" i="4" a="1"/>
  <c r="H80" i="4" s="1"/>
  <c r="I80" i="4" a="1"/>
  <c r="I80" i="4" s="1"/>
  <c r="J80" i="4" a="1"/>
  <c r="J80" i="4" s="1"/>
  <c r="K80" i="4" a="1"/>
  <c r="K80" i="4" s="1"/>
  <c r="L80" i="4" a="1"/>
  <c r="L80" i="4" s="1"/>
  <c r="M80" i="4" a="1"/>
  <c r="M80" i="4" s="1"/>
  <c r="N80" i="4" a="1"/>
  <c r="N80" i="4" s="1"/>
  <c r="O80" i="4" a="1"/>
  <c r="O80" i="4" s="1"/>
  <c r="P80" i="4" a="1"/>
  <c r="P80" i="4" s="1"/>
  <c r="C81" i="4" a="1"/>
  <c r="C81" i="4" s="1"/>
  <c r="D81" i="4" a="1"/>
  <c r="D81" i="4" s="1"/>
  <c r="K14" i="19" s="1"/>
  <c r="E81" i="4" a="1"/>
  <c r="E81" i="4" s="1"/>
  <c r="L14" i="19" s="1"/>
  <c r="F81" i="4" a="1"/>
  <c r="F81" i="4" s="1"/>
  <c r="M14" i="19" s="1"/>
  <c r="G81" i="4" a="1"/>
  <c r="G81" i="4" s="1"/>
  <c r="N14" i="19" s="1"/>
  <c r="H81" i="4" a="1"/>
  <c r="H81" i="4" s="1"/>
  <c r="O14" i="19" s="1"/>
  <c r="I81" i="4" a="1"/>
  <c r="I81" i="4" s="1"/>
  <c r="P14" i="19" s="1"/>
  <c r="J81" i="4" a="1"/>
  <c r="J81" i="4" s="1"/>
  <c r="Q14" i="19" s="1"/>
  <c r="K81" i="4" a="1"/>
  <c r="K81" i="4" s="1"/>
  <c r="R14" i="19" s="1"/>
  <c r="L81" i="4" a="1"/>
  <c r="L81" i="4" s="1"/>
  <c r="S14" i="19" s="1"/>
  <c r="M81" i="4" a="1"/>
  <c r="M81" i="4" s="1"/>
  <c r="T14" i="19" s="1"/>
  <c r="N81" i="4" a="1"/>
  <c r="N81" i="4" s="1"/>
  <c r="U14" i="19" s="1"/>
  <c r="O81" i="4" a="1"/>
  <c r="O81" i="4" s="1"/>
  <c r="V14" i="19" s="1"/>
  <c r="P81" i="4" a="1"/>
  <c r="P81" i="4" s="1"/>
  <c r="W14" i="19" s="1"/>
  <c r="D82" i="4" a="1"/>
  <c r="D82" i="4" s="1"/>
  <c r="K12" i="19" s="1"/>
  <c r="E82" i="4" a="1"/>
  <c r="E82" i="4" s="1"/>
  <c r="L12" i="19" s="1"/>
  <c r="F82" i="4" a="1"/>
  <c r="F82" i="4" s="1"/>
  <c r="M12" i="19" s="1"/>
  <c r="G82" i="4" a="1"/>
  <c r="G82" i="4" s="1"/>
  <c r="N12" i="19" s="1"/>
  <c r="H82" i="4" a="1"/>
  <c r="H82" i="4" s="1"/>
  <c r="O12" i="19" s="1"/>
  <c r="I82" i="4" a="1"/>
  <c r="I82" i="4" s="1"/>
  <c r="P12" i="19" s="1"/>
  <c r="J82" i="4" a="1"/>
  <c r="J82" i="4" s="1"/>
  <c r="Q12" i="19" s="1"/>
  <c r="K82" i="4" a="1"/>
  <c r="K82" i="4" s="1"/>
  <c r="R12" i="19" s="1"/>
  <c r="L82" i="4" a="1"/>
  <c r="L82" i="4" s="1"/>
  <c r="S12" i="19" s="1"/>
  <c r="M82" i="4" a="1"/>
  <c r="M82" i="4" s="1"/>
  <c r="T12" i="19" s="1"/>
  <c r="N82" i="4" a="1"/>
  <c r="N82" i="4" s="1"/>
  <c r="U12" i="19" s="1"/>
  <c r="O82" i="4" a="1"/>
  <c r="O82" i="4" s="1"/>
  <c r="V12" i="19" s="1"/>
  <c r="P82" i="4" a="1"/>
  <c r="P82" i="4" s="1"/>
  <c r="W12" i="19" s="1"/>
  <c r="D83" i="4" a="1"/>
  <c r="D83" i="4" s="1"/>
  <c r="K13" i="19" s="1"/>
  <c r="E83" i="4" a="1"/>
  <c r="E83" i="4" s="1"/>
  <c r="L13" i="19" s="1"/>
  <c r="F83" i="4" a="1"/>
  <c r="F83" i="4" s="1"/>
  <c r="M13" i="19" s="1"/>
  <c r="G83" i="4" a="1"/>
  <c r="G83" i="4" s="1"/>
  <c r="N13" i="19" s="1"/>
  <c r="H83" i="4" a="1"/>
  <c r="H83" i="4" s="1"/>
  <c r="O13" i="19" s="1"/>
  <c r="I83" i="4" a="1"/>
  <c r="I83" i="4" s="1"/>
  <c r="P13" i="19" s="1"/>
  <c r="J83" i="4" a="1"/>
  <c r="J83" i="4" s="1"/>
  <c r="Q13" i="19" s="1"/>
  <c r="K83" i="4" a="1"/>
  <c r="K83" i="4" s="1"/>
  <c r="R13" i="19" s="1"/>
  <c r="L83" i="4" a="1"/>
  <c r="L83" i="4" s="1"/>
  <c r="S13" i="19" s="1"/>
  <c r="M83" i="4" a="1"/>
  <c r="M83" i="4" s="1"/>
  <c r="T13" i="19" s="1"/>
  <c r="N83" i="4" a="1"/>
  <c r="N83" i="4" s="1"/>
  <c r="U13" i="19" s="1"/>
  <c r="O83" i="4" a="1"/>
  <c r="O83" i="4" s="1"/>
  <c r="V13" i="19" s="1"/>
  <c r="P83" i="4" a="1"/>
  <c r="P83" i="4" s="1"/>
  <c r="W13" i="19" s="1"/>
  <c r="C84" i="4" a="1"/>
  <c r="C84" i="4" s="1"/>
  <c r="D84" i="4" a="1"/>
  <c r="D84" i="4" s="1"/>
  <c r="E84" i="4" a="1"/>
  <c r="E84" i="4" s="1"/>
  <c r="F84" i="4" a="1"/>
  <c r="F84" i="4" s="1"/>
  <c r="G84" i="4" a="1"/>
  <c r="G84" i="4" s="1"/>
  <c r="H84" i="4" a="1"/>
  <c r="H84" i="4" s="1"/>
  <c r="I84" i="4" a="1"/>
  <c r="I84" i="4" s="1"/>
  <c r="J84" i="4" a="1"/>
  <c r="J84" i="4" s="1"/>
  <c r="K84" i="4" a="1"/>
  <c r="K84" i="4" s="1"/>
  <c r="L84" i="4" a="1"/>
  <c r="L84" i="4" s="1"/>
  <c r="M84" i="4" a="1"/>
  <c r="M84" i="4" s="1"/>
  <c r="N84" i="4" a="1"/>
  <c r="N84" i="4" s="1"/>
  <c r="O84" i="4" a="1"/>
  <c r="O84" i="4" s="1"/>
  <c r="P84" i="4" a="1"/>
  <c r="P84" i="4" s="1"/>
  <c r="C85" i="4" a="1"/>
  <c r="C85" i="4" s="1"/>
  <c r="D85" i="4" a="1"/>
  <c r="D85" i="4" s="1"/>
  <c r="E85" i="4" a="1"/>
  <c r="E85" i="4" s="1"/>
  <c r="F85" i="4" a="1"/>
  <c r="F85" i="4" s="1"/>
  <c r="G85" i="4" a="1"/>
  <c r="G85" i="4" s="1"/>
  <c r="H85" i="4" a="1"/>
  <c r="H85" i="4" s="1"/>
  <c r="I85" i="4" a="1"/>
  <c r="I85" i="4" s="1"/>
  <c r="J85" i="4" a="1"/>
  <c r="J85" i="4" s="1"/>
  <c r="K85" i="4" a="1"/>
  <c r="K85" i="4" s="1"/>
  <c r="L85" i="4" a="1"/>
  <c r="L85" i="4" s="1"/>
  <c r="M85" i="4" a="1"/>
  <c r="M85" i="4" s="1"/>
  <c r="N85" i="4" a="1"/>
  <c r="N85" i="4" s="1"/>
  <c r="O85" i="4" a="1"/>
  <c r="O85" i="4" s="1"/>
  <c r="P85" i="4" a="1"/>
  <c r="P85" i="4" s="1"/>
  <c r="C86" i="4" a="1"/>
  <c r="C86" i="4" s="1"/>
  <c r="D86" i="4" a="1"/>
  <c r="D86" i="4" s="1"/>
  <c r="E86" i="4" a="1"/>
  <c r="E86" i="4" s="1"/>
  <c r="F86" i="4" a="1"/>
  <c r="F86" i="4" s="1"/>
  <c r="G86" i="4" a="1"/>
  <c r="G86" i="4" s="1"/>
  <c r="H86" i="4" a="1"/>
  <c r="H86" i="4" s="1"/>
  <c r="I86" i="4" a="1"/>
  <c r="I86" i="4" s="1"/>
  <c r="J86" i="4" a="1"/>
  <c r="J86" i="4" s="1"/>
  <c r="K86" i="4" a="1"/>
  <c r="K86" i="4" s="1"/>
  <c r="L86" i="4" a="1"/>
  <c r="L86" i="4" s="1"/>
  <c r="M86" i="4" a="1"/>
  <c r="M86" i="4" s="1"/>
  <c r="N86" i="4" a="1"/>
  <c r="N86" i="4" s="1"/>
  <c r="O86" i="4" a="1"/>
  <c r="O86" i="4" s="1"/>
  <c r="P86" i="4" a="1"/>
  <c r="P86" i="4" s="1"/>
  <c r="C87" i="4" a="1"/>
  <c r="C87" i="4" s="1"/>
  <c r="D87" i="4" a="1"/>
  <c r="D87" i="4" s="1"/>
  <c r="E87" i="4" a="1"/>
  <c r="E87" i="4" s="1"/>
  <c r="F87" i="4" a="1"/>
  <c r="F87" i="4" s="1"/>
  <c r="G87" i="4" a="1"/>
  <c r="G87" i="4" s="1"/>
  <c r="H87" i="4" a="1"/>
  <c r="H87" i="4" s="1"/>
  <c r="I87" i="4" a="1"/>
  <c r="I87" i="4" s="1"/>
  <c r="J87" i="4" a="1"/>
  <c r="J87" i="4" s="1"/>
  <c r="K87" i="4" a="1"/>
  <c r="K87" i="4" s="1"/>
  <c r="L87" i="4" a="1"/>
  <c r="L87" i="4" s="1"/>
  <c r="M87" i="4" a="1"/>
  <c r="M87" i="4" s="1"/>
  <c r="N87" i="4" a="1"/>
  <c r="N87" i="4" s="1"/>
  <c r="O87" i="4" a="1"/>
  <c r="O87" i="4" s="1"/>
  <c r="P87" i="4" a="1"/>
  <c r="P87" i="4" s="1"/>
  <c r="C88" i="4" a="1"/>
  <c r="C88" i="4" s="1"/>
  <c r="D88" i="4" a="1"/>
  <c r="D88" i="4" s="1"/>
  <c r="E88" i="4" a="1"/>
  <c r="E88" i="4" s="1"/>
  <c r="F88" i="4" a="1"/>
  <c r="F88" i="4" s="1"/>
  <c r="G88" i="4" a="1"/>
  <c r="G88" i="4" s="1"/>
  <c r="H88" i="4" a="1"/>
  <c r="H88" i="4" s="1"/>
  <c r="I88" i="4" a="1"/>
  <c r="I88" i="4" s="1"/>
  <c r="J88" i="4" a="1"/>
  <c r="J88" i="4" s="1"/>
  <c r="K88" i="4" a="1"/>
  <c r="K88" i="4" s="1"/>
  <c r="L88" i="4" a="1"/>
  <c r="L88" i="4" s="1"/>
  <c r="M88" i="4" a="1"/>
  <c r="M88" i="4" s="1"/>
  <c r="N88" i="4" a="1"/>
  <c r="N88" i="4" s="1"/>
  <c r="O88" i="4" a="1"/>
  <c r="O88" i="4" s="1"/>
  <c r="P88" i="4" a="1"/>
  <c r="P88" i="4" s="1"/>
  <c r="C89" i="4" a="1"/>
  <c r="C89" i="4" s="1"/>
  <c r="D89" i="4" a="1"/>
  <c r="D89" i="4" s="1"/>
  <c r="E89" i="4" a="1"/>
  <c r="E89" i="4" s="1"/>
  <c r="F89" i="4" a="1"/>
  <c r="F89" i="4" s="1"/>
  <c r="G89" i="4" a="1"/>
  <c r="G89" i="4" s="1"/>
  <c r="H89" i="4" a="1"/>
  <c r="H89" i="4" s="1"/>
  <c r="I89" i="4" a="1"/>
  <c r="I89" i="4" s="1"/>
  <c r="J89" i="4" a="1"/>
  <c r="J89" i="4" s="1"/>
  <c r="K89" i="4" a="1"/>
  <c r="K89" i="4" s="1"/>
  <c r="L89" i="4" a="1"/>
  <c r="L89" i="4" s="1"/>
  <c r="M89" i="4" a="1"/>
  <c r="M89" i="4" s="1"/>
  <c r="N89" i="4" a="1"/>
  <c r="N89" i="4" s="1"/>
  <c r="O89" i="4" a="1"/>
  <c r="O89" i="4" s="1"/>
  <c r="P89" i="4" a="1"/>
  <c r="P89" i="4" s="1"/>
  <c r="C90" i="4" a="1"/>
  <c r="C90" i="4" s="1"/>
  <c r="D90" i="4" a="1"/>
  <c r="D90" i="4" s="1"/>
  <c r="E90" i="4" a="1"/>
  <c r="E90" i="4" s="1"/>
  <c r="F90" i="4" a="1"/>
  <c r="F90" i="4" s="1"/>
  <c r="G90" i="4" a="1"/>
  <c r="G90" i="4" s="1"/>
  <c r="H90" i="4" a="1"/>
  <c r="H90" i="4" s="1"/>
  <c r="I90" i="4" a="1"/>
  <c r="I90" i="4" s="1"/>
  <c r="J90" i="4" a="1"/>
  <c r="J90" i="4" s="1"/>
  <c r="K90" i="4" a="1"/>
  <c r="K90" i="4" s="1"/>
  <c r="L90" i="4" a="1"/>
  <c r="L90" i="4" s="1"/>
  <c r="M90" i="4" a="1"/>
  <c r="M90" i="4" s="1"/>
  <c r="N90" i="4" a="1"/>
  <c r="N90" i="4" s="1"/>
  <c r="O90" i="4" a="1"/>
  <c r="O90" i="4" s="1"/>
  <c r="P90" i="4" a="1"/>
  <c r="P90" i="4" s="1"/>
  <c r="C91" i="4" a="1"/>
  <c r="C91" i="4" s="1"/>
  <c r="D91" i="4" a="1"/>
  <c r="D91" i="4" s="1"/>
  <c r="E91" i="4" a="1"/>
  <c r="E91" i="4" s="1"/>
  <c r="F91" i="4" a="1"/>
  <c r="F91" i="4" s="1"/>
  <c r="G91" i="4" a="1"/>
  <c r="G91" i="4" s="1"/>
  <c r="H91" i="4" a="1"/>
  <c r="H91" i="4" s="1"/>
  <c r="I91" i="4" a="1"/>
  <c r="I91" i="4" s="1"/>
  <c r="J91" i="4" a="1"/>
  <c r="J91" i="4" s="1"/>
  <c r="K91" i="4" a="1"/>
  <c r="K91" i="4" s="1"/>
  <c r="L91" i="4" a="1"/>
  <c r="L91" i="4" s="1"/>
  <c r="M91" i="4" a="1"/>
  <c r="M91" i="4" s="1"/>
  <c r="N91" i="4" a="1"/>
  <c r="N91" i="4" s="1"/>
  <c r="O91" i="4" a="1"/>
  <c r="O91" i="4" s="1"/>
  <c r="P91" i="4" a="1"/>
  <c r="P91" i="4" s="1"/>
  <c r="C92" i="4" a="1"/>
  <c r="C92" i="4" s="1"/>
  <c r="D92" i="4" a="1"/>
  <c r="D92" i="4" s="1"/>
  <c r="E92" i="4" a="1"/>
  <c r="E92" i="4" s="1"/>
  <c r="F92" i="4" a="1"/>
  <c r="F92" i="4" s="1"/>
  <c r="G92" i="4" a="1"/>
  <c r="G92" i="4" s="1"/>
  <c r="H92" i="4" a="1"/>
  <c r="H92" i="4" s="1"/>
  <c r="I92" i="4" a="1"/>
  <c r="I92" i="4" s="1"/>
  <c r="J92" i="4" a="1"/>
  <c r="J92" i="4" s="1"/>
  <c r="K92" i="4" a="1"/>
  <c r="K92" i="4" s="1"/>
  <c r="L92" i="4" a="1"/>
  <c r="L92" i="4" s="1"/>
  <c r="M92" i="4" a="1"/>
  <c r="M92" i="4" s="1"/>
  <c r="N92" i="4" a="1"/>
  <c r="N92" i="4" s="1"/>
  <c r="O92" i="4" a="1"/>
  <c r="O92" i="4" s="1"/>
  <c r="P92" i="4" a="1"/>
  <c r="P92" i="4" s="1"/>
  <c r="C93" i="4" a="1"/>
  <c r="C93" i="4" s="1"/>
  <c r="D93" i="4" a="1"/>
  <c r="D93" i="4" s="1"/>
  <c r="E93" i="4" a="1"/>
  <c r="E93" i="4" s="1"/>
  <c r="F93" i="4" a="1"/>
  <c r="F93" i="4" s="1"/>
  <c r="G93" i="4" a="1"/>
  <c r="G93" i="4" s="1"/>
  <c r="H93" i="4" a="1"/>
  <c r="H93" i="4" s="1"/>
  <c r="I93" i="4" a="1"/>
  <c r="I93" i="4" s="1"/>
  <c r="J93" i="4" a="1"/>
  <c r="J93" i="4" s="1"/>
  <c r="K93" i="4" a="1"/>
  <c r="K93" i="4" s="1"/>
  <c r="L93" i="4" a="1"/>
  <c r="L93" i="4" s="1"/>
  <c r="M93" i="4" a="1"/>
  <c r="M93" i="4" s="1"/>
  <c r="N93" i="4" a="1"/>
  <c r="N93" i="4" s="1"/>
  <c r="O93" i="4" a="1"/>
  <c r="O93" i="4" s="1"/>
  <c r="P93" i="4" a="1"/>
  <c r="P93" i="4" s="1"/>
  <c r="C94" i="4" a="1"/>
  <c r="C94" i="4" s="1"/>
  <c r="D94" i="4" a="1"/>
  <c r="D94" i="4" s="1"/>
  <c r="E94" i="4" a="1"/>
  <c r="E94" i="4" s="1"/>
  <c r="F94" i="4" a="1"/>
  <c r="F94" i="4" s="1"/>
  <c r="G94" i="4" a="1"/>
  <c r="G94" i="4" s="1"/>
  <c r="H94" i="4" a="1"/>
  <c r="H94" i="4" s="1"/>
  <c r="I94" i="4" a="1"/>
  <c r="I94" i="4" s="1"/>
  <c r="J94" i="4" a="1"/>
  <c r="J94" i="4" s="1"/>
  <c r="K94" i="4" a="1"/>
  <c r="K94" i="4" s="1"/>
  <c r="L94" i="4" a="1"/>
  <c r="L94" i="4" s="1"/>
  <c r="M94" i="4" a="1"/>
  <c r="M94" i="4" s="1"/>
  <c r="N94" i="4" a="1"/>
  <c r="N94" i="4" s="1"/>
  <c r="O94" i="4" a="1"/>
  <c r="O94" i="4" s="1"/>
  <c r="P94" i="4" a="1"/>
  <c r="P94" i="4" s="1"/>
  <c r="C95" i="4" a="1"/>
  <c r="C95" i="4" s="1"/>
  <c r="D95" i="4" a="1"/>
  <c r="D95" i="4" s="1"/>
  <c r="E95" i="4" a="1"/>
  <c r="E95" i="4" s="1"/>
  <c r="F95" i="4" a="1"/>
  <c r="F95" i="4" s="1"/>
  <c r="G95" i="4" a="1"/>
  <c r="G95" i="4" s="1"/>
  <c r="H95" i="4" a="1"/>
  <c r="H95" i="4" s="1"/>
  <c r="I95" i="4" a="1"/>
  <c r="I95" i="4" s="1"/>
  <c r="J95" i="4" a="1"/>
  <c r="J95" i="4" s="1"/>
  <c r="K95" i="4" a="1"/>
  <c r="K95" i="4" s="1"/>
  <c r="L95" i="4" a="1"/>
  <c r="L95" i="4" s="1"/>
  <c r="M95" i="4" a="1"/>
  <c r="M95" i="4" s="1"/>
  <c r="N95" i="4" a="1"/>
  <c r="N95" i="4" s="1"/>
  <c r="O95" i="4" a="1"/>
  <c r="O95" i="4" s="1"/>
  <c r="P95" i="4" a="1"/>
  <c r="P95" i="4" s="1"/>
  <c r="C96" i="4" a="1"/>
  <c r="C96" i="4" s="1"/>
  <c r="D96" i="4" a="1"/>
  <c r="D96" i="4" s="1"/>
  <c r="E96" i="4" a="1"/>
  <c r="E96" i="4" s="1"/>
  <c r="F96" i="4" a="1"/>
  <c r="F96" i="4" s="1"/>
  <c r="G96" i="4" a="1"/>
  <c r="G96" i="4" s="1"/>
  <c r="H96" i="4" a="1"/>
  <c r="H96" i="4" s="1"/>
  <c r="I96" i="4" a="1"/>
  <c r="I96" i="4" s="1"/>
  <c r="J96" i="4" a="1"/>
  <c r="J96" i="4" s="1"/>
  <c r="K96" i="4" a="1"/>
  <c r="K96" i="4" s="1"/>
  <c r="L96" i="4" a="1"/>
  <c r="L96" i="4" s="1"/>
  <c r="M96" i="4" a="1"/>
  <c r="M96" i="4" s="1"/>
  <c r="N96" i="4" a="1"/>
  <c r="N96" i="4" s="1"/>
  <c r="O96" i="4" a="1"/>
  <c r="O96" i="4" s="1"/>
  <c r="P96" i="4" a="1"/>
  <c r="P96" i="4" s="1"/>
  <c r="C97" i="4" a="1"/>
  <c r="C97" i="4" s="1"/>
  <c r="D97" i="4" a="1"/>
  <c r="D97" i="4" s="1"/>
  <c r="E97" i="4" a="1"/>
  <c r="E97" i="4" s="1"/>
  <c r="F97" i="4" a="1"/>
  <c r="F97" i="4" s="1"/>
  <c r="G97" i="4" a="1"/>
  <c r="G97" i="4" s="1"/>
  <c r="H97" i="4" a="1"/>
  <c r="H97" i="4" s="1"/>
  <c r="I97" i="4" a="1"/>
  <c r="I97" i="4" s="1"/>
  <c r="J97" i="4" a="1"/>
  <c r="J97" i="4" s="1"/>
  <c r="K97" i="4" a="1"/>
  <c r="K97" i="4" s="1"/>
  <c r="L97" i="4" a="1"/>
  <c r="L97" i="4" s="1"/>
  <c r="M97" i="4" a="1"/>
  <c r="M97" i="4" s="1"/>
  <c r="N97" i="4" a="1"/>
  <c r="N97" i="4" s="1"/>
  <c r="O97" i="4" a="1"/>
  <c r="O97" i="4" s="1"/>
  <c r="P97" i="4" a="1"/>
  <c r="P97" i="4" s="1"/>
  <c r="C98" i="4" a="1"/>
  <c r="C98" i="4" s="1"/>
  <c r="D98" i="4" a="1"/>
  <c r="D98" i="4" s="1"/>
  <c r="E98" i="4" a="1"/>
  <c r="E98" i="4" s="1"/>
  <c r="F98" i="4" a="1"/>
  <c r="F98" i="4" s="1"/>
  <c r="G98" i="4" a="1"/>
  <c r="G98" i="4" s="1"/>
  <c r="H98" i="4" a="1"/>
  <c r="H98" i="4" s="1"/>
  <c r="I98" i="4" a="1"/>
  <c r="I98" i="4" s="1"/>
  <c r="J98" i="4" a="1"/>
  <c r="J98" i="4" s="1"/>
  <c r="K98" i="4" a="1"/>
  <c r="K98" i="4" s="1"/>
  <c r="L98" i="4" a="1"/>
  <c r="L98" i="4" s="1"/>
  <c r="M98" i="4" a="1"/>
  <c r="M98" i="4" s="1"/>
  <c r="N98" i="4" a="1"/>
  <c r="N98" i="4" s="1"/>
  <c r="O98" i="4" a="1"/>
  <c r="O98" i="4" s="1"/>
  <c r="P98" i="4" a="1"/>
  <c r="P98" i="4" s="1"/>
  <c r="C99" i="4" a="1"/>
  <c r="C99" i="4" s="1"/>
  <c r="D99" i="4" a="1"/>
  <c r="D99" i="4" s="1"/>
  <c r="E99" i="4" a="1"/>
  <c r="E99" i="4" s="1"/>
  <c r="F99" i="4" a="1"/>
  <c r="F99" i="4" s="1"/>
  <c r="G99" i="4" a="1"/>
  <c r="G99" i="4" s="1"/>
  <c r="H99" i="4" a="1"/>
  <c r="H99" i="4" s="1"/>
  <c r="I99" i="4" a="1"/>
  <c r="I99" i="4" s="1"/>
  <c r="J99" i="4" a="1"/>
  <c r="J99" i="4" s="1"/>
  <c r="K99" i="4" a="1"/>
  <c r="K99" i="4" s="1"/>
  <c r="L99" i="4" a="1"/>
  <c r="L99" i="4" s="1"/>
  <c r="M99" i="4" a="1"/>
  <c r="M99" i="4" s="1"/>
  <c r="N99" i="4" a="1"/>
  <c r="N99" i="4" s="1"/>
  <c r="O99" i="4" a="1"/>
  <c r="O99" i="4" s="1"/>
  <c r="P99" i="4" a="1"/>
  <c r="P99" i="4" s="1"/>
  <c r="C100" i="4" a="1"/>
  <c r="C100" i="4" s="1"/>
  <c r="D100" i="4" a="1"/>
  <c r="D100" i="4" s="1"/>
  <c r="E100" i="4" a="1"/>
  <c r="E100" i="4" s="1"/>
  <c r="F100" i="4" a="1"/>
  <c r="F100" i="4" s="1"/>
  <c r="G100" i="4" a="1"/>
  <c r="G100" i="4" s="1"/>
  <c r="H100" i="4" a="1"/>
  <c r="H100" i="4" s="1"/>
  <c r="I100" i="4" a="1"/>
  <c r="I100" i="4" s="1"/>
  <c r="J100" i="4" a="1"/>
  <c r="J100" i="4" s="1"/>
  <c r="K100" i="4" a="1"/>
  <c r="K100" i="4" s="1"/>
  <c r="L100" i="4" a="1"/>
  <c r="L100" i="4" s="1"/>
  <c r="M100" i="4" a="1"/>
  <c r="M100" i="4" s="1"/>
  <c r="N100" i="4" a="1"/>
  <c r="N100" i="4" s="1"/>
  <c r="O100" i="4" a="1"/>
  <c r="O100" i="4" s="1"/>
  <c r="P100" i="4" a="1"/>
  <c r="P100" i="4" s="1"/>
  <c r="C101" i="4" a="1"/>
  <c r="C101" i="4" s="1"/>
  <c r="D101" i="4" a="1"/>
  <c r="D101" i="4" s="1"/>
  <c r="E101" i="4" a="1"/>
  <c r="E101" i="4" s="1"/>
  <c r="F101" i="4" a="1"/>
  <c r="F101" i="4" s="1"/>
  <c r="G101" i="4" a="1"/>
  <c r="G101" i="4" s="1"/>
  <c r="H101" i="4" a="1"/>
  <c r="H101" i="4" s="1"/>
  <c r="I101" i="4" a="1"/>
  <c r="I101" i="4" s="1"/>
  <c r="J101" i="4" a="1"/>
  <c r="J101" i="4" s="1"/>
  <c r="K101" i="4" a="1"/>
  <c r="K101" i="4" s="1"/>
  <c r="L101" i="4" a="1"/>
  <c r="L101" i="4" s="1"/>
  <c r="M101" i="4" a="1"/>
  <c r="M101" i="4" s="1"/>
  <c r="N101" i="4" a="1"/>
  <c r="N101" i="4" s="1"/>
  <c r="O101" i="4" a="1"/>
  <c r="O101" i="4" s="1"/>
  <c r="P101" i="4" a="1"/>
  <c r="P101" i="4" s="1"/>
  <c r="C102" i="4" a="1"/>
  <c r="C102" i="4" s="1"/>
  <c r="D102" i="4" a="1"/>
  <c r="D102" i="4" s="1"/>
  <c r="E102" i="4" a="1"/>
  <c r="E102" i="4" s="1"/>
  <c r="F102" i="4" a="1"/>
  <c r="F102" i="4" s="1"/>
  <c r="G102" i="4" a="1"/>
  <c r="G102" i="4" s="1"/>
  <c r="H102" i="4" a="1"/>
  <c r="H102" i="4" s="1"/>
  <c r="I102" i="4" a="1"/>
  <c r="I102" i="4" s="1"/>
  <c r="J102" i="4" a="1"/>
  <c r="J102" i="4" s="1"/>
  <c r="K102" i="4" a="1"/>
  <c r="K102" i="4" s="1"/>
  <c r="L102" i="4" a="1"/>
  <c r="L102" i="4" s="1"/>
  <c r="M102" i="4" a="1"/>
  <c r="M102" i="4" s="1"/>
  <c r="N102" i="4" a="1"/>
  <c r="N102" i="4" s="1"/>
  <c r="O102" i="4" a="1"/>
  <c r="O102" i="4" s="1"/>
  <c r="P102" i="4" a="1"/>
  <c r="P102" i="4" s="1"/>
  <c r="C103" i="4" a="1"/>
  <c r="C103" i="4" s="1"/>
  <c r="D103" i="4" a="1"/>
  <c r="D103" i="4" s="1"/>
  <c r="E103" i="4" a="1"/>
  <c r="E103" i="4" s="1"/>
  <c r="F103" i="4" a="1"/>
  <c r="F103" i="4" s="1"/>
  <c r="G103" i="4" a="1"/>
  <c r="G103" i="4" s="1"/>
  <c r="H103" i="4" a="1"/>
  <c r="H103" i="4" s="1"/>
  <c r="I103" i="4" a="1"/>
  <c r="I103" i="4" s="1"/>
  <c r="J103" i="4" a="1"/>
  <c r="J103" i="4" s="1"/>
  <c r="K103" i="4" a="1"/>
  <c r="K103" i="4" s="1"/>
  <c r="L103" i="4" a="1"/>
  <c r="L103" i="4" s="1"/>
  <c r="M103" i="4" a="1"/>
  <c r="M103" i="4" s="1"/>
  <c r="N103" i="4" a="1"/>
  <c r="N103" i="4" s="1"/>
  <c r="O103" i="4" a="1"/>
  <c r="O103" i="4" s="1"/>
  <c r="P103" i="4" a="1"/>
  <c r="P103" i="4" s="1"/>
  <c r="C104" i="4" a="1"/>
  <c r="C104" i="4" s="1"/>
  <c r="D104" i="4" a="1"/>
  <c r="D104" i="4" s="1"/>
  <c r="E104" i="4" a="1"/>
  <c r="E104" i="4" s="1"/>
  <c r="F104" i="4" a="1"/>
  <c r="F104" i="4" s="1"/>
  <c r="G104" i="4" a="1"/>
  <c r="G104" i="4" s="1"/>
  <c r="H104" i="4" a="1"/>
  <c r="H104" i="4" s="1"/>
  <c r="I104" i="4" a="1"/>
  <c r="I104" i="4" s="1"/>
  <c r="J104" i="4" a="1"/>
  <c r="J104" i="4" s="1"/>
  <c r="K104" i="4" a="1"/>
  <c r="K104" i="4" s="1"/>
  <c r="L104" i="4" a="1"/>
  <c r="L104" i="4" s="1"/>
  <c r="M104" i="4" a="1"/>
  <c r="M104" i="4" s="1"/>
  <c r="N104" i="4" a="1"/>
  <c r="N104" i="4" s="1"/>
  <c r="O104" i="4" a="1"/>
  <c r="O104" i="4" s="1"/>
  <c r="P104" i="4" a="1"/>
  <c r="P104" i="4" s="1"/>
  <c r="C105" i="4" a="1"/>
  <c r="C105" i="4" s="1"/>
  <c r="D105" i="4" a="1"/>
  <c r="D105" i="4" s="1"/>
  <c r="E105" i="4" a="1"/>
  <c r="E105" i="4" s="1"/>
  <c r="F105" i="4" a="1"/>
  <c r="F105" i="4" s="1"/>
  <c r="G105" i="4" a="1"/>
  <c r="G105" i="4" s="1"/>
  <c r="H105" i="4" a="1"/>
  <c r="H105" i="4" s="1"/>
  <c r="I105" i="4" a="1"/>
  <c r="I105" i="4" s="1"/>
  <c r="J105" i="4" a="1"/>
  <c r="J105" i="4" s="1"/>
  <c r="K105" i="4" a="1"/>
  <c r="K105" i="4" s="1"/>
  <c r="L105" i="4" a="1"/>
  <c r="L105" i="4" s="1"/>
  <c r="M105" i="4" a="1"/>
  <c r="M105" i="4" s="1"/>
  <c r="N105" i="4" a="1"/>
  <c r="N105" i="4" s="1"/>
  <c r="O105" i="4" a="1"/>
  <c r="O105" i="4" s="1"/>
  <c r="P105" i="4" a="1"/>
  <c r="P105" i="4" s="1"/>
  <c r="C106" i="4" a="1"/>
  <c r="C106" i="4" s="1"/>
  <c r="D106" i="4" a="1"/>
  <c r="D106" i="4" s="1"/>
  <c r="E106" i="4" a="1"/>
  <c r="E106" i="4" s="1"/>
  <c r="F106" i="4" a="1"/>
  <c r="F106" i="4" s="1"/>
  <c r="G106" i="4" a="1"/>
  <c r="G106" i="4" s="1"/>
  <c r="H106" i="4" a="1"/>
  <c r="H106" i="4" s="1"/>
  <c r="I106" i="4" a="1"/>
  <c r="I106" i="4" s="1"/>
  <c r="J106" i="4" a="1"/>
  <c r="J106" i="4" s="1"/>
  <c r="K106" i="4" a="1"/>
  <c r="K106" i="4" s="1"/>
  <c r="L106" i="4" a="1"/>
  <c r="L106" i="4" s="1"/>
  <c r="M106" i="4" a="1"/>
  <c r="M106" i="4" s="1"/>
  <c r="N106" i="4" a="1"/>
  <c r="N106" i="4" s="1"/>
  <c r="O106" i="4" a="1"/>
  <c r="O106" i="4" s="1"/>
  <c r="P106" i="4" a="1"/>
  <c r="P106" i="4" s="1"/>
  <c r="C107" i="4" a="1"/>
  <c r="C107" i="4" s="1"/>
  <c r="D107" i="4" a="1"/>
  <c r="D107" i="4" s="1"/>
  <c r="E107" i="4" a="1"/>
  <c r="E107" i="4" s="1"/>
  <c r="F107" i="4" a="1"/>
  <c r="F107" i="4" s="1"/>
  <c r="G107" i="4" a="1"/>
  <c r="G107" i="4" s="1"/>
  <c r="H107" i="4" a="1"/>
  <c r="H107" i="4" s="1"/>
  <c r="I107" i="4" a="1"/>
  <c r="I107" i="4" s="1"/>
  <c r="J107" i="4" a="1"/>
  <c r="J107" i="4" s="1"/>
  <c r="K107" i="4" a="1"/>
  <c r="K107" i="4" s="1"/>
  <c r="L107" i="4" a="1"/>
  <c r="L107" i="4" s="1"/>
  <c r="M107" i="4" a="1"/>
  <c r="M107" i="4" s="1"/>
  <c r="N107" i="4" a="1"/>
  <c r="N107" i="4" s="1"/>
  <c r="O107" i="4" a="1"/>
  <c r="O107" i="4" s="1"/>
  <c r="P107" i="4" a="1"/>
  <c r="P107" i="4" s="1"/>
  <c r="C108" i="4" a="1"/>
  <c r="C108" i="4" s="1"/>
  <c r="D108" i="4" a="1"/>
  <c r="D108" i="4" s="1"/>
  <c r="E108" i="4" a="1"/>
  <c r="E108" i="4" s="1"/>
  <c r="F108" i="4" a="1"/>
  <c r="F108" i="4" s="1"/>
  <c r="G108" i="4" a="1"/>
  <c r="G108" i="4" s="1"/>
  <c r="H108" i="4" a="1"/>
  <c r="H108" i="4" s="1"/>
  <c r="I108" i="4" a="1"/>
  <c r="I108" i="4" s="1"/>
  <c r="J108" i="4" a="1"/>
  <c r="J108" i="4" s="1"/>
  <c r="K108" i="4" a="1"/>
  <c r="K108" i="4" s="1"/>
  <c r="L108" i="4" a="1"/>
  <c r="L108" i="4" s="1"/>
  <c r="M108" i="4" a="1"/>
  <c r="M108" i="4" s="1"/>
  <c r="N108" i="4" a="1"/>
  <c r="N108" i="4" s="1"/>
  <c r="O108" i="4" a="1"/>
  <c r="O108" i="4" s="1"/>
  <c r="P108" i="4" a="1"/>
  <c r="P108" i="4" s="1"/>
  <c r="C109" i="4" a="1"/>
  <c r="C109" i="4" s="1"/>
  <c r="D109" i="4" a="1"/>
  <c r="D109" i="4" s="1"/>
  <c r="E109" i="4" a="1"/>
  <c r="E109" i="4" s="1"/>
  <c r="F109" i="4" a="1"/>
  <c r="F109" i="4" s="1"/>
  <c r="G109" i="4" a="1"/>
  <c r="G109" i="4" s="1"/>
  <c r="H109" i="4" a="1"/>
  <c r="H109" i="4" s="1"/>
  <c r="I109" i="4" a="1"/>
  <c r="I109" i="4" s="1"/>
  <c r="J109" i="4" a="1"/>
  <c r="J109" i="4" s="1"/>
  <c r="K109" i="4" a="1"/>
  <c r="K109" i="4" s="1"/>
  <c r="L109" i="4" a="1"/>
  <c r="L109" i="4" s="1"/>
  <c r="M109" i="4" a="1"/>
  <c r="M109" i="4" s="1"/>
  <c r="N109" i="4" a="1"/>
  <c r="N109" i="4" s="1"/>
  <c r="O109" i="4" a="1"/>
  <c r="O109" i="4" s="1"/>
  <c r="P109" i="4" a="1"/>
  <c r="P109" i="4" s="1"/>
  <c r="C110" i="4" a="1"/>
  <c r="C110" i="4" s="1"/>
  <c r="D110" i="4" a="1"/>
  <c r="D110" i="4" s="1"/>
  <c r="E110" i="4" a="1"/>
  <c r="E110" i="4" s="1"/>
  <c r="F110" i="4" a="1"/>
  <c r="F110" i="4" s="1"/>
  <c r="G110" i="4" a="1"/>
  <c r="G110" i="4" s="1"/>
  <c r="H110" i="4" a="1"/>
  <c r="H110" i="4" s="1"/>
  <c r="I110" i="4" a="1"/>
  <c r="I110" i="4" s="1"/>
  <c r="J110" i="4" a="1"/>
  <c r="J110" i="4" s="1"/>
  <c r="K110" i="4" a="1"/>
  <c r="K110" i="4" s="1"/>
  <c r="L110" i="4" a="1"/>
  <c r="L110" i="4" s="1"/>
  <c r="M110" i="4" a="1"/>
  <c r="M110" i="4" s="1"/>
  <c r="N110" i="4" a="1"/>
  <c r="N110" i="4" s="1"/>
  <c r="O110" i="4" a="1"/>
  <c r="O110" i="4" s="1"/>
  <c r="P110" i="4" a="1"/>
  <c r="P110" i="4" s="1"/>
  <c r="C111" i="4" a="1"/>
  <c r="C111" i="4" s="1"/>
  <c r="D111" i="4" a="1"/>
  <c r="D111" i="4" s="1"/>
  <c r="E111" i="4" a="1"/>
  <c r="E111" i="4" s="1"/>
  <c r="F111" i="4" a="1"/>
  <c r="F111" i="4" s="1"/>
  <c r="G111" i="4" a="1"/>
  <c r="G111" i="4" s="1"/>
  <c r="H111" i="4" a="1"/>
  <c r="H111" i="4" s="1"/>
  <c r="I111" i="4" a="1"/>
  <c r="I111" i="4" s="1"/>
  <c r="J111" i="4" a="1"/>
  <c r="J111" i="4" s="1"/>
  <c r="K111" i="4" a="1"/>
  <c r="K111" i="4" s="1"/>
  <c r="L111" i="4" a="1"/>
  <c r="L111" i="4" s="1"/>
  <c r="M111" i="4" a="1"/>
  <c r="M111" i="4" s="1"/>
  <c r="N111" i="4" a="1"/>
  <c r="N111" i="4" s="1"/>
  <c r="O111" i="4" a="1"/>
  <c r="O111" i="4" s="1"/>
  <c r="P111" i="4" a="1"/>
  <c r="P111" i="4" s="1"/>
  <c r="C112" i="4" a="1"/>
  <c r="C112" i="4" s="1"/>
  <c r="D112" i="4" a="1"/>
  <c r="D112" i="4" s="1"/>
  <c r="E112" i="4" a="1"/>
  <c r="E112" i="4" s="1"/>
  <c r="F112" i="4" a="1"/>
  <c r="F112" i="4" s="1"/>
  <c r="G112" i="4" a="1"/>
  <c r="G112" i="4" s="1"/>
  <c r="H112" i="4" a="1"/>
  <c r="H112" i="4" s="1"/>
  <c r="I112" i="4" a="1"/>
  <c r="I112" i="4" s="1"/>
  <c r="J112" i="4" a="1"/>
  <c r="J112" i="4" s="1"/>
  <c r="K112" i="4" a="1"/>
  <c r="K112" i="4" s="1"/>
  <c r="L112" i="4" a="1"/>
  <c r="L112" i="4" s="1"/>
  <c r="M112" i="4" a="1"/>
  <c r="M112" i="4" s="1"/>
  <c r="N112" i="4" a="1"/>
  <c r="N112" i="4" s="1"/>
  <c r="O112" i="4" a="1"/>
  <c r="O112" i="4" s="1"/>
  <c r="P112" i="4" a="1"/>
  <c r="P112" i="4" s="1"/>
  <c r="C113" i="4" a="1"/>
  <c r="C113" i="4" s="1"/>
  <c r="D113" i="4" a="1"/>
  <c r="D113" i="4" s="1"/>
  <c r="E113" i="4" a="1"/>
  <c r="E113" i="4" s="1"/>
  <c r="F113" i="4" a="1"/>
  <c r="F113" i="4" s="1"/>
  <c r="G113" i="4" a="1"/>
  <c r="G113" i="4" s="1"/>
  <c r="H113" i="4" a="1"/>
  <c r="H113" i="4" s="1"/>
  <c r="I113" i="4" a="1"/>
  <c r="I113" i="4" s="1"/>
  <c r="J113" i="4" a="1"/>
  <c r="J113" i="4" s="1"/>
  <c r="K113" i="4" a="1"/>
  <c r="K113" i="4" s="1"/>
  <c r="L113" i="4" a="1"/>
  <c r="L113" i="4" s="1"/>
  <c r="M113" i="4" a="1"/>
  <c r="M113" i="4" s="1"/>
  <c r="N113" i="4" a="1"/>
  <c r="N113" i="4" s="1"/>
  <c r="O113" i="4" a="1"/>
  <c r="O113" i="4" s="1"/>
  <c r="P113" i="4" a="1"/>
  <c r="P113" i="4" s="1"/>
  <c r="C114" i="4" a="1"/>
  <c r="C114" i="4" s="1"/>
  <c r="D114" i="4" a="1"/>
  <c r="D114" i="4" s="1"/>
  <c r="E114" i="4" a="1"/>
  <c r="E114" i="4" s="1"/>
  <c r="F114" i="4" a="1"/>
  <c r="F114" i="4" s="1"/>
  <c r="G114" i="4" a="1"/>
  <c r="G114" i="4" s="1"/>
  <c r="H114" i="4" a="1"/>
  <c r="H114" i="4" s="1"/>
  <c r="I114" i="4" a="1"/>
  <c r="I114" i="4" s="1"/>
  <c r="J114" i="4" a="1"/>
  <c r="J114" i="4" s="1"/>
  <c r="K114" i="4" a="1"/>
  <c r="K114" i="4" s="1"/>
  <c r="L114" i="4" a="1"/>
  <c r="L114" i="4" s="1"/>
  <c r="M114" i="4" a="1"/>
  <c r="M114" i="4" s="1"/>
  <c r="N114" i="4" a="1"/>
  <c r="N114" i="4" s="1"/>
  <c r="O114" i="4" a="1"/>
  <c r="O114" i="4" s="1"/>
  <c r="P114" i="4" a="1"/>
  <c r="P114" i="4" s="1"/>
  <c r="C115" i="4" a="1"/>
  <c r="C115" i="4" s="1"/>
  <c r="D115" i="4" a="1"/>
  <c r="D115" i="4" s="1"/>
  <c r="E115" i="4" a="1"/>
  <c r="E115" i="4" s="1"/>
  <c r="F115" i="4" a="1"/>
  <c r="F115" i="4" s="1"/>
  <c r="G115" i="4" a="1"/>
  <c r="G115" i="4" s="1"/>
  <c r="H115" i="4" a="1"/>
  <c r="H115" i="4" s="1"/>
  <c r="I115" i="4" a="1"/>
  <c r="I115" i="4" s="1"/>
  <c r="J115" i="4" a="1"/>
  <c r="J115" i="4" s="1"/>
  <c r="K115" i="4" a="1"/>
  <c r="K115" i="4" s="1"/>
  <c r="L115" i="4" a="1"/>
  <c r="L115" i="4" s="1"/>
  <c r="M115" i="4" a="1"/>
  <c r="M115" i="4" s="1"/>
  <c r="N115" i="4" a="1"/>
  <c r="N115" i="4" s="1"/>
  <c r="O115" i="4" a="1"/>
  <c r="O115" i="4" s="1"/>
  <c r="P115" i="4" a="1"/>
  <c r="P115" i="4" s="1"/>
  <c r="C116" i="4" a="1"/>
  <c r="C116" i="4" s="1"/>
  <c r="D116" i="4" a="1"/>
  <c r="D116" i="4" s="1"/>
  <c r="E116" i="4" a="1"/>
  <c r="E116" i="4" s="1"/>
  <c r="F116" i="4" a="1"/>
  <c r="F116" i="4" s="1"/>
  <c r="G116" i="4" a="1"/>
  <c r="G116" i="4" s="1"/>
  <c r="H116" i="4" a="1"/>
  <c r="H116" i="4" s="1"/>
  <c r="I116" i="4" a="1"/>
  <c r="I116" i="4" s="1"/>
  <c r="J116" i="4" a="1"/>
  <c r="J116" i="4" s="1"/>
  <c r="K116" i="4" a="1"/>
  <c r="K116" i="4" s="1"/>
  <c r="L116" i="4" a="1"/>
  <c r="L116" i="4" s="1"/>
  <c r="M116" i="4" a="1"/>
  <c r="M116" i="4" s="1"/>
  <c r="N116" i="4" a="1"/>
  <c r="N116" i="4" s="1"/>
  <c r="O116" i="4" a="1"/>
  <c r="O116" i="4" s="1"/>
  <c r="P116" i="4" a="1"/>
  <c r="P116" i="4" s="1"/>
  <c r="C117" i="4" a="1"/>
  <c r="C117" i="4" s="1"/>
  <c r="D117" i="4" a="1"/>
  <c r="D117" i="4" s="1"/>
  <c r="E117" i="4" a="1"/>
  <c r="E117" i="4" s="1"/>
  <c r="F117" i="4" a="1"/>
  <c r="F117" i="4" s="1"/>
  <c r="G117" i="4" a="1"/>
  <c r="G117" i="4" s="1"/>
  <c r="H117" i="4" a="1"/>
  <c r="H117" i="4" s="1"/>
  <c r="I117" i="4" a="1"/>
  <c r="I117" i="4" s="1"/>
  <c r="J117" i="4" a="1"/>
  <c r="J117" i="4" s="1"/>
  <c r="K117" i="4" a="1"/>
  <c r="K117" i="4" s="1"/>
  <c r="L117" i="4" a="1"/>
  <c r="L117" i="4" s="1"/>
  <c r="M117" i="4" a="1"/>
  <c r="M117" i="4" s="1"/>
  <c r="N117" i="4" a="1"/>
  <c r="N117" i="4" s="1"/>
  <c r="O117" i="4" a="1"/>
  <c r="O117" i="4" s="1"/>
  <c r="P117" i="4" a="1"/>
  <c r="P117" i="4" s="1"/>
  <c r="C118" i="4" a="1"/>
  <c r="C118" i="4" s="1"/>
  <c r="D118" i="4" a="1"/>
  <c r="D118" i="4" s="1"/>
  <c r="E118" i="4" a="1"/>
  <c r="E118" i="4" s="1"/>
  <c r="F118" i="4" a="1"/>
  <c r="F118" i="4" s="1"/>
  <c r="G118" i="4" a="1"/>
  <c r="G118" i="4" s="1"/>
  <c r="H118" i="4" a="1"/>
  <c r="H118" i="4" s="1"/>
  <c r="I118" i="4" a="1"/>
  <c r="I118" i="4" s="1"/>
  <c r="J118" i="4" a="1"/>
  <c r="J118" i="4" s="1"/>
  <c r="K118" i="4" a="1"/>
  <c r="K118" i="4" s="1"/>
  <c r="L118" i="4" a="1"/>
  <c r="L118" i="4" s="1"/>
  <c r="M118" i="4" a="1"/>
  <c r="M118" i="4" s="1"/>
  <c r="N118" i="4" a="1"/>
  <c r="N118" i="4" s="1"/>
  <c r="O118" i="4" a="1"/>
  <c r="O118" i="4" s="1"/>
  <c r="P118" i="4" a="1"/>
  <c r="P118" i="4" s="1"/>
  <c r="C119" i="4" a="1"/>
  <c r="C119" i="4" s="1"/>
  <c r="D119" i="4" a="1"/>
  <c r="D119" i="4" s="1"/>
  <c r="E119" i="4" a="1"/>
  <c r="E119" i="4" s="1"/>
  <c r="F119" i="4" a="1"/>
  <c r="F119" i="4" s="1"/>
  <c r="G119" i="4" a="1"/>
  <c r="G119" i="4" s="1"/>
  <c r="H119" i="4" a="1"/>
  <c r="H119" i="4" s="1"/>
  <c r="I119" i="4" a="1"/>
  <c r="I119" i="4" s="1"/>
  <c r="J119" i="4" a="1"/>
  <c r="J119" i="4" s="1"/>
  <c r="K119" i="4" a="1"/>
  <c r="K119" i="4" s="1"/>
  <c r="L119" i="4" a="1"/>
  <c r="L119" i="4" s="1"/>
  <c r="M119" i="4" a="1"/>
  <c r="M119" i="4" s="1"/>
  <c r="N119" i="4" a="1"/>
  <c r="N119" i="4" s="1"/>
  <c r="O119" i="4" a="1"/>
  <c r="O119" i="4" s="1"/>
  <c r="P119" i="4" a="1"/>
  <c r="P119" i="4" s="1"/>
  <c r="C120" i="4" a="1"/>
  <c r="C120" i="4" s="1"/>
  <c r="D120" i="4" a="1"/>
  <c r="D120" i="4" s="1"/>
  <c r="E120" i="4" a="1"/>
  <c r="E120" i="4" s="1"/>
  <c r="F120" i="4" a="1"/>
  <c r="F120" i="4" s="1"/>
  <c r="G120" i="4" a="1"/>
  <c r="G120" i="4" s="1"/>
  <c r="H120" i="4" a="1"/>
  <c r="H120" i="4" s="1"/>
  <c r="I120" i="4" a="1"/>
  <c r="I120" i="4" s="1"/>
  <c r="J120" i="4" a="1"/>
  <c r="J120" i="4" s="1"/>
  <c r="K120" i="4" a="1"/>
  <c r="K120" i="4" s="1"/>
  <c r="L120" i="4" a="1"/>
  <c r="L120" i="4" s="1"/>
  <c r="M120" i="4" a="1"/>
  <c r="M120" i="4" s="1"/>
  <c r="N120" i="4" a="1"/>
  <c r="N120" i="4" s="1"/>
  <c r="O120" i="4" a="1"/>
  <c r="O120" i="4" s="1"/>
  <c r="P120" i="4" a="1"/>
  <c r="P120" i="4" s="1"/>
  <c r="C121" i="4" a="1"/>
  <c r="C121" i="4" s="1"/>
  <c r="D121" i="4" a="1"/>
  <c r="D121" i="4" s="1"/>
  <c r="E121" i="4" a="1"/>
  <c r="E121" i="4" s="1"/>
  <c r="F121" i="4" a="1"/>
  <c r="F121" i="4" s="1"/>
  <c r="G121" i="4" a="1"/>
  <c r="G121" i="4" s="1"/>
  <c r="H121" i="4" a="1"/>
  <c r="H121" i="4" s="1"/>
  <c r="I121" i="4" a="1"/>
  <c r="I121" i="4" s="1"/>
  <c r="J121" i="4" a="1"/>
  <c r="J121" i="4" s="1"/>
  <c r="K121" i="4" a="1"/>
  <c r="K121" i="4" s="1"/>
  <c r="L121" i="4" a="1"/>
  <c r="L121" i="4" s="1"/>
  <c r="M121" i="4" a="1"/>
  <c r="M121" i="4" s="1"/>
  <c r="N121" i="4" a="1"/>
  <c r="N121" i="4" s="1"/>
  <c r="O121" i="4" a="1"/>
  <c r="O121" i="4" s="1"/>
  <c r="P121" i="4" a="1"/>
  <c r="P121" i="4" s="1"/>
  <c r="M6" i="4" a="1"/>
  <c r="M6" i="4" s="1"/>
  <c r="N6" i="4" a="1"/>
  <c r="N6" i="4" s="1"/>
  <c r="O6" i="4" a="1"/>
  <c r="O6" i="4" s="1"/>
  <c r="P6" i="4" a="1"/>
  <c r="P6" i="4" s="1"/>
  <c r="M7" i="4" a="1"/>
  <c r="M7" i="4" s="1"/>
  <c r="N7" i="4" a="1"/>
  <c r="N7" i="4" s="1"/>
  <c r="O7" i="4" a="1"/>
  <c r="O7" i="4" s="1"/>
  <c r="P7" i="4" a="1"/>
  <c r="P7" i="4" s="1"/>
  <c r="M8" i="4" a="1"/>
  <c r="M8" i="4" s="1"/>
  <c r="N8" i="4" a="1"/>
  <c r="N8" i="4" s="1"/>
  <c r="O8" i="4" a="1"/>
  <c r="O8" i="4" s="1"/>
  <c r="P8" i="4" a="1"/>
  <c r="P8" i="4" s="1"/>
  <c r="M9" i="4" a="1"/>
  <c r="M9" i="4" s="1"/>
  <c r="T7" i="19" s="1"/>
  <c r="N9" i="4" a="1"/>
  <c r="N9" i="4" s="1"/>
  <c r="U7" i="19" s="1"/>
  <c r="O9" i="4" a="1"/>
  <c r="O9" i="4" s="1"/>
  <c r="V7" i="19" s="1"/>
  <c r="P9" i="4" a="1"/>
  <c r="P9" i="4" s="1"/>
  <c r="W7" i="19" s="1"/>
  <c r="M10" i="4" a="1"/>
  <c r="M10" i="4" s="1"/>
  <c r="N10" i="4" a="1"/>
  <c r="N10" i="4" s="1"/>
  <c r="O10" i="4" a="1"/>
  <c r="O10" i="4" s="1"/>
  <c r="P10" i="4" a="1"/>
  <c r="P10" i="4" s="1"/>
  <c r="M11" i="4" a="1"/>
  <c r="M11" i="4" s="1"/>
  <c r="N11" i="4" a="1"/>
  <c r="N11" i="4" s="1"/>
  <c r="O11" i="4" a="1"/>
  <c r="O11" i="4" s="1"/>
  <c r="P11" i="4" a="1"/>
  <c r="P11" i="4" s="1"/>
  <c r="M12" i="4" a="1"/>
  <c r="M12" i="4" s="1"/>
  <c r="N12" i="4" a="1"/>
  <c r="N12" i="4" s="1"/>
  <c r="O12" i="4" a="1"/>
  <c r="O12" i="4" s="1"/>
  <c r="P12" i="4" a="1"/>
  <c r="P12" i="4" s="1"/>
  <c r="M13" i="4" a="1"/>
  <c r="M13" i="4" s="1"/>
  <c r="T5" i="19" s="1"/>
  <c r="N13" i="4" a="1"/>
  <c r="N13" i="4" s="1"/>
  <c r="U5" i="19" s="1"/>
  <c r="O13" i="4" a="1"/>
  <c r="O13" i="4" s="1"/>
  <c r="V5" i="19" s="1"/>
  <c r="P13" i="4" a="1"/>
  <c r="P13" i="4" s="1"/>
  <c r="W5" i="19" s="1"/>
  <c r="M14" i="4" a="1"/>
  <c r="M14" i="4" s="1"/>
  <c r="N14" i="4" a="1"/>
  <c r="N14" i="4" s="1"/>
  <c r="O14" i="4" a="1"/>
  <c r="O14" i="4" s="1"/>
  <c r="P14" i="4" a="1"/>
  <c r="P14" i="4" s="1"/>
  <c r="M15" i="4" a="1"/>
  <c r="M15" i="4" s="1"/>
  <c r="N15" i="4" a="1"/>
  <c r="N15" i="4" s="1"/>
  <c r="O15" i="4" a="1"/>
  <c r="O15" i="4" s="1"/>
  <c r="P15" i="4" a="1"/>
  <c r="P15" i="4" s="1"/>
  <c r="M16" i="4" a="1"/>
  <c r="M16" i="4" s="1"/>
  <c r="N16" i="4" a="1"/>
  <c r="N16" i="4" s="1"/>
  <c r="O16" i="4" a="1"/>
  <c r="O16" i="4" s="1"/>
  <c r="P16" i="4" a="1"/>
  <c r="P16" i="4" s="1"/>
  <c r="M17" i="4" a="1"/>
  <c r="M17" i="4" s="1"/>
  <c r="N17" i="4" a="1"/>
  <c r="N17" i="4" s="1"/>
  <c r="O17" i="4" a="1"/>
  <c r="O17" i="4" s="1"/>
  <c r="P17" i="4" a="1"/>
  <c r="P17" i="4" s="1"/>
  <c r="M18" i="4" a="1"/>
  <c r="M18" i="4" s="1"/>
  <c r="N18" i="4" a="1"/>
  <c r="N18" i="4" s="1"/>
  <c r="O18" i="4" a="1"/>
  <c r="O18" i="4" s="1"/>
  <c r="P18" i="4" a="1"/>
  <c r="P18" i="4" s="1"/>
  <c r="C5" i="4" a="1"/>
  <c r="C5" i="4" s="1"/>
  <c r="C6" i="4" a="1"/>
  <c r="C6" i="4" s="1"/>
  <c r="D6" i="4" a="1"/>
  <c r="D6" i="4" s="1"/>
  <c r="E6" i="4" a="1"/>
  <c r="E6" i="4" s="1"/>
  <c r="F6" i="4" a="1"/>
  <c r="F6" i="4" s="1"/>
  <c r="G6" i="4" a="1"/>
  <c r="G6" i="4" s="1"/>
  <c r="H6" i="4" a="1"/>
  <c r="H6" i="4" s="1"/>
  <c r="I6" i="4" a="1"/>
  <c r="I6" i="4" s="1"/>
  <c r="J6" i="4" a="1"/>
  <c r="J6" i="4" s="1"/>
  <c r="K6" i="4" a="1"/>
  <c r="K6" i="4" s="1"/>
  <c r="L6" i="4" a="1"/>
  <c r="L6" i="4" s="1"/>
  <c r="C7" i="4" a="1"/>
  <c r="C7" i="4" s="1"/>
  <c r="D7" i="4" a="1"/>
  <c r="D7" i="4" s="1"/>
  <c r="E7" i="4" a="1"/>
  <c r="E7" i="4" s="1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L7" i="4" a="1"/>
  <c r="L7" i="4" s="1"/>
  <c r="C8" i="4" a="1"/>
  <c r="C8" i="4" s="1"/>
  <c r="D8" i="4" a="1"/>
  <c r="D8" i="4" s="1"/>
  <c r="E8" i="4" a="1"/>
  <c r="E8" i="4" s="1"/>
  <c r="F8" i="4" a="1"/>
  <c r="F8" i="4" s="1"/>
  <c r="G8" i="4" a="1"/>
  <c r="G8" i="4" s="1"/>
  <c r="H8" i="4" a="1"/>
  <c r="H8" i="4" s="1"/>
  <c r="I8" i="4" a="1"/>
  <c r="I8" i="4" s="1"/>
  <c r="J8" i="4" a="1"/>
  <c r="J8" i="4" s="1"/>
  <c r="K8" i="4" a="1"/>
  <c r="K8" i="4" s="1"/>
  <c r="L8" i="4" a="1"/>
  <c r="L8" i="4" s="1"/>
  <c r="C9" i="4" a="1"/>
  <c r="C9" i="4" s="1"/>
  <c r="D9" i="4" a="1"/>
  <c r="D9" i="4" s="1"/>
  <c r="K7" i="19" s="1"/>
  <c r="E9" i="4" a="1"/>
  <c r="E9" i="4" s="1"/>
  <c r="L7" i="19" s="1"/>
  <c r="F9" i="4" a="1"/>
  <c r="F9" i="4" s="1"/>
  <c r="M7" i="19" s="1"/>
  <c r="G9" i="4" a="1"/>
  <c r="G9" i="4" s="1"/>
  <c r="N7" i="19" s="1"/>
  <c r="H9" i="4" a="1"/>
  <c r="H9" i="4" s="1"/>
  <c r="O7" i="19" s="1"/>
  <c r="I9" i="4" a="1"/>
  <c r="I9" i="4" s="1"/>
  <c r="P7" i="19" s="1"/>
  <c r="J9" i="4" a="1"/>
  <c r="J9" i="4" s="1"/>
  <c r="Q7" i="19" s="1"/>
  <c r="K9" i="4" a="1"/>
  <c r="K9" i="4" s="1"/>
  <c r="R7" i="19" s="1"/>
  <c r="L9" i="4" a="1"/>
  <c r="L9" i="4" s="1"/>
  <c r="S7" i="19" s="1"/>
  <c r="C10" i="4" a="1"/>
  <c r="C10" i="4" s="1"/>
  <c r="D10" i="4" a="1"/>
  <c r="D10" i="4" s="1"/>
  <c r="E10" i="4" a="1"/>
  <c r="E10" i="4" s="1"/>
  <c r="F10" i="4" a="1"/>
  <c r="F10" i="4" s="1"/>
  <c r="G10" i="4" a="1"/>
  <c r="G10" i="4" s="1"/>
  <c r="H10" i="4" a="1"/>
  <c r="H10" i="4" s="1"/>
  <c r="I10" i="4" a="1"/>
  <c r="I10" i="4" s="1"/>
  <c r="J10" i="4" a="1"/>
  <c r="J10" i="4" s="1"/>
  <c r="K10" i="4" a="1"/>
  <c r="K10" i="4" s="1"/>
  <c r="L10" i="4" a="1"/>
  <c r="L10" i="4" s="1"/>
  <c r="C11" i="4" a="1"/>
  <c r="C11" i="4" s="1"/>
  <c r="D11" i="4" a="1"/>
  <c r="D11" i="4" s="1"/>
  <c r="E11" i="4" a="1"/>
  <c r="E11" i="4" s="1"/>
  <c r="F11" i="4" a="1"/>
  <c r="F11" i="4" s="1"/>
  <c r="G11" i="4" a="1"/>
  <c r="G11" i="4" s="1"/>
  <c r="H11" i="4" a="1"/>
  <c r="H11" i="4" s="1"/>
  <c r="I11" i="4" a="1"/>
  <c r="I11" i="4" s="1"/>
  <c r="J11" i="4" a="1"/>
  <c r="J11" i="4" s="1"/>
  <c r="K11" i="4" a="1"/>
  <c r="K11" i="4" s="1"/>
  <c r="L11" i="4" a="1"/>
  <c r="L11" i="4" s="1"/>
  <c r="C12" i="4" a="1"/>
  <c r="C12" i="4" s="1"/>
  <c r="D12" i="4" a="1"/>
  <c r="D12" i="4" s="1"/>
  <c r="E12" i="4" a="1"/>
  <c r="E12" i="4" s="1"/>
  <c r="F12" i="4" a="1"/>
  <c r="F12" i="4" s="1"/>
  <c r="G12" i="4" a="1"/>
  <c r="G12" i="4" s="1"/>
  <c r="H12" i="4" a="1"/>
  <c r="H12" i="4" s="1"/>
  <c r="I12" i="4" a="1"/>
  <c r="I12" i="4" s="1"/>
  <c r="J12" i="4" a="1"/>
  <c r="J12" i="4" s="1"/>
  <c r="K12" i="4" a="1"/>
  <c r="K12" i="4" s="1"/>
  <c r="L12" i="4" a="1"/>
  <c r="L12" i="4" s="1"/>
  <c r="C13" i="4" a="1"/>
  <c r="C13" i="4" s="1"/>
  <c r="D13" i="4" a="1"/>
  <c r="D13" i="4" s="1"/>
  <c r="K5" i="19" s="1"/>
  <c r="E13" i="4" a="1"/>
  <c r="E13" i="4" s="1"/>
  <c r="L5" i="19" s="1"/>
  <c r="F13" i="4" a="1"/>
  <c r="F13" i="4" s="1"/>
  <c r="M5" i="19" s="1"/>
  <c r="G13" i="4" a="1"/>
  <c r="G13" i="4" s="1"/>
  <c r="N5" i="19" s="1"/>
  <c r="H13" i="4" a="1"/>
  <c r="H13" i="4" s="1"/>
  <c r="O5" i="19" s="1"/>
  <c r="I13" i="4" a="1"/>
  <c r="I13" i="4" s="1"/>
  <c r="P5" i="19" s="1"/>
  <c r="J13" i="4" a="1"/>
  <c r="J13" i="4" s="1"/>
  <c r="Q5" i="19" s="1"/>
  <c r="K13" i="4" a="1"/>
  <c r="K13" i="4" s="1"/>
  <c r="R5" i="19" s="1"/>
  <c r="L13" i="4" a="1"/>
  <c r="L13" i="4" s="1"/>
  <c r="S5" i="19" s="1"/>
  <c r="C14" i="4" a="1"/>
  <c r="C14" i="4" s="1"/>
  <c r="D14" i="4" a="1"/>
  <c r="D14" i="4" s="1"/>
  <c r="E14" i="4" a="1"/>
  <c r="E14" i="4" s="1"/>
  <c r="F14" i="4" a="1"/>
  <c r="F14" i="4" s="1"/>
  <c r="G14" i="4" a="1"/>
  <c r="G14" i="4" s="1"/>
  <c r="H14" i="4" a="1"/>
  <c r="H14" i="4" s="1"/>
  <c r="I14" i="4" a="1"/>
  <c r="I14" i="4" s="1"/>
  <c r="J14" i="4" a="1"/>
  <c r="J14" i="4" s="1"/>
  <c r="K14" i="4" a="1"/>
  <c r="K14" i="4" s="1"/>
  <c r="L14" i="4" a="1"/>
  <c r="L14" i="4" s="1"/>
  <c r="C15" i="4" a="1"/>
  <c r="C15" i="4" s="1"/>
  <c r="D15" i="4" a="1"/>
  <c r="D15" i="4" s="1"/>
  <c r="E15" i="4" a="1"/>
  <c r="E15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C16" i="4" a="1"/>
  <c r="C16" i="4" s="1"/>
  <c r="D16" i="4" a="1"/>
  <c r="D16" i="4" s="1"/>
  <c r="E16" i="4" a="1"/>
  <c r="E16" i="4" s="1"/>
  <c r="F16" i="4" a="1"/>
  <c r="F16" i="4" s="1"/>
  <c r="G16" i="4" a="1"/>
  <c r="G16" i="4" s="1"/>
  <c r="H16" i="4" a="1"/>
  <c r="H16" i="4" s="1"/>
  <c r="I16" i="4" a="1"/>
  <c r="I16" i="4" s="1"/>
  <c r="J16" i="4" a="1"/>
  <c r="J16" i="4" s="1"/>
  <c r="K16" i="4" a="1"/>
  <c r="K16" i="4" s="1"/>
  <c r="L16" i="4" a="1"/>
  <c r="L16" i="4" s="1"/>
  <c r="C17" i="4" a="1"/>
  <c r="C17" i="4" s="1"/>
  <c r="D17" i="4" a="1"/>
  <c r="D17" i="4" s="1"/>
  <c r="E17" i="4" a="1"/>
  <c r="E17" i="4" s="1"/>
  <c r="F17" i="4" a="1"/>
  <c r="F17" i="4" s="1"/>
  <c r="G17" i="4" a="1"/>
  <c r="G17" i="4" s="1"/>
  <c r="H17" i="4" a="1"/>
  <c r="H17" i="4" s="1"/>
  <c r="I17" i="4" a="1"/>
  <c r="I17" i="4" s="1"/>
  <c r="J17" i="4" a="1"/>
  <c r="J17" i="4" s="1"/>
  <c r="K17" i="4" a="1"/>
  <c r="K17" i="4" s="1"/>
  <c r="L17" i="4" a="1"/>
  <c r="L17" i="4" s="1"/>
  <c r="C18" i="4" a="1"/>
  <c r="C18" i="4" s="1"/>
  <c r="D18" i="4" a="1"/>
  <c r="D18" i="4" s="1"/>
  <c r="E18" i="4" a="1"/>
  <c r="E18" i="4" s="1"/>
  <c r="F18" i="4" a="1"/>
  <c r="F18" i="4" s="1"/>
  <c r="G18" i="4" a="1"/>
  <c r="G18" i="4" s="1"/>
  <c r="H18" i="4" a="1"/>
  <c r="H18" i="4" s="1"/>
  <c r="I18" i="4" a="1"/>
  <c r="I18" i="4" s="1"/>
  <c r="J18" i="4" a="1"/>
  <c r="J18" i="4" s="1"/>
  <c r="K18" i="4" a="1"/>
  <c r="K18" i="4" s="1"/>
  <c r="L18" i="4" a="1"/>
  <c r="L18" i="4" s="1"/>
  <c r="C4" i="4" a="1"/>
  <c r="C4" i="4" s="1"/>
  <c r="C16" i="23"/>
  <c r="E4" i="2" a="1"/>
  <c r="E4" i="2" s="1"/>
  <c r="F4" i="2" a="1"/>
  <c r="F4" i="2" s="1"/>
  <c r="G4" i="2" a="1"/>
  <c r="G4" i="2" s="1"/>
  <c r="E6" i="2" a="1"/>
  <c r="E6" i="2" s="1"/>
  <c r="F6" i="2" a="1"/>
  <c r="F6" i="2" s="1"/>
  <c r="G6" i="2" a="1"/>
  <c r="G6" i="2" s="1"/>
  <c r="D8" i="2" a="1"/>
  <c r="D8" i="2" s="1"/>
  <c r="E8" i="2" a="1"/>
  <c r="E8" i="2" s="1"/>
  <c r="F8" i="2" a="1"/>
  <c r="F8" i="2" s="1"/>
  <c r="G8" i="2" a="1"/>
  <c r="G8" i="2" s="1"/>
  <c r="G9" i="2" a="1"/>
  <c r="G9" i="2" s="1"/>
  <c r="F7" i="19" s="1"/>
  <c r="F10" i="2" a="1"/>
  <c r="F10" i="2" s="1"/>
  <c r="F12" i="2" a="1"/>
  <c r="F12" i="2" s="1"/>
  <c r="G12" i="2" a="1"/>
  <c r="G12" i="2" s="1"/>
  <c r="F14" i="2" a="1"/>
  <c r="F14" i="2" s="1"/>
  <c r="G14" i="2" a="1"/>
  <c r="G14" i="2" s="1"/>
  <c r="E16" i="2" a="1"/>
  <c r="E16" i="2" s="1"/>
  <c r="F16" i="2" a="1"/>
  <c r="F16" i="2" s="1"/>
  <c r="G16" i="2" a="1"/>
  <c r="G16" i="2" s="1"/>
  <c r="F18" i="2" a="1"/>
  <c r="F18" i="2" s="1"/>
  <c r="F20" i="2" a="1"/>
  <c r="F20" i="2" s="1"/>
  <c r="G20" i="2" a="1"/>
  <c r="G20" i="2" s="1"/>
  <c r="F22" i="2" a="1"/>
  <c r="F22" i="2" s="1"/>
  <c r="E6" i="19" s="1"/>
  <c r="G22" i="2" a="1"/>
  <c r="G22" i="2" s="1"/>
  <c r="F6" i="19" s="1"/>
  <c r="F24" i="2" a="1"/>
  <c r="F24" i="2" s="1"/>
  <c r="G24" i="2" a="1"/>
  <c r="G24" i="2" s="1"/>
  <c r="F26" i="2" a="1"/>
  <c r="F26" i="2" s="1"/>
  <c r="G28" i="2" a="1"/>
  <c r="G28" i="2" s="1"/>
  <c r="F30" i="2" a="1"/>
  <c r="F30" i="2" s="1"/>
  <c r="G30" i="2" a="1"/>
  <c r="G30" i="2" s="1"/>
  <c r="F32" i="2" a="1"/>
  <c r="F32" i="2" s="1"/>
  <c r="G32" i="2" a="1"/>
  <c r="G32" i="2" s="1"/>
  <c r="F34" i="2" a="1"/>
  <c r="F34" i="2" s="1"/>
  <c r="G36" i="2" a="1"/>
  <c r="G36" i="2" s="1"/>
  <c r="F38" i="2" a="1"/>
  <c r="F38" i="2" s="1"/>
  <c r="G38" i="2" a="1"/>
  <c r="G38" i="2" s="1"/>
  <c r="F40" i="2" a="1"/>
  <c r="F40" i="2" s="1"/>
  <c r="G40" i="2" a="1"/>
  <c r="G40" i="2" s="1"/>
  <c r="F42" i="2" a="1"/>
  <c r="F42" i="2" s="1"/>
  <c r="G44" i="2" a="1"/>
  <c r="G44" i="2" s="1"/>
  <c r="F46" i="2" a="1"/>
  <c r="F46" i="2" s="1"/>
  <c r="G46" i="2" a="1"/>
  <c r="G46" i="2" s="1"/>
  <c r="F48" i="2" a="1"/>
  <c r="F48" i="2" s="1"/>
  <c r="G48" i="2" a="1"/>
  <c r="G48" i="2" s="1"/>
  <c r="F50" i="2" a="1"/>
  <c r="F50" i="2" s="1"/>
  <c r="G52" i="2" a="1"/>
  <c r="G52" i="2" s="1"/>
  <c r="F54" i="2" a="1"/>
  <c r="F54" i="2" s="1"/>
  <c r="G54" i="2" a="1"/>
  <c r="G54" i="2" s="1"/>
  <c r="F56" i="2" a="1"/>
  <c r="F56" i="2" s="1"/>
  <c r="G56" i="2" a="1"/>
  <c r="G56" i="2" s="1"/>
  <c r="F58" i="2" a="1"/>
  <c r="F58" i="2" s="1"/>
  <c r="G60" i="2" a="1"/>
  <c r="G60" i="2" s="1"/>
  <c r="F62" i="2" a="1"/>
  <c r="F62" i="2" s="1"/>
  <c r="G62" i="2" a="1"/>
  <c r="G62" i="2" s="1"/>
  <c r="F64" i="2" a="1"/>
  <c r="F64" i="2" s="1"/>
  <c r="G64" i="2" a="1"/>
  <c r="G64" i="2" s="1"/>
  <c r="F66" i="2" a="1"/>
  <c r="F66" i="2" s="1"/>
  <c r="F70" i="2" a="1"/>
  <c r="F70" i="2" s="1"/>
  <c r="E4" i="22" s="1"/>
  <c r="G70" i="2" a="1"/>
  <c r="G70" i="2" s="1"/>
  <c r="F4" i="22" s="1"/>
  <c r="F72" i="2" a="1"/>
  <c r="F72" i="2" s="1"/>
  <c r="G78" i="2" a="1"/>
  <c r="G78" i="2" s="1"/>
  <c r="C6" i="2" a="1"/>
  <c r="C6" i="2" s="1"/>
  <c r="C5" i="2" a="1"/>
  <c r="C5" i="2" s="1"/>
  <c r="C7" i="2" a="1"/>
  <c r="C7" i="2" s="1"/>
  <c r="E7" i="2" a="1"/>
  <c r="E7" i="2" s="1"/>
  <c r="F7" i="2" a="1"/>
  <c r="F7" i="2" s="1"/>
  <c r="G7" i="2" a="1"/>
  <c r="G7" i="2" s="1"/>
  <c r="C8" i="2" a="1"/>
  <c r="C8" i="2" s="1"/>
  <c r="C9" i="2" a="1"/>
  <c r="C9" i="2" s="1"/>
  <c r="D9" i="2" a="1"/>
  <c r="D9" i="2" s="1"/>
  <c r="C7" i="19" s="1"/>
  <c r="E9" i="2" a="1"/>
  <c r="E9" i="2" s="1"/>
  <c r="D7" i="19" s="1"/>
  <c r="F9" i="2" a="1"/>
  <c r="F9" i="2" s="1"/>
  <c r="E7" i="19" s="1"/>
  <c r="C10" i="2" a="1"/>
  <c r="C10" i="2" s="1"/>
  <c r="D10" i="2" a="1"/>
  <c r="D10" i="2" s="1"/>
  <c r="E10" i="2" a="1"/>
  <c r="E10" i="2" s="1"/>
  <c r="G10" i="2" a="1"/>
  <c r="G10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C12" i="2" a="1"/>
  <c r="C12" i="2" s="1"/>
  <c r="D12" i="2" a="1"/>
  <c r="D12" i="2" s="1"/>
  <c r="E12" i="2" a="1"/>
  <c r="E12" i="2" s="1"/>
  <c r="C13" i="2" a="1"/>
  <c r="C13" i="2" s="1"/>
  <c r="D13" i="2" a="1"/>
  <c r="D13" i="2" s="1"/>
  <c r="C5" i="19" s="1"/>
  <c r="E13" i="2" a="1"/>
  <c r="E13" i="2" s="1"/>
  <c r="D5" i="19" s="1"/>
  <c r="F13" i="2" a="1"/>
  <c r="F13" i="2" s="1"/>
  <c r="E5" i="19" s="1"/>
  <c r="G13" i="2" a="1"/>
  <c r="G13" i="2" s="1"/>
  <c r="F5" i="19" s="1"/>
  <c r="C14" i="2" a="1"/>
  <c r="C14" i="2" s="1"/>
  <c r="D14" i="2" a="1"/>
  <c r="D14" i="2" s="1"/>
  <c r="E14" i="2" a="1"/>
  <c r="E14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C16" i="2" a="1"/>
  <c r="C16" i="2" s="1"/>
  <c r="D16" i="2" a="1"/>
  <c r="D16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C18" i="2" a="1"/>
  <c r="C18" i="2" s="1"/>
  <c r="D18" i="2" a="1"/>
  <c r="D18" i="2" s="1"/>
  <c r="E18" i="2" a="1"/>
  <c r="E18" i="2" s="1"/>
  <c r="G18" i="2" a="1"/>
  <c r="G18" i="2" s="1"/>
  <c r="C19" i="2" a="1"/>
  <c r="C19" i="2" s="1"/>
  <c r="D19" i="2" a="1"/>
  <c r="D19" i="2" s="1"/>
  <c r="E19" i="2" a="1"/>
  <c r="E19" i="2" s="1"/>
  <c r="F19" i="2" a="1"/>
  <c r="F19" i="2" s="1"/>
  <c r="G19" i="2" a="1"/>
  <c r="G19" i="2" s="1"/>
  <c r="C20" i="2" a="1"/>
  <c r="C20" i="2" s="1"/>
  <c r="D20" i="2" a="1"/>
  <c r="D20" i="2" s="1"/>
  <c r="E20" i="2" a="1"/>
  <c r="E20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C22" i="2" a="1"/>
  <c r="C22" i="2" s="1"/>
  <c r="E22" i="2" a="1"/>
  <c r="E22" i="2" s="1"/>
  <c r="D6" i="19" s="1"/>
  <c r="C23" i="2" a="1"/>
  <c r="C23" i="2" s="1"/>
  <c r="D23" i="2" a="1"/>
  <c r="D23" i="2" s="1"/>
  <c r="E23" i="2" a="1"/>
  <c r="E23" i="2" s="1"/>
  <c r="F23" i="2" a="1"/>
  <c r="F23" i="2" s="1"/>
  <c r="G23" i="2" a="1"/>
  <c r="G23" i="2" s="1"/>
  <c r="C24" i="2" a="1"/>
  <c r="C24" i="2" s="1"/>
  <c r="D24" i="2" a="1"/>
  <c r="D24" i="2" s="1"/>
  <c r="E24" i="2" a="1"/>
  <c r="E24" i="2" s="1"/>
  <c r="C25" i="2" a="1"/>
  <c r="C25" i="2" s="1"/>
  <c r="D25" i="2" a="1"/>
  <c r="D25" i="2" s="1"/>
  <c r="C8" i="19" s="1"/>
  <c r="E25" i="2" a="1"/>
  <c r="E25" i="2" s="1"/>
  <c r="D8" i="19" s="1"/>
  <c r="F25" i="2" a="1"/>
  <c r="F25" i="2" s="1"/>
  <c r="E8" i="19" s="1"/>
  <c r="G25" i="2" a="1"/>
  <c r="G25" i="2" s="1"/>
  <c r="F8" i="19" s="1"/>
  <c r="C26" i="2" a="1"/>
  <c r="C26" i="2" s="1"/>
  <c r="D26" i="2" a="1"/>
  <c r="D26" i="2" s="1"/>
  <c r="E26" i="2" a="1"/>
  <c r="E26" i="2" s="1"/>
  <c r="G26" i="2" a="1"/>
  <c r="G26" i="2" s="1"/>
  <c r="C27" i="2" a="1"/>
  <c r="C27" i="2" s="1"/>
  <c r="D27" i="2" a="1"/>
  <c r="D27" i="2" s="1"/>
  <c r="E27" i="2" a="1"/>
  <c r="E27" i="2" s="1"/>
  <c r="F27" i="2" a="1"/>
  <c r="F27" i="2" s="1"/>
  <c r="G27" i="2" a="1"/>
  <c r="G27" i="2" s="1"/>
  <c r="C28" i="2" a="1"/>
  <c r="C28" i="2" s="1"/>
  <c r="D28" i="2" a="1"/>
  <c r="D28" i="2" s="1"/>
  <c r="E28" i="2" a="1"/>
  <c r="E28" i="2" s="1"/>
  <c r="F28" i="2" a="1"/>
  <c r="F28" i="2" s="1"/>
  <c r="C29" i="2" a="1"/>
  <c r="C29" i="2" s="1"/>
  <c r="D29" i="2" a="1"/>
  <c r="D29" i="2" s="1"/>
  <c r="E29" i="2" a="1"/>
  <c r="E29" i="2" s="1"/>
  <c r="F29" i="2" a="1"/>
  <c r="F29" i="2" s="1"/>
  <c r="G29" i="2" a="1"/>
  <c r="G29" i="2" s="1"/>
  <c r="C30" i="2" a="1"/>
  <c r="C30" i="2" s="1"/>
  <c r="D30" i="2" a="1"/>
  <c r="D30" i="2" s="1"/>
  <c r="E30" i="2" a="1"/>
  <c r="E30" i="2" s="1"/>
  <c r="C31" i="2" a="1"/>
  <c r="C31" i="2" s="1"/>
  <c r="C32" i="2" a="1"/>
  <c r="C32" i="2" s="1"/>
  <c r="E32" i="2" a="1"/>
  <c r="E32" i="2" s="1"/>
  <c r="C33" i="2" a="1"/>
  <c r="C33" i="2" s="1"/>
  <c r="D33" i="2" a="1"/>
  <c r="D33" i="2" s="1"/>
  <c r="E33" i="2" a="1"/>
  <c r="E33" i="2" s="1"/>
  <c r="F33" i="2" a="1"/>
  <c r="F33" i="2" s="1"/>
  <c r="G33" i="2" a="1"/>
  <c r="G33" i="2" s="1"/>
  <c r="C34" i="2" a="1"/>
  <c r="C34" i="2" s="1"/>
  <c r="D34" i="2" a="1"/>
  <c r="D34" i="2" s="1"/>
  <c r="E34" i="2" a="1"/>
  <c r="E34" i="2" s="1"/>
  <c r="G34" i="2" a="1"/>
  <c r="G34" i="2" s="1"/>
  <c r="C35" i="2" a="1"/>
  <c r="C35" i="2" s="1"/>
  <c r="D35" i="2" a="1"/>
  <c r="D35" i="2" s="1"/>
  <c r="E35" i="2" a="1"/>
  <c r="E35" i="2" s="1"/>
  <c r="F35" i="2" a="1"/>
  <c r="F35" i="2" s="1"/>
  <c r="G35" i="2" a="1"/>
  <c r="G35" i="2" s="1"/>
  <c r="C36" i="2" a="1"/>
  <c r="C36" i="2" s="1"/>
  <c r="D36" i="2" a="1"/>
  <c r="D36" i="2" s="1"/>
  <c r="E36" i="2" a="1"/>
  <c r="E36" i="2" s="1"/>
  <c r="F36" i="2" a="1"/>
  <c r="F36" i="2" s="1"/>
  <c r="C37" i="2" a="1"/>
  <c r="C37" i="2" s="1"/>
  <c r="D37" i="2" a="1"/>
  <c r="D37" i="2" s="1"/>
  <c r="E37" i="2" a="1"/>
  <c r="E37" i="2" s="1"/>
  <c r="F37" i="2" a="1"/>
  <c r="F37" i="2" s="1"/>
  <c r="G37" i="2" a="1"/>
  <c r="G37" i="2" s="1"/>
  <c r="C38" i="2" a="1"/>
  <c r="C38" i="2" s="1"/>
  <c r="D38" i="2" a="1"/>
  <c r="D38" i="2" s="1"/>
  <c r="E38" i="2" a="1"/>
  <c r="E38" i="2" s="1"/>
  <c r="C39" i="2" a="1"/>
  <c r="C39" i="2" s="1"/>
  <c r="D39" i="2" a="1"/>
  <c r="D39" i="2" s="1"/>
  <c r="E39" i="2" a="1"/>
  <c r="E39" i="2" s="1"/>
  <c r="F39" i="2" a="1"/>
  <c r="F39" i="2" s="1"/>
  <c r="G39" i="2" a="1"/>
  <c r="G39" i="2" s="1"/>
  <c r="C40" i="2" a="1"/>
  <c r="C40" i="2" s="1"/>
  <c r="D40" i="2" a="1"/>
  <c r="D40" i="2" s="1"/>
  <c r="D31" i="2" s="1"/>
  <c r="E40" i="2" a="1"/>
  <c r="E40" i="2" s="1"/>
  <c r="C41" i="2" a="1"/>
  <c r="C41" i="2" s="1"/>
  <c r="D41" i="2" a="1"/>
  <c r="D41" i="2" s="1"/>
  <c r="E41" i="2" a="1"/>
  <c r="E41" i="2" s="1"/>
  <c r="F41" i="2" a="1"/>
  <c r="F41" i="2" s="1"/>
  <c r="G41" i="2" a="1"/>
  <c r="G41" i="2" s="1"/>
  <c r="C42" i="2" a="1"/>
  <c r="C42" i="2" s="1"/>
  <c r="D42" i="2" a="1"/>
  <c r="D42" i="2" s="1"/>
  <c r="E42" i="2" a="1"/>
  <c r="E42" i="2" s="1"/>
  <c r="G42" i="2" a="1"/>
  <c r="G42" i="2" s="1"/>
  <c r="C43" i="2" a="1"/>
  <c r="C43" i="2" s="1"/>
  <c r="D43" i="2" a="1"/>
  <c r="D43" i="2" s="1"/>
  <c r="E43" i="2" a="1"/>
  <c r="E43" i="2" s="1"/>
  <c r="F43" i="2" a="1"/>
  <c r="F43" i="2" s="1"/>
  <c r="G43" i="2" a="1"/>
  <c r="G43" i="2" s="1"/>
  <c r="C44" i="2" a="1"/>
  <c r="C44" i="2" s="1"/>
  <c r="D44" i="2" a="1"/>
  <c r="D44" i="2" s="1"/>
  <c r="E44" i="2" a="1"/>
  <c r="E44" i="2" s="1"/>
  <c r="F44" i="2" a="1"/>
  <c r="F44" i="2" s="1"/>
  <c r="C45" i="2" a="1"/>
  <c r="C45" i="2" s="1"/>
  <c r="D45" i="2" a="1"/>
  <c r="D45" i="2" s="1"/>
  <c r="E45" i="2" a="1"/>
  <c r="E45" i="2" s="1"/>
  <c r="F45" i="2" a="1"/>
  <c r="F45" i="2" s="1"/>
  <c r="G45" i="2" a="1"/>
  <c r="G45" i="2" s="1"/>
  <c r="C46" i="2" a="1"/>
  <c r="C46" i="2" s="1"/>
  <c r="D46" i="2" a="1"/>
  <c r="D46" i="2" s="1"/>
  <c r="E46" i="2" a="1"/>
  <c r="E46" i="2" s="1"/>
  <c r="C47" i="2" a="1"/>
  <c r="C47" i="2" s="1"/>
  <c r="D47" i="2" a="1"/>
  <c r="D47" i="2" s="1"/>
  <c r="E47" i="2" a="1"/>
  <c r="E47" i="2" s="1"/>
  <c r="F47" i="2" a="1"/>
  <c r="F47" i="2" s="1"/>
  <c r="G47" i="2" a="1"/>
  <c r="G47" i="2" s="1"/>
  <c r="C48" i="2" a="1"/>
  <c r="C48" i="2" s="1"/>
  <c r="D48" i="2" a="1"/>
  <c r="D48" i="2" s="1"/>
  <c r="E48" i="2" a="1"/>
  <c r="E48" i="2" s="1"/>
  <c r="C49" i="2" a="1"/>
  <c r="C49" i="2" s="1"/>
  <c r="D49" i="2" a="1"/>
  <c r="D49" i="2" s="1"/>
  <c r="E49" i="2" a="1"/>
  <c r="E49" i="2" s="1"/>
  <c r="F49" i="2" a="1"/>
  <c r="F49" i="2" s="1"/>
  <c r="G49" i="2" a="1"/>
  <c r="G49" i="2" s="1"/>
  <c r="C50" i="2" a="1"/>
  <c r="C50" i="2" s="1"/>
  <c r="E50" i="2" a="1"/>
  <c r="E50" i="2" s="1"/>
  <c r="G50" i="2" a="1"/>
  <c r="G50" i="2" s="1"/>
  <c r="C51" i="2" a="1"/>
  <c r="C51" i="2" s="1"/>
  <c r="D51" i="2" a="1"/>
  <c r="D51" i="2" s="1"/>
  <c r="E51" i="2" a="1"/>
  <c r="E51" i="2" s="1"/>
  <c r="F51" i="2" a="1"/>
  <c r="F51" i="2" s="1"/>
  <c r="G51" i="2" a="1"/>
  <c r="G51" i="2" s="1"/>
  <c r="C52" i="2" a="1"/>
  <c r="C52" i="2" s="1"/>
  <c r="D52" i="2" a="1"/>
  <c r="D52" i="2" s="1"/>
  <c r="E52" i="2" a="1"/>
  <c r="E52" i="2" s="1"/>
  <c r="F52" i="2" a="1"/>
  <c r="F52" i="2" s="1"/>
  <c r="C53" i="2" a="1"/>
  <c r="C53" i="2" s="1"/>
  <c r="D53" i="2" a="1"/>
  <c r="D53" i="2" s="1"/>
  <c r="E53" i="2" a="1"/>
  <c r="E53" i="2" s="1"/>
  <c r="F53" i="2" a="1"/>
  <c r="F53" i="2" s="1"/>
  <c r="G53" i="2" a="1"/>
  <c r="G53" i="2" s="1"/>
  <c r="C54" i="2" a="1"/>
  <c r="C54" i="2" s="1"/>
  <c r="D54" i="2" a="1"/>
  <c r="D54" i="2" s="1"/>
  <c r="E54" i="2" a="1"/>
  <c r="E54" i="2" s="1"/>
  <c r="C55" i="2" a="1"/>
  <c r="C55" i="2" s="1"/>
  <c r="D55" i="2" a="1"/>
  <c r="D55" i="2" s="1"/>
  <c r="E55" i="2" a="1"/>
  <c r="E55" i="2" s="1"/>
  <c r="F55" i="2" a="1"/>
  <c r="F55" i="2" s="1"/>
  <c r="G55" i="2" a="1"/>
  <c r="G55" i="2" s="1"/>
  <c r="C56" i="2" a="1"/>
  <c r="C56" i="2" s="1"/>
  <c r="D56" i="2" a="1"/>
  <c r="D56" i="2" s="1"/>
  <c r="E56" i="2" a="1"/>
  <c r="E56" i="2" s="1"/>
  <c r="C57" i="2" a="1"/>
  <c r="C57" i="2" s="1"/>
  <c r="D57" i="2" a="1"/>
  <c r="D57" i="2" s="1"/>
  <c r="E57" i="2" a="1"/>
  <c r="E57" i="2" s="1"/>
  <c r="F57" i="2" a="1"/>
  <c r="F57" i="2" s="1"/>
  <c r="G57" i="2" a="1"/>
  <c r="G57" i="2" s="1"/>
  <c r="C58" i="2" a="1"/>
  <c r="C58" i="2" s="1"/>
  <c r="D58" i="2" a="1"/>
  <c r="D58" i="2" s="1"/>
  <c r="E58" i="2" a="1"/>
  <c r="E58" i="2" s="1"/>
  <c r="G58" i="2" a="1"/>
  <c r="G58" i="2" s="1"/>
  <c r="C59" i="2" a="1"/>
  <c r="C59" i="2" s="1"/>
  <c r="D59" i="2" a="1"/>
  <c r="D59" i="2" s="1"/>
  <c r="E59" i="2" a="1"/>
  <c r="E59" i="2" s="1"/>
  <c r="F59" i="2" a="1"/>
  <c r="F59" i="2" s="1"/>
  <c r="G59" i="2" a="1"/>
  <c r="G59" i="2" s="1"/>
  <c r="C60" i="2" a="1"/>
  <c r="C60" i="2" s="1"/>
  <c r="E60" i="2" a="1"/>
  <c r="E60" i="2" s="1"/>
  <c r="F60" i="2" a="1"/>
  <c r="F60" i="2" s="1"/>
  <c r="C61" i="2" a="1"/>
  <c r="C61" i="2" s="1"/>
  <c r="D61" i="2" a="1"/>
  <c r="D61" i="2" s="1"/>
  <c r="E61" i="2" a="1"/>
  <c r="E61" i="2" s="1"/>
  <c r="F61" i="2" a="1"/>
  <c r="F61" i="2" s="1"/>
  <c r="G61" i="2" a="1"/>
  <c r="G61" i="2" s="1"/>
  <c r="C62" i="2" a="1"/>
  <c r="C62" i="2" s="1"/>
  <c r="D62" i="2" a="1"/>
  <c r="D62" i="2" s="1"/>
  <c r="E62" i="2" a="1"/>
  <c r="E62" i="2" s="1"/>
  <c r="C63" i="2" a="1"/>
  <c r="C63" i="2" s="1"/>
  <c r="D63" i="2" a="1"/>
  <c r="D63" i="2" s="1"/>
  <c r="E63" i="2" a="1"/>
  <c r="E63" i="2" s="1"/>
  <c r="F63" i="2" a="1"/>
  <c r="F63" i="2" s="1"/>
  <c r="G63" i="2" a="1"/>
  <c r="G63" i="2" s="1"/>
  <c r="C64" i="2" a="1"/>
  <c r="C64" i="2" s="1"/>
  <c r="D64" i="2" a="1"/>
  <c r="D64" i="2" s="1"/>
  <c r="E64" i="2" a="1"/>
  <c r="E64" i="2" s="1"/>
  <c r="C65" i="2" a="1"/>
  <c r="C65" i="2" s="1"/>
  <c r="D65" i="2" a="1"/>
  <c r="D65" i="2" s="1"/>
  <c r="E65" i="2" a="1"/>
  <c r="E65" i="2" s="1"/>
  <c r="F65" i="2" a="1"/>
  <c r="F65" i="2" s="1"/>
  <c r="G65" i="2" a="1"/>
  <c r="G65" i="2" s="1"/>
  <c r="C66" i="2" a="1"/>
  <c r="C66" i="2" s="1"/>
  <c r="D66" i="2" a="1"/>
  <c r="D66" i="2" s="1"/>
  <c r="E66" i="2" a="1"/>
  <c r="E66" i="2" s="1"/>
  <c r="G66" i="2" a="1"/>
  <c r="G66" i="2" s="1"/>
  <c r="C67" i="2" a="1"/>
  <c r="C67" i="2" s="1"/>
  <c r="D67" i="2" a="1"/>
  <c r="D67" i="2" s="1"/>
  <c r="E67" i="2" a="1"/>
  <c r="E67" i="2" s="1"/>
  <c r="F67" i="2" a="1"/>
  <c r="F67" i="2" s="1"/>
  <c r="G67" i="2" a="1"/>
  <c r="G67" i="2" s="1"/>
  <c r="C68" i="2" a="1"/>
  <c r="C68" i="2" s="1"/>
  <c r="C69" i="2" a="1"/>
  <c r="C69" i="2" s="1"/>
  <c r="D69" i="2" a="1"/>
  <c r="D69" i="2" s="1"/>
  <c r="E69" i="2" a="1"/>
  <c r="E69" i="2" s="1"/>
  <c r="F69" i="2" a="1"/>
  <c r="F69" i="2" s="1"/>
  <c r="G69" i="2" a="1"/>
  <c r="G69" i="2" s="1"/>
  <c r="C70" i="2" a="1"/>
  <c r="C70" i="2" s="1"/>
  <c r="D70" i="2" a="1"/>
  <c r="D70" i="2" s="1"/>
  <c r="E70" i="2" a="1"/>
  <c r="E70" i="2" s="1"/>
  <c r="D4" i="22" s="1"/>
  <c r="C71" i="2" a="1"/>
  <c r="C71" i="2" s="1"/>
  <c r="D71" i="2" a="1"/>
  <c r="D71" i="2" s="1"/>
  <c r="C11" i="19" s="1"/>
  <c r="E71" i="2" a="1"/>
  <c r="E71" i="2" s="1"/>
  <c r="D11" i="19" s="1"/>
  <c r="F71" i="2" a="1"/>
  <c r="F71" i="2" s="1"/>
  <c r="E11" i="19" s="1"/>
  <c r="G71" i="2" a="1"/>
  <c r="G71" i="2" s="1"/>
  <c r="F11" i="19" s="1"/>
  <c r="C72" i="2" a="1"/>
  <c r="C72" i="2" s="1"/>
  <c r="D72" i="2" a="1"/>
  <c r="D72" i="2" s="1"/>
  <c r="E72" i="2" a="1"/>
  <c r="E72" i="2" s="1"/>
  <c r="G72" i="2" a="1"/>
  <c r="G72" i="2" s="1"/>
  <c r="C73" i="2" a="1"/>
  <c r="C73" i="2" s="1"/>
  <c r="D73" i="2" a="1"/>
  <c r="D73" i="2" s="1"/>
  <c r="E73" i="2" a="1"/>
  <c r="E73" i="2" s="1"/>
  <c r="F73" i="2" a="1"/>
  <c r="F73" i="2" s="1"/>
  <c r="G73" i="2" a="1"/>
  <c r="G73" i="2" s="1"/>
  <c r="C74" i="2" a="1"/>
  <c r="C74" i="2" s="1"/>
  <c r="D74" i="2" a="1"/>
  <c r="D74" i="2" s="1"/>
  <c r="E74" i="2" a="1"/>
  <c r="E74" i="2" s="1"/>
  <c r="F74" i="2" a="1"/>
  <c r="F74" i="2" s="1"/>
  <c r="G74" i="2" a="1"/>
  <c r="G74" i="2" s="1"/>
  <c r="C75" i="2" a="1"/>
  <c r="C75" i="2" s="1"/>
  <c r="D75" i="2" a="1"/>
  <c r="D75" i="2" s="1"/>
  <c r="E75" i="2" a="1"/>
  <c r="E75" i="2" s="1"/>
  <c r="F75" i="2" a="1"/>
  <c r="F75" i="2" s="1"/>
  <c r="G75" i="2" a="1"/>
  <c r="G75" i="2" s="1"/>
  <c r="C76" i="2" a="1"/>
  <c r="C76" i="2" s="1"/>
  <c r="D76" i="2" a="1"/>
  <c r="D76" i="2" s="1"/>
  <c r="E76" i="2" a="1"/>
  <c r="E76" i="2" s="1"/>
  <c r="F76" i="2" a="1"/>
  <c r="F76" i="2" s="1"/>
  <c r="G76" i="2" a="1"/>
  <c r="G76" i="2" s="1"/>
  <c r="C77" i="2" a="1"/>
  <c r="C77" i="2" s="1"/>
  <c r="D77" i="2" a="1"/>
  <c r="D77" i="2" s="1"/>
  <c r="E77" i="2" a="1"/>
  <c r="E77" i="2" s="1"/>
  <c r="F77" i="2" a="1"/>
  <c r="F77" i="2" s="1"/>
  <c r="G77" i="2" a="1"/>
  <c r="G77" i="2" s="1"/>
  <c r="C78" i="2" a="1"/>
  <c r="C78" i="2" s="1"/>
  <c r="D78" i="2" a="1"/>
  <c r="D78" i="2" s="1"/>
  <c r="E78" i="2" a="1"/>
  <c r="E78" i="2" s="1"/>
  <c r="F78" i="2" a="1"/>
  <c r="F78" i="2" s="1"/>
  <c r="C79" i="2" a="1"/>
  <c r="C79" i="2" s="1"/>
  <c r="D79" i="2" a="1"/>
  <c r="D79" i="2" s="1"/>
  <c r="E79" i="2" a="1"/>
  <c r="E79" i="2" s="1"/>
  <c r="F79" i="2" a="1"/>
  <c r="F79" i="2" s="1"/>
  <c r="G79" i="2" a="1"/>
  <c r="G79" i="2" s="1"/>
  <c r="C80" i="2" a="1"/>
  <c r="C80" i="2" s="1"/>
  <c r="D80" i="2" a="1"/>
  <c r="D80" i="2" s="1"/>
  <c r="E80" i="2" a="1"/>
  <c r="E80" i="2" s="1"/>
  <c r="F80" i="2" a="1"/>
  <c r="F80" i="2" s="1"/>
  <c r="G80" i="2" a="1"/>
  <c r="G80" i="2" s="1"/>
  <c r="C81" i="2" a="1"/>
  <c r="C81" i="2" s="1"/>
  <c r="D81" i="2" a="1"/>
  <c r="D81" i="2" s="1"/>
  <c r="C14" i="19" s="1"/>
  <c r="E81" i="2" a="1"/>
  <c r="E81" i="2" s="1"/>
  <c r="D14" i="19" s="1"/>
  <c r="F81" i="2" a="1"/>
  <c r="F81" i="2" s="1"/>
  <c r="E14" i="19" s="1"/>
  <c r="G81" i="2" a="1"/>
  <c r="G81" i="2" s="1"/>
  <c r="F14" i="19" s="1"/>
  <c r="C82" i="2" a="1"/>
  <c r="C82" i="2" s="1"/>
  <c r="D82" i="2" a="1"/>
  <c r="D82" i="2" s="1"/>
  <c r="C12" i="19" s="1"/>
  <c r="E82" i="2" a="1"/>
  <c r="E82" i="2" s="1"/>
  <c r="D12" i="19" s="1"/>
  <c r="F82" i="2" a="1"/>
  <c r="F82" i="2" s="1"/>
  <c r="E12" i="19" s="1"/>
  <c r="G82" i="2" a="1"/>
  <c r="G82" i="2" s="1"/>
  <c r="F12" i="19" s="1"/>
  <c r="C83" i="2" a="1"/>
  <c r="C83" i="2" s="1"/>
  <c r="D83" i="2" a="1"/>
  <c r="D83" i="2" s="1"/>
  <c r="C13" i="19" s="1"/>
  <c r="E83" i="2" a="1"/>
  <c r="E83" i="2" s="1"/>
  <c r="D13" i="19" s="1"/>
  <c r="F83" i="2" a="1"/>
  <c r="F83" i="2" s="1"/>
  <c r="E13" i="19" s="1"/>
  <c r="G83" i="2" a="1"/>
  <c r="G83" i="2" s="1"/>
  <c r="F13" i="19" s="1"/>
  <c r="C84" i="2" a="1"/>
  <c r="C84" i="2" s="1"/>
  <c r="D84" i="2" a="1"/>
  <c r="D84" i="2" s="1"/>
  <c r="E84" i="2" a="1"/>
  <c r="E84" i="2" s="1"/>
  <c r="F84" i="2" a="1"/>
  <c r="F84" i="2" s="1"/>
  <c r="G84" i="2" a="1"/>
  <c r="G84" i="2" s="1"/>
  <c r="C85" i="2" a="1"/>
  <c r="C85" i="2" s="1"/>
  <c r="D85" i="2" a="1"/>
  <c r="D85" i="2" s="1"/>
  <c r="E85" i="2" a="1"/>
  <c r="E85" i="2" s="1"/>
  <c r="F85" i="2" a="1"/>
  <c r="F85" i="2" s="1"/>
  <c r="G85" i="2" a="1"/>
  <c r="G85" i="2" s="1"/>
  <c r="C86" i="2" a="1"/>
  <c r="C86" i="2" s="1"/>
  <c r="D86" i="2" a="1"/>
  <c r="D86" i="2" s="1"/>
  <c r="E86" i="2" a="1"/>
  <c r="E86" i="2" s="1"/>
  <c r="F86" i="2" a="1"/>
  <c r="F86" i="2" s="1"/>
  <c r="G86" i="2" a="1"/>
  <c r="G86" i="2" s="1"/>
  <c r="C87" i="2" a="1"/>
  <c r="C87" i="2" s="1"/>
  <c r="D87" i="2" a="1"/>
  <c r="D87" i="2" s="1"/>
  <c r="E87" i="2" a="1"/>
  <c r="E87" i="2" s="1"/>
  <c r="F87" i="2" a="1"/>
  <c r="F87" i="2" s="1"/>
  <c r="G87" i="2" a="1"/>
  <c r="G87" i="2" s="1"/>
  <c r="C88" i="2" a="1"/>
  <c r="C88" i="2" s="1"/>
  <c r="D88" i="2" a="1"/>
  <c r="D88" i="2" s="1"/>
  <c r="E88" i="2" a="1"/>
  <c r="E88" i="2" s="1"/>
  <c r="F88" i="2" a="1"/>
  <c r="F88" i="2" s="1"/>
  <c r="G88" i="2" a="1"/>
  <c r="G88" i="2" s="1"/>
  <c r="C89" i="2" a="1"/>
  <c r="C89" i="2" s="1"/>
  <c r="D89" i="2" a="1"/>
  <c r="D89" i="2" s="1"/>
  <c r="E89" i="2" a="1"/>
  <c r="E89" i="2" s="1"/>
  <c r="F89" i="2" a="1"/>
  <c r="F89" i="2" s="1"/>
  <c r="G89" i="2" a="1"/>
  <c r="G89" i="2" s="1"/>
  <c r="C90" i="2" a="1"/>
  <c r="C90" i="2" s="1"/>
  <c r="D90" i="2" a="1"/>
  <c r="D90" i="2" s="1"/>
  <c r="E90" i="2" a="1"/>
  <c r="E90" i="2" s="1"/>
  <c r="F90" i="2" a="1"/>
  <c r="F90" i="2" s="1"/>
  <c r="G90" i="2" a="1"/>
  <c r="G90" i="2" s="1"/>
  <c r="C91" i="2" a="1"/>
  <c r="C91" i="2" s="1"/>
  <c r="D91" i="2" a="1"/>
  <c r="D91" i="2" s="1"/>
  <c r="E91" i="2" a="1"/>
  <c r="E91" i="2" s="1"/>
  <c r="F91" i="2" a="1"/>
  <c r="F91" i="2" s="1"/>
  <c r="G91" i="2" a="1"/>
  <c r="G91" i="2" s="1"/>
  <c r="C92" i="2" a="1"/>
  <c r="C92" i="2" s="1"/>
  <c r="D92" i="2" a="1"/>
  <c r="D92" i="2" s="1"/>
  <c r="E92" i="2" a="1"/>
  <c r="E92" i="2" s="1"/>
  <c r="F92" i="2" a="1"/>
  <c r="F92" i="2" s="1"/>
  <c r="G92" i="2" a="1"/>
  <c r="G92" i="2" s="1"/>
  <c r="C93" i="2" a="1"/>
  <c r="C93" i="2" s="1"/>
  <c r="D93" i="2" a="1"/>
  <c r="D93" i="2" s="1"/>
  <c r="E93" i="2" a="1"/>
  <c r="E93" i="2" s="1"/>
  <c r="F93" i="2" a="1"/>
  <c r="F93" i="2" s="1"/>
  <c r="G93" i="2" a="1"/>
  <c r="G93" i="2" s="1"/>
  <c r="C94" i="2" a="1"/>
  <c r="C94" i="2" s="1"/>
  <c r="D94" i="2" a="1"/>
  <c r="D94" i="2" s="1"/>
  <c r="E94" i="2" a="1"/>
  <c r="E94" i="2" s="1"/>
  <c r="F94" i="2" a="1"/>
  <c r="F94" i="2" s="1"/>
  <c r="G94" i="2" a="1"/>
  <c r="G94" i="2" s="1"/>
  <c r="C95" i="2" a="1"/>
  <c r="C95" i="2" s="1"/>
  <c r="D95" i="2" a="1"/>
  <c r="D95" i="2" s="1"/>
  <c r="E95" i="2" a="1"/>
  <c r="E95" i="2" s="1"/>
  <c r="F95" i="2" a="1"/>
  <c r="F95" i="2" s="1"/>
  <c r="G95" i="2" a="1"/>
  <c r="G95" i="2" s="1"/>
  <c r="C96" i="2" a="1"/>
  <c r="C96" i="2" s="1"/>
  <c r="D96" i="2" a="1"/>
  <c r="D96" i="2" s="1"/>
  <c r="E96" i="2" a="1"/>
  <c r="E96" i="2" s="1"/>
  <c r="F96" i="2" a="1"/>
  <c r="F96" i="2" s="1"/>
  <c r="G96" i="2" a="1"/>
  <c r="G96" i="2" s="1"/>
  <c r="C97" i="2" a="1"/>
  <c r="C97" i="2" s="1"/>
  <c r="D97" i="2" a="1"/>
  <c r="D97" i="2" s="1"/>
  <c r="E97" i="2" a="1"/>
  <c r="E97" i="2" s="1"/>
  <c r="F97" i="2" a="1"/>
  <c r="F97" i="2" s="1"/>
  <c r="G97" i="2" a="1"/>
  <c r="G97" i="2" s="1"/>
  <c r="C98" i="2" a="1"/>
  <c r="C98" i="2" s="1"/>
  <c r="D98" i="2" a="1"/>
  <c r="D98" i="2" s="1"/>
  <c r="E98" i="2" a="1"/>
  <c r="E98" i="2" s="1"/>
  <c r="F98" i="2" a="1"/>
  <c r="F98" i="2" s="1"/>
  <c r="G98" i="2" a="1"/>
  <c r="G98" i="2" s="1"/>
  <c r="C99" i="2" a="1"/>
  <c r="C99" i="2" s="1"/>
  <c r="D99" i="2" a="1"/>
  <c r="D99" i="2" s="1"/>
  <c r="E99" i="2" a="1"/>
  <c r="E99" i="2" s="1"/>
  <c r="F99" i="2" a="1"/>
  <c r="F99" i="2" s="1"/>
  <c r="G99" i="2" a="1"/>
  <c r="G99" i="2" s="1"/>
  <c r="C100" i="2" a="1"/>
  <c r="C100" i="2" s="1"/>
  <c r="D100" i="2" a="1"/>
  <c r="D100" i="2" s="1"/>
  <c r="C3" i="22" s="1"/>
  <c r="E100" i="2" a="1"/>
  <c r="E100" i="2" s="1"/>
  <c r="D3" i="22" s="1"/>
  <c r="D15" i="22" s="1"/>
  <c r="F100" i="2" a="1"/>
  <c r="F100" i="2" s="1"/>
  <c r="E3" i="22" s="1"/>
  <c r="E15" i="22" s="1"/>
  <c r="G100" i="2" a="1"/>
  <c r="G100" i="2" s="1"/>
  <c r="F3" i="22" s="1"/>
  <c r="C101" i="2" a="1"/>
  <c r="C101" i="2" s="1"/>
  <c r="D101" i="2" a="1"/>
  <c r="D101" i="2" s="1"/>
  <c r="E101" i="2" a="1"/>
  <c r="E101" i="2" s="1"/>
  <c r="F101" i="2" a="1"/>
  <c r="F101" i="2" s="1"/>
  <c r="G101" i="2" a="1"/>
  <c r="G101" i="2" s="1"/>
  <c r="C102" i="2" a="1"/>
  <c r="C102" i="2" s="1"/>
  <c r="D102" i="2" a="1"/>
  <c r="D102" i="2" s="1"/>
  <c r="E102" i="2" a="1"/>
  <c r="E102" i="2" s="1"/>
  <c r="F102" i="2" a="1"/>
  <c r="F102" i="2" s="1"/>
  <c r="G102" i="2" a="1"/>
  <c r="G102" i="2" s="1"/>
  <c r="C103" i="2" a="1"/>
  <c r="C103" i="2" s="1"/>
  <c r="D103" i="2" a="1"/>
  <c r="D103" i="2" s="1"/>
  <c r="E103" i="2" a="1"/>
  <c r="E103" i="2" s="1"/>
  <c r="F103" i="2" a="1"/>
  <c r="F103" i="2" s="1"/>
  <c r="G103" i="2" a="1"/>
  <c r="G103" i="2" s="1"/>
  <c r="C104" i="2" a="1"/>
  <c r="C104" i="2" s="1"/>
  <c r="D104" i="2" a="1"/>
  <c r="D104" i="2" s="1"/>
  <c r="E104" i="2" a="1"/>
  <c r="E104" i="2" s="1"/>
  <c r="F104" i="2" a="1"/>
  <c r="F104" i="2" s="1"/>
  <c r="G104" i="2" a="1"/>
  <c r="G104" i="2" s="1"/>
  <c r="C105" i="2" a="1"/>
  <c r="C105" i="2" s="1"/>
  <c r="D105" i="2" a="1"/>
  <c r="D105" i="2" s="1"/>
  <c r="E105" i="2" a="1"/>
  <c r="E105" i="2" s="1"/>
  <c r="F105" i="2" a="1"/>
  <c r="F105" i="2" s="1"/>
  <c r="G105" i="2" a="1"/>
  <c r="G105" i="2" s="1"/>
  <c r="C106" i="2" a="1"/>
  <c r="C106" i="2" s="1"/>
  <c r="D106" i="2" a="1"/>
  <c r="D106" i="2" s="1"/>
  <c r="E106" i="2" a="1"/>
  <c r="E106" i="2" s="1"/>
  <c r="F106" i="2" a="1"/>
  <c r="F106" i="2" s="1"/>
  <c r="G106" i="2" a="1"/>
  <c r="G106" i="2" s="1"/>
  <c r="C107" i="2" a="1"/>
  <c r="C107" i="2" s="1"/>
  <c r="D107" i="2" a="1"/>
  <c r="D107" i="2" s="1"/>
  <c r="E107" i="2" a="1"/>
  <c r="E107" i="2" s="1"/>
  <c r="F107" i="2" a="1"/>
  <c r="F107" i="2" s="1"/>
  <c r="G107" i="2" a="1"/>
  <c r="G107" i="2" s="1"/>
  <c r="C108" i="2" a="1"/>
  <c r="C108" i="2" s="1"/>
  <c r="D108" i="2" a="1"/>
  <c r="D108" i="2" s="1"/>
  <c r="E108" i="2" a="1"/>
  <c r="E108" i="2" s="1"/>
  <c r="F108" i="2" a="1"/>
  <c r="F108" i="2" s="1"/>
  <c r="G108" i="2" a="1"/>
  <c r="G108" i="2" s="1"/>
  <c r="C109" i="2" a="1"/>
  <c r="C109" i="2" s="1"/>
  <c r="D109" i="2" a="1"/>
  <c r="D109" i="2" s="1"/>
  <c r="E109" i="2" a="1"/>
  <c r="E109" i="2" s="1"/>
  <c r="F109" i="2" a="1"/>
  <c r="F109" i="2" s="1"/>
  <c r="G109" i="2" a="1"/>
  <c r="G109" i="2" s="1"/>
  <c r="C110" i="2" a="1"/>
  <c r="C110" i="2" s="1"/>
  <c r="D110" i="2" a="1"/>
  <c r="D110" i="2" s="1"/>
  <c r="E110" i="2" a="1"/>
  <c r="E110" i="2" s="1"/>
  <c r="F110" i="2" a="1"/>
  <c r="F110" i="2" s="1"/>
  <c r="G110" i="2" a="1"/>
  <c r="G110" i="2" s="1"/>
  <c r="C111" i="2" a="1"/>
  <c r="C111" i="2" s="1"/>
  <c r="D111" i="2" a="1"/>
  <c r="D111" i="2" s="1"/>
  <c r="E111" i="2" a="1"/>
  <c r="E111" i="2" s="1"/>
  <c r="F111" i="2" a="1"/>
  <c r="F111" i="2" s="1"/>
  <c r="G111" i="2" a="1"/>
  <c r="G111" i="2" s="1"/>
  <c r="C112" i="2" a="1"/>
  <c r="C112" i="2" s="1"/>
  <c r="D112" i="2" a="1"/>
  <c r="D112" i="2" s="1"/>
  <c r="E112" i="2" a="1"/>
  <c r="E112" i="2" s="1"/>
  <c r="F112" i="2" a="1"/>
  <c r="F112" i="2" s="1"/>
  <c r="G112" i="2" a="1"/>
  <c r="G112" i="2" s="1"/>
  <c r="C113" i="2" a="1"/>
  <c r="C113" i="2" s="1"/>
  <c r="D113" i="2" a="1"/>
  <c r="D113" i="2" s="1"/>
  <c r="E113" i="2" a="1"/>
  <c r="E113" i="2" s="1"/>
  <c r="F113" i="2" a="1"/>
  <c r="F113" i="2" s="1"/>
  <c r="G113" i="2" a="1"/>
  <c r="G113" i="2" s="1"/>
  <c r="C114" i="2" a="1"/>
  <c r="C114" i="2" s="1"/>
  <c r="D114" i="2" a="1"/>
  <c r="D114" i="2" s="1"/>
  <c r="E114" i="2" a="1"/>
  <c r="E114" i="2" s="1"/>
  <c r="F114" i="2" a="1"/>
  <c r="F114" i="2" s="1"/>
  <c r="G114" i="2" a="1"/>
  <c r="G114" i="2" s="1"/>
  <c r="C115" i="2" a="1"/>
  <c r="C115" i="2" s="1"/>
  <c r="D115" i="2" a="1"/>
  <c r="D115" i="2" s="1"/>
  <c r="E115" i="2" a="1"/>
  <c r="E115" i="2" s="1"/>
  <c r="F115" i="2" a="1"/>
  <c r="F115" i="2" s="1"/>
  <c r="G115" i="2" a="1"/>
  <c r="G115" i="2" s="1"/>
  <c r="C116" i="2" a="1"/>
  <c r="C116" i="2" s="1"/>
  <c r="D116" i="2" a="1"/>
  <c r="D116" i="2" s="1"/>
  <c r="E116" i="2" a="1"/>
  <c r="E116" i="2" s="1"/>
  <c r="F116" i="2" a="1"/>
  <c r="F116" i="2" s="1"/>
  <c r="G116" i="2" a="1"/>
  <c r="G116" i="2" s="1"/>
  <c r="C117" i="2" a="1"/>
  <c r="C117" i="2" s="1"/>
  <c r="D117" i="2" a="1"/>
  <c r="D117" i="2" s="1"/>
  <c r="E117" i="2" a="1"/>
  <c r="E117" i="2" s="1"/>
  <c r="F117" i="2" a="1"/>
  <c r="F117" i="2" s="1"/>
  <c r="G117" i="2" a="1"/>
  <c r="G117" i="2" s="1"/>
  <c r="C118" i="2" a="1"/>
  <c r="C118" i="2" s="1"/>
  <c r="D118" i="2" a="1"/>
  <c r="D118" i="2" s="1"/>
  <c r="E118" i="2" a="1"/>
  <c r="E118" i="2" s="1"/>
  <c r="F118" i="2" a="1"/>
  <c r="F118" i="2" s="1"/>
  <c r="G118" i="2" a="1"/>
  <c r="G118" i="2" s="1"/>
  <c r="C119" i="2" a="1"/>
  <c r="C119" i="2" s="1"/>
  <c r="D119" i="2" a="1"/>
  <c r="D119" i="2" s="1"/>
  <c r="E119" i="2" a="1"/>
  <c r="E119" i="2" s="1"/>
  <c r="F119" i="2" a="1"/>
  <c r="F119" i="2" s="1"/>
  <c r="G119" i="2" a="1"/>
  <c r="G119" i="2" s="1"/>
  <c r="C120" i="2" a="1"/>
  <c r="C120" i="2" s="1"/>
  <c r="D120" i="2" a="1"/>
  <c r="D120" i="2" s="1"/>
  <c r="E120" i="2" a="1"/>
  <c r="E120" i="2" s="1"/>
  <c r="F120" i="2" a="1"/>
  <c r="F120" i="2" s="1"/>
  <c r="G120" i="2" a="1"/>
  <c r="G120" i="2" s="1"/>
  <c r="D121" i="2" a="1"/>
  <c r="D121" i="2" s="1"/>
  <c r="E121" i="2" a="1"/>
  <c r="E121" i="2" s="1"/>
  <c r="F121" i="2" a="1"/>
  <c r="F121" i="2" s="1"/>
  <c r="G121" i="2" a="1"/>
  <c r="G121" i="2" s="1"/>
  <c r="E25" i="20" l="1"/>
  <c r="T25" i="20"/>
  <c r="L25" i="20"/>
  <c r="D12" i="20"/>
  <c r="F15" i="22"/>
  <c r="R25" i="20"/>
  <c r="U21" i="20"/>
  <c r="M21" i="20"/>
  <c r="S25" i="20"/>
  <c r="U25" i="20"/>
  <c r="M25" i="20"/>
  <c r="O21" i="20"/>
  <c r="V25" i="20"/>
  <c r="N25" i="20"/>
  <c r="E21" i="20"/>
  <c r="T8" i="20"/>
  <c r="T24" i="20" s="1"/>
  <c r="T21" i="20"/>
  <c r="S8" i="12"/>
  <c r="Q8" i="20"/>
  <c r="Q24" i="20" s="1"/>
  <c r="W25" i="20"/>
  <c r="W8" i="20"/>
  <c r="O8" i="20"/>
  <c r="O24" i="20" s="1"/>
  <c r="V22" i="19"/>
  <c r="V25" i="19" s="1"/>
  <c r="V6" i="20"/>
  <c r="V23" i="20" s="1"/>
  <c r="N22" i="19"/>
  <c r="N26" i="19" s="1"/>
  <c r="N6" i="20"/>
  <c r="N23" i="20" s="1"/>
  <c r="W21" i="20"/>
  <c r="V8" i="20"/>
  <c r="V24" i="20" s="1"/>
  <c r="N8" i="20"/>
  <c r="U22" i="19"/>
  <c r="U25" i="19" s="1"/>
  <c r="U6" i="20"/>
  <c r="U23" i="20" s="1"/>
  <c r="M22" i="19"/>
  <c r="M25" i="19" s="1"/>
  <c r="M6" i="20"/>
  <c r="M23" i="20" s="1"/>
  <c r="V21" i="20"/>
  <c r="N21" i="20"/>
  <c r="U8" i="20"/>
  <c r="U24" i="20" s="1"/>
  <c r="M8" i="20"/>
  <c r="M24" i="20" s="1"/>
  <c r="T22" i="19"/>
  <c r="T25" i="19" s="1"/>
  <c r="T6" i="20"/>
  <c r="T23" i="20" s="1"/>
  <c r="L22" i="19"/>
  <c r="L25" i="19" s="1"/>
  <c r="L6" i="20"/>
  <c r="L23" i="20" s="1"/>
  <c r="L8" i="20"/>
  <c r="L24" i="20" s="1"/>
  <c r="S22" i="19"/>
  <c r="S26" i="19" s="1"/>
  <c r="S6" i="20"/>
  <c r="S23" i="20" s="1"/>
  <c r="S8" i="20"/>
  <c r="S24" i="20" s="1"/>
  <c r="K8" i="20"/>
  <c r="R22" i="19"/>
  <c r="R26" i="19" s="1"/>
  <c r="R6" i="20"/>
  <c r="R23" i="20" s="1"/>
  <c r="S21" i="20"/>
  <c r="R8" i="20"/>
  <c r="R24" i="20" s="1"/>
  <c r="Q22" i="19"/>
  <c r="Q26" i="19" s="1"/>
  <c r="Q6" i="20"/>
  <c r="Q23" i="20" s="1"/>
  <c r="R21" i="20"/>
  <c r="P22" i="19"/>
  <c r="P25" i="19" s="1"/>
  <c r="P6" i="20"/>
  <c r="P23" i="20" s="1"/>
  <c r="R8" i="12"/>
  <c r="Q25" i="20"/>
  <c r="Q21" i="20"/>
  <c r="P8" i="20"/>
  <c r="P24" i="20" s="1"/>
  <c r="W22" i="19"/>
  <c r="W25" i="19" s="1"/>
  <c r="W6" i="20"/>
  <c r="O22" i="19"/>
  <c r="O25" i="19" s="1"/>
  <c r="O6" i="20"/>
  <c r="O23" i="20" s="1"/>
  <c r="P21" i="20"/>
  <c r="W15" i="19"/>
  <c r="D8" i="20"/>
  <c r="D24" i="20" s="1"/>
  <c r="E8" i="20"/>
  <c r="E24" i="20" s="1"/>
  <c r="F22" i="19"/>
  <c r="F25" i="19" s="1"/>
  <c r="F6" i="20"/>
  <c r="C8" i="20"/>
  <c r="E22" i="19"/>
  <c r="E25" i="19" s="1"/>
  <c r="E6" i="20"/>
  <c r="E23" i="20" s="1"/>
  <c r="D22" i="19"/>
  <c r="D26" i="19" s="1"/>
  <c r="D6" i="20"/>
  <c r="D23" i="20" s="1"/>
  <c r="F21" i="19"/>
  <c r="F30" i="19" s="1"/>
  <c r="F5" i="20"/>
  <c r="F8" i="20"/>
  <c r="F8" i="22"/>
  <c r="F6" i="22"/>
  <c r="F9" i="22" s="1"/>
  <c r="E6" i="22"/>
  <c r="E9" i="22" s="1"/>
  <c r="E8" i="22"/>
  <c r="D8" i="22"/>
  <c r="D6" i="22"/>
  <c r="D9" i="22" s="1"/>
  <c r="C4" i="22"/>
  <c r="C17" i="23"/>
  <c r="L69" i="4"/>
  <c r="K69" i="4"/>
  <c r="J69" i="4"/>
  <c r="I69" i="4"/>
  <c r="P69" i="4"/>
  <c r="H69" i="4"/>
  <c r="O69" i="4"/>
  <c r="G69" i="4"/>
  <c r="N69" i="4"/>
  <c r="F69" i="4"/>
  <c r="M69" i="4"/>
  <c r="E69" i="4"/>
  <c r="D69" i="4"/>
  <c r="D5" i="2"/>
  <c r="D4" i="2" s="1"/>
  <c r="C8" i="21" s="1"/>
  <c r="H5" i="4"/>
  <c r="O5" i="4"/>
  <c r="F5" i="4"/>
  <c r="M5" i="4"/>
  <c r="N5" i="4"/>
  <c r="E5" i="4"/>
  <c r="G5" i="4"/>
  <c r="L5" i="4"/>
  <c r="K5" i="4"/>
  <c r="J5" i="4"/>
  <c r="I5" i="4"/>
  <c r="P5" i="4"/>
  <c r="R15" i="19"/>
  <c r="N31" i="4"/>
  <c r="F31" i="4"/>
  <c r="M31" i="4"/>
  <c r="E31" i="4"/>
  <c r="L31" i="4"/>
  <c r="K31" i="4"/>
  <c r="J31" i="4"/>
  <c r="I31" i="4"/>
  <c r="P31" i="4"/>
  <c r="H31" i="4"/>
  <c r="O31" i="4"/>
  <c r="G31" i="4"/>
  <c r="D31" i="4"/>
  <c r="D5" i="4"/>
  <c r="G31" i="2"/>
  <c r="F31" i="2"/>
  <c r="E31" i="2"/>
  <c r="G5" i="2"/>
  <c r="F5" i="2"/>
  <c r="E5" i="2"/>
  <c r="V21" i="19"/>
  <c r="V24" i="19" s="1"/>
  <c r="O8" i="12"/>
  <c r="V7" i="20" s="1"/>
  <c r="N21" i="19"/>
  <c r="N24" i="19" s="1"/>
  <c r="G8" i="12"/>
  <c r="N7" i="20" s="1"/>
  <c r="N28" i="20" s="1"/>
  <c r="U21" i="19"/>
  <c r="U24" i="19" s="1"/>
  <c r="N8" i="12"/>
  <c r="U7" i="20" s="1"/>
  <c r="M21" i="19"/>
  <c r="M24" i="19" s="1"/>
  <c r="F8" i="12"/>
  <c r="M7" i="20" s="1"/>
  <c r="T21" i="19"/>
  <c r="T24" i="19" s="1"/>
  <c r="M8" i="12"/>
  <c r="T7" i="20" s="1"/>
  <c r="L21" i="19"/>
  <c r="L24" i="19" s="1"/>
  <c r="E8" i="12"/>
  <c r="L7" i="20" s="1"/>
  <c r="S21" i="19"/>
  <c r="S24" i="19" s="1"/>
  <c r="L8" i="12"/>
  <c r="S7" i="20" s="1"/>
  <c r="D8" i="12"/>
  <c r="K7" i="20" s="1"/>
  <c r="R21" i="19"/>
  <c r="R24" i="19" s="1"/>
  <c r="K8" i="12"/>
  <c r="R7" i="20" s="1"/>
  <c r="Q21" i="19"/>
  <c r="Q24" i="19" s="1"/>
  <c r="J8" i="12"/>
  <c r="Q7" i="20" s="1"/>
  <c r="Q28" i="20" s="1"/>
  <c r="Q8" i="12"/>
  <c r="P21" i="19"/>
  <c r="P24" i="19" s="1"/>
  <c r="I8" i="12"/>
  <c r="P7" i="20" s="1"/>
  <c r="W21" i="19"/>
  <c r="W24" i="19" s="1"/>
  <c r="P8" i="12"/>
  <c r="W7" i="20" s="1"/>
  <c r="O21" i="19"/>
  <c r="O24" i="19" s="1"/>
  <c r="H8" i="12"/>
  <c r="O7" i="20" s="1"/>
  <c r="K21" i="19"/>
  <c r="K30" i="19" s="1"/>
  <c r="K5" i="20"/>
  <c r="L21" i="20" s="1"/>
  <c r="K22" i="19"/>
  <c r="K6" i="20"/>
  <c r="G8" i="11"/>
  <c r="F7" i="20" s="1"/>
  <c r="E21" i="19"/>
  <c r="E31" i="19" s="1"/>
  <c r="F8" i="11"/>
  <c r="E7" i="20" s="1"/>
  <c r="D21" i="19"/>
  <c r="D31" i="19" s="1"/>
  <c r="E8" i="11"/>
  <c r="D7" i="20" s="1"/>
  <c r="D8" i="11"/>
  <c r="C7" i="20" s="1"/>
  <c r="C9" i="19"/>
  <c r="F15" i="19"/>
  <c r="E15" i="19"/>
  <c r="D15" i="19"/>
  <c r="C15" i="19"/>
  <c r="F9" i="19"/>
  <c r="E9" i="19"/>
  <c r="D9" i="19"/>
  <c r="C21" i="19"/>
  <c r="C33" i="19" s="1"/>
  <c r="C5" i="20"/>
  <c r="C22" i="19"/>
  <c r="U9" i="19"/>
  <c r="S9" i="19"/>
  <c r="W9" i="19"/>
  <c r="Q9" i="19"/>
  <c r="P9" i="19"/>
  <c r="O9" i="19"/>
  <c r="R9" i="19"/>
  <c r="T15" i="19"/>
  <c r="L15" i="19"/>
  <c r="K9" i="19"/>
  <c r="Q15" i="19"/>
  <c r="S15" i="19"/>
  <c r="K15" i="19"/>
  <c r="V9" i="19"/>
  <c r="N9" i="19"/>
  <c r="O15" i="19"/>
  <c r="P15" i="19"/>
  <c r="U15" i="19"/>
  <c r="M15" i="19"/>
  <c r="V15" i="19"/>
  <c r="N15" i="19"/>
  <c r="T9" i="19"/>
  <c r="L9" i="19"/>
  <c r="M9" i="19"/>
  <c r="F122" i="2"/>
  <c r="G122" i="2"/>
  <c r="E122" i="2"/>
  <c r="D122" i="2"/>
  <c r="K32" i="19" l="1"/>
  <c r="T32" i="19"/>
  <c r="M32" i="19"/>
  <c r="K33" i="19"/>
  <c r="D32" i="19"/>
  <c r="W32" i="19"/>
  <c r="U33" i="19"/>
  <c r="W30" i="19"/>
  <c r="O33" i="19"/>
  <c r="S32" i="19"/>
  <c r="R29" i="19"/>
  <c r="U32" i="19"/>
  <c r="K31" i="19"/>
  <c r="M30" i="19"/>
  <c r="V29" i="19"/>
  <c r="P32" i="19"/>
  <c r="N31" i="19"/>
  <c r="O31" i="19"/>
  <c r="Q29" i="19"/>
  <c r="E33" i="19"/>
  <c r="T29" i="19"/>
  <c r="S33" i="19"/>
  <c r="U30" i="19"/>
  <c r="M29" i="19"/>
  <c r="W29" i="19"/>
  <c r="N33" i="19"/>
  <c r="W33" i="19"/>
  <c r="D33" i="19"/>
  <c r="G33" i="19" s="1"/>
  <c r="H33" i="19" s="1"/>
  <c r="I33" i="19" s="1"/>
  <c r="F33" i="19"/>
  <c r="K29" i="19"/>
  <c r="S31" i="19"/>
  <c r="L33" i="19"/>
  <c r="N30" i="19"/>
  <c r="N29" i="19"/>
  <c r="V31" i="19"/>
  <c r="W31" i="19"/>
  <c r="R30" i="19"/>
  <c r="S29" i="19"/>
  <c r="N32" i="19"/>
  <c r="L31" i="19"/>
  <c r="V30" i="19"/>
  <c r="E30" i="19"/>
  <c r="V33" i="19"/>
  <c r="R32" i="19"/>
  <c r="Q30" i="19"/>
  <c r="Q31" i="19"/>
  <c r="S30" i="19"/>
  <c r="C32" i="19"/>
  <c r="V32" i="19"/>
  <c r="T33" i="19"/>
  <c r="M33" i="19"/>
  <c r="F32" i="19"/>
  <c r="Q32" i="19"/>
  <c r="P29" i="19"/>
  <c r="P33" i="19"/>
  <c r="Q33" i="19"/>
  <c r="R33" i="19"/>
  <c r="L30" i="19"/>
  <c r="X30" i="19" s="1"/>
  <c r="U29" i="19"/>
  <c r="T31" i="19"/>
  <c r="M31" i="19"/>
  <c r="O29" i="19"/>
  <c r="X24" i="19"/>
  <c r="Y24" i="19" s="1"/>
  <c r="P31" i="19"/>
  <c r="L32" i="19"/>
  <c r="R31" i="19"/>
  <c r="T30" i="19"/>
  <c r="L29" i="19"/>
  <c r="O32" i="19"/>
  <c r="U31" i="19"/>
  <c r="O30" i="19"/>
  <c r="P30" i="19"/>
  <c r="E32" i="19"/>
  <c r="D25" i="19"/>
  <c r="G25" i="19" s="1"/>
  <c r="H25" i="19" s="1"/>
  <c r="I25" i="19" s="1"/>
  <c r="Q25" i="19"/>
  <c r="S25" i="19"/>
  <c r="W26" i="19"/>
  <c r="W27" i="19" s="1"/>
  <c r="E26" i="19"/>
  <c r="R25" i="19"/>
  <c r="U26" i="19"/>
  <c r="T26" i="19"/>
  <c r="T27" i="19" s="1"/>
  <c r="P26" i="19"/>
  <c r="P27" i="19" s="1"/>
  <c r="V26" i="19"/>
  <c r="V27" i="19" s="1"/>
  <c r="O26" i="19"/>
  <c r="O27" i="19" s="1"/>
  <c r="X22" i="19"/>
  <c r="Y22" i="19" s="1"/>
  <c r="Z22" i="19" s="1"/>
  <c r="L26" i="19"/>
  <c r="L27" i="19" s="1"/>
  <c r="M26" i="19"/>
  <c r="C9" i="20"/>
  <c r="C11" i="20" s="1"/>
  <c r="X21" i="20"/>
  <c r="Y21" i="20" s="1"/>
  <c r="Z21" i="20" s="1"/>
  <c r="N25" i="19"/>
  <c r="N27" i="19" s="1"/>
  <c r="F26" i="19"/>
  <c r="F18" i="22"/>
  <c r="D18" i="22"/>
  <c r="P9" i="20"/>
  <c r="P28" i="20"/>
  <c r="K23" i="20"/>
  <c r="T28" i="20"/>
  <c r="T9" i="20"/>
  <c r="V28" i="20"/>
  <c r="V9" i="20"/>
  <c r="Q9" i="20"/>
  <c r="K28" i="20"/>
  <c r="K9" i="20"/>
  <c r="K24" i="20"/>
  <c r="M9" i="20"/>
  <c r="M28" i="20"/>
  <c r="S9" i="20"/>
  <c r="S28" i="20"/>
  <c r="X21" i="19"/>
  <c r="Y21" i="19" s="1"/>
  <c r="Z21" i="19" s="1"/>
  <c r="K25" i="20"/>
  <c r="X25" i="20" s="1"/>
  <c r="O9" i="20"/>
  <c r="O28" i="20"/>
  <c r="U28" i="20"/>
  <c r="U9" i="20"/>
  <c r="N9" i="20"/>
  <c r="N24" i="20"/>
  <c r="W24" i="20"/>
  <c r="R9" i="20"/>
  <c r="R28" i="20"/>
  <c r="L28" i="20"/>
  <c r="L9" i="20"/>
  <c r="W28" i="20"/>
  <c r="W9" i="20"/>
  <c r="W23" i="20"/>
  <c r="E24" i="19"/>
  <c r="F23" i="20"/>
  <c r="G23" i="20" s="1"/>
  <c r="H23" i="20" s="1"/>
  <c r="I23" i="20" s="1"/>
  <c r="F21" i="20"/>
  <c r="F31" i="19"/>
  <c r="D9" i="20"/>
  <c r="D27" i="20"/>
  <c r="F25" i="20"/>
  <c r="G25" i="20" s="1"/>
  <c r="G10" i="20" s="1"/>
  <c r="F29" i="19"/>
  <c r="E9" i="20"/>
  <c r="E27" i="20"/>
  <c r="F24" i="19"/>
  <c r="F9" i="20"/>
  <c r="F27" i="20"/>
  <c r="D24" i="19"/>
  <c r="F24" i="20"/>
  <c r="G24" i="20" s="1"/>
  <c r="H24" i="20" s="1"/>
  <c r="E18" i="22"/>
  <c r="C8" i="22"/>
  <c r="C6" i="22"/>
  <c r="C9" i="22" s="1"/>
  <c r="C15" i="22"/>
  <c r="K4" i="4"/>
  <c r="R8" i="21" s="1"/>
  <c r="E68" i="2"/>
  <c r="D8" i="21" s="1"/>
  <c r="D68" i="2"/>
  <c r="D5" i="21" s="1"/>
  <c r="F68" i="2"/>
  <c r="E8" i="21" s="1"/>
  <c r="F5" i="21" s="1"/>
  <c r="F13" i="21" s="1"/>
  <c r="G68" i="2"/>
  <c r="F8" i="21" s="1"/>
  <c r="E68" i="4"/>
  <c r="E4" i="4"/>
  <c r="L8" i="21" s="1"/>
  <c r="N68" i="4"/>
  <c r="N4" i="4"/>
  <c r="U8" i="21" s="1"/>
  <c r="P68" i="4"/>
  <c r="P4" i="4"/>
  <c r="W8" i="21" s="1"/>
  <c r="I68" i="4"/>
  <c r="I4" i="4"/>
  <c r="P8" i="21" s="1"/>
  <c r="J4" i="4"/>
  <c r="Q8" i="21" s="1"/>
  <c r="M4" i="4"/>
  <c r="T8" i="21" s="1"/>
  <c r="F68" i="4"/>
  <c r="F4" i="4"/>
  <c r="M8" i="21" s="1"/>
  <c r="L4" i="4"/>
  <c r="S8" i="21" s="1"/>
  <c r="O4" i="4"/>
  <c r="V8" i="21" s="1"/>
  <c r="G4" i="4"/>
  <c r="N8" i="21" s="1"/>
  <c r="H4" i="4"/>
  <c r="O8" i="21" s="1"/>
  <c r="J68" i="4"/>
  <c r="M68" i="4"/>
  <c r="K68" i="4"/>
  <c r="L68" i="4"/>
  <c r="O68" i="4"/>
  <c r="G68" i="4"/>
  <c r="H68" i="4"/>
  <c r="D68" i="4"/>
  <c r="D4" i="4"/>
  <c r="R17" i="19"/>
  <c r="R15" i="20" s="1"/>
  <c r="U17" i="19"/>
  <c r="U15" i="20" s="1"/>
  <c r="V17" i="19"/>
  <c r="V15" i="20" s="1"/>
  <c r="F17" i="19"/>
  <c r="F15" i="20" s="1"/>
  <c r="E17" i="19"/>
  <c r="E15" i="20" s="1"/>
  <c r="D17" i="19"/>
  <c r="D15" i="20" s="1"/>
  <c r="S27" i="19"/>
  <c r="R27" i="19"/>
  <c r="U27" i="19"/>
  <c r="D21" i="20"/>
  <c r="C27" i="20"/>
  <c r="C25" i="20"/>
  <c r="C23" i="20"/>
  <c r="C24" i="20"/>
  <c r="E29" i="19"/>
  <c r="D30" i="19"/>
  <c r="D29" i="19"/>
  <c r="C17" i="19"/>
  <c r="C15" i="20" s="1"/>
  <c r="C31" i="19"/>
  <c r="G31" i="19" s="1"/>
  <c r="H31" i="19" s="1"/>
  <c r="I31" i="19" s="1"/>
  <c r="C29" i="19"/>
  <c r="C30" i="19"/>
  <c r="K17" i="19"/>
  <c r="K15" i="20" s="1"/>
  <c r="Q27" i="19"/>
  <c r="L17" i="19"/>
  <c r="L15" i="20" s="1"/>
  <c r="P17" i="19"/>
  <c r="P15" i="20" s="1"/>
  <c r="Q17" i="19"/>
  <c r="Q15" i="20" s="1"/>
  <c r="M17" i="19"/>
  <c r="M15" i="20" s="1"/>
  <c r="T17" i="19"/>
  <c r="T15" i="20" s="1"/>
  <c r="N17" i="19"/>
  <c r="N15" i="20" s="1"/>
  <c r="W17" i="19"/>
  <c r="W15" i="20" s="1"/>
  <c r="O17" i="19"/>
  <c r="O15" i="20" s="1"/>
  <c r="S17" i="19"/>
  <c r="S15" i="20" s="1"/>
  <c r="Y30" i="19" l="1"/>
  <c r="X8" i="19"/>
  <c r="X31" i="19"/>
  <c r="X33" i="19"/>
  <c r="Y33" i="19" s="1"/>
  <c r="Z33" i="19" s="1"/>
  <c r="G32" i="19"/>
  <c r="H32" i="19" s="1"/>
  <c r="I32" i="19" s="1"/>
  <c r="X32" i="19"/>
  <c r="Y32" i="19" s="1"/>
  <c r="Z32" i="19" s="1"/>
  <c r="X29" i="19"/>
  <c r="D27" i="19"/>
  <c r="S14" i="20"/>
  <c r="C28" i="20"/>
  <c r="D13" i="21"/>
  <c r="H25" i="20"/>
  <c r="I25" i="20" s="1"/>
  <c r="G26" i="19"/>
  <c r="H26" i="19" s="1"/>
  <c r="I26" i="19" s="1"/>
  <c r="E27" i="19"/>
  <c r="X26" i="19"/>
  <c r="Y26" i="19" s="1"/>
  <c r="M27" i="19"/>
  <c r="X27" i="19" s="1"/>
  <c r="Y27" i="19" s="1"/>
  <c r="Z27" i="19" s="1"/>
  <c r="X25" i="19"/>
  <c r="Y25" i="19" s="1"/>
  <c r="X5" i="20"/>
  <c r="Y5" i="20" s="1"/>
  <c r="G21" i="20"/>
  <c r="H21" i="20" s="1"/>
  <c r="I21" i="20" s="1"/>
  <c r="Q14" i="20"/>
  <c r="G6" i="20"/>
  <c r="G22" i="19" s="1"/>
  <c r="G6" i="19" s="1"/>
  <c r="G8" i="20"/>
  <c r="H8" i="20" s="1"/>
  <c r="I24" i="20"/>
  <c r="F27" i="19"/>
  <c r="X24" i="20"/>
  <c r="Y24" i="20" s="1"/>
  <c r="Z24" i="20" s="1"/>
  <c r="X23" i="20"/>
  <c r="X5" i="19"/>
  <c r="Y5" i="19" s="1"/>
  <c r="P14" i="20"/>
  <c r="V14" i="20"/>
  <c r="O14" i="20"/>
  <c r="N11" i="20"/>
  <c r="N29" i="20"/>
  <c r="S11" i="20"/>
  <c r="S29" i="20"/>
  <c r="T11" i="20"/>
  <c r="T29" i="20"/>
  <c r="M11" i="20"/>
  <c r="M29" i="20"/>
  <c r="U11" i="20"/>
  <c r="U29" i="20"/>
  <c r="R11" i="20"/>
  <c r="R29" i="20"/>
  <c r="O29" i="20"/>
  <c r="O11" i="20"/>
  <c r="K11" i="20"/>
  <c r="K29" i="20"/>
  <c r="Y25" i="20"/>
  <c r="Z25" i="20" s="1"/>
  <c r="X10" i="20"/>
  <c r="P29" i="20"/>
  <c r="P11" i="20"/>
  <c r="L11" i="20"/>
  <c r="L29" i="20"/>
  <c r="Q29" i="20"/>
  <c r="Q11" i="20"/>
  <c r="W29" i="20"/>
  <c r="W11" i="20"/>
  <c r="V11" i="20"/>
  <c r="V29" i="20"/>
  <c r="U14" i="20"/>
  <c r="M14" i="20"/>
  <c r="R14" i="20"/>
  <c r="Z24" i="19"/>
  <c r="X5" i="21"/>
  <c r="L14" i="20"/>
  <c r="N14" i="20"/>
  <c r="T14" i="20"/>
  <c r="G24" i="19"/>
  <c r="H24" i="19" s="1"/>
  <c r="I24" i="19" s="1"/>
  <c r="F28" i="20"/>
  <c r="F11" i="20"/>
  <c r="D28" i="20"/>
  <c r="D11" i="20"/>
  <c r="E28" i="20"/>
  <c r="E11" i="20"/>
  <c r="D14" i="20"/>
  <c r="G5" i="21"/>
  <c r="F7" i="21"/>
  <c r="G30" i="19"/>
  <c r="H30" i="19" s="1"/>
  <c r="I30" i="19" s="1"/>
  <c r="G29" i="19"/>
  <c r="H29" i="19" s="1"/>
  <c r="I29" i="19" s="1"/>
  <c r="E14" i="20"/>
  <c r="C18" i="22"/>
  <c r="C12" i="23" s="1"/>
  <c r="E16" i="23" s="1"/>
  <c r="W14" i="20"/>
  <c r="F14" i="20"/>
  <c r="E5" i="21"/>
  <c r="E13" i="21" s="1"/>
  <c r="D7" i="21"/>
  <c r="U5" i="21"/>
  <c r="U13" i="21" s="1"/>
  <c r="M5" i="21"/>
  <c r="M13" i="21" s="1"/>
  <c r="K8" i="21"/>
  <c r="L5" i="21" s="1"/>
  <c r="L13" i="21" s="1"/>
  <c r="R5" i="21"/>
  <c r="R13" i="21" s="1"/>
  <c r="P5" i="21"/>
  <c r="P13" i="21" s="1"/>
  <c r="Q5" i="21"/>
  <c r="Q13" i="21" s="1"/>
  <c r="O5" i="21"/>
  <c r="O13" i="21" s="1"/>
  <c r="T5" i="21"/>
  <c r="T13" i="21" s="1"/>
  <c r="W5" i="21"/>
  <c r="W13" i="21" s="1"/>
  <c r="N5" i="21"/>
  <c r="N13" i="21" s="1"/>
  <c r="V5" i="21"/>
  <c r="V13" i="21" s="1"/>
  <c r="S5" i="21"/>
  <c r="S13" i="21" s="1"/>
  <c r="X7" i="19" l="1"/>
  <c r="Y29" i="19"/>
  <c r="E17" i="23"/>
  <c r="E18" i="23" s="1"/>
  <c r="E15" i="23"/>
  <c r="E14" i="23" s="1"/>
  <c r="Y31" i="19"/>
  <c r="X14" i="19"/>
  <c r="Z30" i="19"/>
  <c r="Z8" i="19" s="1"/>
  <c r="Y8" i="19"/>
  <c r="G13" i="21"/>
  <c r="G6" i="21" s="1"/>
  <c r="G12" i="20" s="1"/>
  <c r="G27" i="19"/>
  <c r="H27" i="19" s="1"/>
  <c r="I27" i="19" s="1"/>
  <c r="X11" i="19"/>
  <c r="Y11" i="19" s="1"/>
  <c r="H6" i="20"/>
  <c r="H22" i="19" s="1"/>
  <c r="H6" i="19" s="1"/>
  <c r="H10" i="20"/>
  <c r="I10" i="20" s="1"/>
  <c r="X6" i="19"/>
  <c r="Y6" i="19" s="1"/>
  <c r="G5" i="20"/>
  <c r="H5" i="20" s="1"/>
  <c r="H21" i="19" s="1"/>
  <c r="X8" i="20"/>
  <c r="Y8" i="20" s="1"/>
  <c r="Z8" i="20" s="1"/>
  <c r="M7" i="21"/>
  <c r="M14" i="21" s="1"/>
  <c r="I8" i="20"/>
  <c r="Y23" i="20"/>
  <c r="Z23" i="20" s="1"/>
  <c r="X6" i="20"/>
  <c r="W7" i="21"/>
  <c r="Y10" i="20"/>
  <c r="Z10" i="20" s="1"/>
  <c r="Z5" i="20"/>
  <c r="Z25" i="19"/>
  <c r="Q7" i="21"/>
  <c r="Q14" i="21" s="1"/>
  <c r="Z26" i="19"/>
  <c r="Z5" i="19"/>
  <c r="I6" i="20"/>
  <c r="I22" i="19" s="1"/>
  <c r="G11" i="19"/>
  <c r="F14" i="21"/>
  <c r="F13" i="20"/>
  <c r="Y13" i="21"/>
  <c r="X13" i="21"/>
  <c r="X6" i="21" s="1"/>
  <c r="X12" i="20" s="1"/>
  <c r="Z13" i="21"/>
  <c r="I13" i="21"/>
  <c r="H13" i="21"/>
  <c r="U7" i="21"/>
  <c r="U13" i="20" s="1"/>
  <c r="U16" i="20" s="1"/>
  <c r="D13" i="20"/>
  <c r="D16" i="20" s="1"/>
  <c r="D5" i="23" s="1"/>
  <c r="D14" i="21"/>
  <c r="E7" i="21"/>
  <c r="R7" i="21"/>
  <c r="N7" i="21"/>
  <c r="P7" i="21"/>
  <c r="L7" i="21"/>
  <c r="L13" i="20" s="1"/>
  <c r="L16" i="20" s="1"/>
  <c r="V7" i="21"/>
  <c r="S7" i="21"/>
  <c r="O7" i="21"/>
  <c r="T7" i="21"/>
  <c r="T13" i="20" s="1"/>
  <c r="T16" i="20" s="1"/>
  <c r="Z31" i="19" l="1"/>
  <c r="Z14" i="19" s="1"/>
  <c r="Y14" i="19"/>
  <c r="Z29" i="19"/>
  <c r="Z7" i="19" s="1"/>
  <c r="Y7" i="19"/>
  <c r="G7" i="20"/>
  <c r="G27" i="20" s="1"/>
  <c r="G21" i="19"/>
  <c r="G8" i="19" s="1"/>
  <c r="Q13" i="20"/>
  <c r="Q16" i="20" s="1"/>
  <c r="M13" i="20"/>
  <c r="M16" i="20" s="1"/>
  <c r="I6" i="19"/>
  <c r="Y6" i="20"/>
  <c r="X7" i="20"/>
  <c r="Z6" i="19"/>
  <c r="Z11" i="19"/>
  <c r="H11" i="19"/>
  <c r="I11" i="19" s="1"/>
  <c r="G5" i="19"/>
  <c r="H7" i="20"/>
  <c r="H8" i="19"/>
  <c r="I5" i="20"/>
  <c r="U14" i="21"/>
  <c r="V14" i="21"/>
  <c r="V13" i="20"/>
  <c r="V16" i="20" s="1"/>
  <c r="L14" i="21"/>
  <c r="E13" i="20"/>
  <c r="E16" i="20" s="1"/>
  <c r="E5" i="23" s="1"/>
  <c r="E14" i="21"/>
  <c r="P14" i="21"/>
  <c r="P13" i="20"/>
  <c r="P16" i="20" s="1"/>
  <c r="N14" i="21"/>
  <c r="N13" i="20"/>
  <c r="N16" i="20" s="1"/>
  <c r="R14" i="21"/>
  <c r="R13" i="20"/>
  <c r="R16" i="20" s="1"/>
  <c r="T14" i="21"/>
  <c r="W14" i="21"/>
  <c r="W13" i="20"/>
  <c r="W16" i="20" s="1"/>
  <c r="O14" i="21"/>
  <c r="O13" i="20"/>
  <c r="O16" i="20" s="1"/>
  <c r="F16" i="20"/>
  <c r="F5" i="23" s="1"/>
  <c r="S14" i="21"/>
  <c r="S13" i="20"/>
  <c r="S16" i="20" s="1"/>
  <c r="G9" i="20" l="1"/>
  <c r="G7" i="19"/>
  <c r="G14" i="19"/>
  <c r="G15" i="19" s="1"/>
  <c r="G9" i="19"/>
  <c r="X9" i="20"/>
  <c r="X28" i="20"/>
  <c r="Z6" i="20"/>
  <c r="Z7" i="20" s="1"/>
  <c r="Y7" i="20"/>
  <c r="G17" i="19"/>
  <c r="G15" i="20" s="1"/>
  <c r="G14" i="20" s="1"/>
  <c r="H5" i="19"/>
  <c r="H14" i="19"/>
  <c r="H15" i="19" s="1"/>
  <c r="H9" i="20"/>
  <c r="H27" i="20"/>
  <c r="I7" i="20"/>
  <c r="I21" i="19"/>
  <c r="G28" i="20"/>
  <c r="G11" i="20"/>
  <c r="H7" i="19"/>
  <c r="X14" i="21"/>
  <c r="X8" i="21" s="1"/>
  <c r="G14" i="21"/>
  <c r="H9" i="19" l="1"/>
  <c r="H17" i="19" s="1"/>
  <c r="H15" i="20" s="1"/>
  <c r="H14" i="20" s="1"/>
  <c r="Y28" i="20"/>
  <c r="Y9" i="20"/>
  <c r="Z28" i="20"/>
  <c r="Z9" i="20"/>
  <c r="X29" i="20"/>
  <c r="X11" i="20"/>
  <c r="Y14" i="21"/>
  <c r="Z14" i="21" s="1"/>
  <c r="I5" i="19"/>
  <c r="I14" i="19"/>
  <c r="I15" i="19" s="1"/>
  <c r="H28" i="20"/>
  <c r="H11" i="20"/>
  <c r="I27" i="20"/>
  <c r="I9" i="20"/>
  <c r="I8" i="19"/>
  <c r="I7" i="19"/>
  <c r="Y5" i="21"/>
  <c r="X7" i="21"/>
  <c r="X13" i="20" s="1"/>
  <c r="G8" i="21"/>
  <c r="G7" i="21" s="1"/>
  <c r="G13" i="20" s="1"/>
  <c r="G16" i="20" s="1"/>
  <c r="G5" i="23" s="1"/>
  <c r="H14" i="21"/>
  <c r="I14" i="21" s="1"/>
  <c r="I9" i="19" l="1"/>
  <c r="I17" i="19" s="1"/>
  <c r="I15" i="20" s="1"/>
  <c r="I14" i="20" s="1"/>
  <c r="Z29" i="20"/>
  <c r="Z11" i="20"/>
  <c r="Y29" i="20"/>
  <c r="Y11" i="20"/>
  <c r="Y8" i="21"/>
  <c r="Z5" i="21" s="1"/>
  <c r="Y6" i="21"/>
  <c r="Y12" i="20" s="1"/>
  <c r="I11" i="20"/>
  <c r="I28" i="20"/>
  <c r="H5" i="21"/>
  <c r="H8" i="21" s="1"/>
  <c r="I5" i="21" s="1"/>
  <c r="Y7" i="21" l="1"/>
  <c r="Y13" i="20" s="1"/>
  <c r="Z8" i="21"/>
  <c r="Z6" i="21"/>
  <c r="Z12" i="20" s="1"/>
  <c r="H6" i="21"/>
  <c r="I8" i="21"/>
  <c r="I6" i="21"/>
  <c r="Z7" i="21" l="1"/>
  <c r="Z13" i="20" s="1"/>
  <c r="I7" i="21"/>
  <c r="I13" i="20" s="1"/>
  <c r="I12" i="20"/>
  <c r="H7" i="21"/>
  <c r="H13" i="20" s="1"/>
  <c r="H12" i="20"/>
  <c r="I16" i="20" l="1"/>
  <c r="I5" i="23" s="1"/>
  <c r="C13" i="23" s="1"/>
  <c r="C14" i="23" s="1"/>
  <c r="H16" i="20"/>
  <c r="H5" i="23" s="1"/>
  <c r="C10" i="23" l="1"/>
  <c r="C15" i="23" s="1"/>
  <c r="C19" i="23" s="1"/>
  <c r="C21" i="23" s="1"/>
  <c r="X9" i="19"/>
  <c r="X17" i="19" s="1"/>
  <c r="X15" i="20" s="1"/>
  <c r="X14" i="20" s="1"/>
  <c r="X16" i="20" s="1"/>
  <c r="Z9" i="19"/>
  <c r="Y9" i="19"/>
  <c r="X15" i="19"/>
  <c r="Y15" i="19"/>
  <c r="Z15" i="19"/>
  <c r="Z17" i="19" l="1"/>
  <c r="Z15" i="20" s="1"/>
  <c r="Y17" i="19"/>
  <c r="Y15" i="20" s="1"/>
  <c r="Z14" i="20" l="1"/>
  <c r="Z16" i="20" s="1"/>
  <c r="Y14" i="20"/>
  <c r="Y16" i="2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197A30-599F-4FC0-98BC-EB90B44BF8FC}" keepAlive="1" name="Query - balance_sheet_annual" description="Connection to the 'balance_sheet_annual' query in the workbook." type="5" refreshedVersion="8" background="1" saveData="1">
    <dbPr connection="Provider=Microsoft.Mashup.OleDb.1;Data Source=$Workbook$;Location=balance_sheet_annual;Extended Properties=&quot;&quot;" command="SELECT * FROM [balance_sheet_annual]"/>
  </connection>
  <connection id="2" xr16:uid="{ACC0E78C-9F73-4C0F-8AA1-5ED3660583C2}" keepAlive="1" name="Query - balance_sheet_quarter" description="Connection to the 'balance_sheet_quarter' query in the workbook." type="5" refreshedVersion="8" background="1" saveData="1">
    <dbPr connection="Provider=Microsoft.Mashup.OleDb.1;Data Source=$Workbook$;Location=balance_sheet_quarter;Extended Properties=&quot;&quot;" command="SELECT * FROM [balance_sheet_quarter]"/>
  </connection>
  <connection id="3" xr16:uid="{075CCE64-6B9F-4CB4-BC19-BB845C74D3CF}" keepAlive="1" name="Query - cash_flow_annual" description="Connection to the 'cash_flow_annual' query in the workbook." type="5" refreshedVersion="8" background="1" saveData="1">
    <dbPr connection="Provider=Microsoft.Mashup.OleDb.1;Data Source=$Workbook$;Location=cash_flow_annual;Extended Properties=&quot;&quot;" command="SELECT * FROM [cash_flow_annual]"/>
  </connection>
  <connection id="4" xr16:uid="{F9746904-5107-47B2-AE0A-A0A8A971736F}" keepAlive="1" name="Query - cash_flow_quarter" description="Connection to the 'cash_flow_quarter' query in the workbook." type="5" refreshedVersion="8" background="1" saveData="1">
    <dbPr connection="Provider=Microsoft.Mashup.OleDb.1;Data Source=$Workbook$;Location=cash_flow_quarter;Extended Properties=&quot;&quot;" command="SELECT * FROM [cash_flow_quarter]"/>
  </connection>
  <connection id="5" xr16:uid="{08433FCF-BDFE-405F-94F3-3FFC1DD40CC5}" keepAlive="1" name="Query - income_statement_annual" description="Connection to the 'income_statement_annual' query in the workbook." type="5" refreshedVersion="8" background="1" saveData="1">
    <dbPr connection="Provider=Microsoft.Mashup.OleDb.1;Data Source=$Workbook$;Location=income_statement_annual;Extended Properties=&quot;&quot;" command="SELECT * FROM [income_statement_annual]"/>
  </connection>
  <connection id="6" xr16:uid="{7E42D5B8-19CA-418F-AD3D-0E5400AC7946}" keepAlive="1" name="Query - income_statement_quarter" description="Connection to the 'income_statement_quarter' query in the workbook." type="5" refreshedVersion="8" background="1" saveData="1">
    <dbPr connection="Provider=Microsoft.Mashup.OleDb.1;Data Source=$Workbook$;Location=income_statement_quarter;Extended Properties=&quot;&quot;" command="SELECT * FROM [income_statement_quarter]"/>
  </connection>
</connections>
</file>

<file path=xl/sharedStrings.xml><?xml version="1.0" encoding="utf-8"?>
<sst xmlns="http://schemas.openxmlformats.org/spreadsheetml/2006/main" count="10515" uniqueCount="1981">
  <si>
    <t>Company Name</t>
  </si>
  <si>
    <t>Balance_Sheet_Annual</t>
  </si>
  <si>
    <t>2020</t>
  </si>
  <si>
    <t>2021</t>
  </si>
  <si>
    <t>2022</t>
  </si>
  <si>
    <t>2023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</si>
  <si>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</si>
  <si>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</si>
  <si>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</si>
  <si>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</si>
  <si>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</si>
  <si>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</si>
  <si>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</si>
  <si>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</si>
  <si>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</si>
  <si>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</si>
  <si>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</si>
  <si>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</si>
  <si>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</si>
  <si>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</si>
  <si>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</si>
  <si>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</si>
  <si>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</si>
  <si>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</si>
  <si>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</si>
  <si>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</si>
  <si>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</si>
  <si>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</si>
  <si>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</si>
  <si>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</si>
  <si>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</si>
  <si>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</si>
  <si>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</si>
  <si>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</si>
  <si>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</si>
  <si>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</si>
  <si>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</si>
  <si>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</si>
  <si>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</si>
  <si>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</si>
  <si>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</si>
  <si>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</si>
  <si>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</si>
  <si>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</si>
  <si>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</si>
  <si>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</si>
  <si>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</si>
  <si>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</si>
  <si>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</si>
  <si>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</si>
  <si>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</si>
  <si>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</si>
  <si>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</si>
  <si>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</si>
  <si>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</si>
  <si>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</si>
  <si>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</si>
  <si>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</si>
  <si>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</si>
  <si>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</si>
  <si>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</si>
  <si>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</si>
  <si>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</si>
  <si>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</si>
  <si>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</si>
  <si>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</si>
  <si>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</si>
  <si>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</si>
  <si>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</si>
  <si>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</si>
  <si>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</si>
  <si>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</si>
  <si>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</si>
  <si>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</si>
  <si>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</si>
  <si>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</si>
  <si>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</si>
  <si>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</si>
  <si>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</si>
  <si>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</si>
  <si>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</si>
  <si>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</si>
  <si>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</si>
  <si>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</si>
  <si>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</si>
  <si>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</si>
  <si>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</si>
  <si>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</si>
  <si>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</si>
  <si>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</si>
  <si>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</si>
  <si>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</si>
  <si>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</si>
  <si>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</si>
  <si>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</si>
  <si>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</si>
  <si>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</si>
  <si>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</si>
  <si>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</si>
  <si>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</si>
  <si>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</si>
  <si>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</si>
  <si>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</si>
  <si>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</si>
  <si>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</si>
  <si>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</si>
  <si>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</si>
  <si>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</si>
  <si>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</si>
  <si>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</si>
  <si>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</si>
  <si>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</si>
  <si>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</si>
  <si>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</si>
  <si>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</si>
  <si>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</si>
  <si>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</si>
  <si>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</si>
  <si>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</si>
  <si>
    <t>ACB</t>
  </si>
  <si>
    <t>BAB</t>
  </si>
  <si>
    <t>BID</t>
  </si>
  <si>
    <t>CTG</t>
  </si>
  <si>
    <t>EIB</t>
  </si>
  <si>
    <t>HDB</t>
  </si>
  <si>
    <t>MBB</t>
  </si>
  <si>
    <t>MSB</t>
  </si>
  <si>
    <t>NVB</t>
  </si>
  <si>
    <t>OCB</t>
  </si>
  <si>
    <t>SHB</t>
  </si>
  <si>
    <t>SSB</t>
  </si>
  <si>
    <t>STB</t>
  </si>
  <si>
    <t>TCB</t>
  </si>
  <si>
    <t>TPB</t>
  </si>
  <si>
    <t>VCB</t>
  </si>
  <si>
    <t>VIB</t>
  </si>
  <si>
    <t>VPB</t>
  </si>
  <si>
    <t>Tên Công ty</t>
  </si>
  <si>
    <t>Thông tin</t>
  </si>
  <si>
    <t>Balance_Sheet_Quarter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</si>
  <si>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</si>
  <si>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</si>
  <si>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</si>
  <si>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</si>
  <si>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</si>
  <si>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</si>
  <si>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</si>
  <si>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</si>
  <si>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</si>
  <si>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</si>
  <si>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</si>
  <si>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</si>
  <si>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Cash_Flow_Annual</t>
  </si>
  <si>
    <t>I. Lưu chuyển tiền từ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</si>
  <si>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</si>
  <si>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</si>
  <si>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</si>
  <si>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</si>
  <si>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</si>
  <si>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</si>
  <si>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</si>
  <si>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</si>
  <si>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</si>
  <si>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</si>
  <si>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</si>
  <si>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</si>
  <si>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3.Tiền thu từ đi vay</t>
  </si>
  <si>
    <t>4.Tiền chi trả nợ gốc vay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</si>
  <si>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</si>
  <si>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</si>
  <si>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</si>
  <si>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</si>
  <si>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</si>
  <si>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</si>
  <si>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</si>
  <si>
    <t>Income_Statement_Annual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</si>
  <si>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</si>
  <si>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</si>
  <si>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</si>
  <si>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</si>
  <si>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</si>
  <si>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</si>
  <si>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</si>
  <si>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</si>
  <si>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</si>
  <si>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</si>
  <si>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</si>
  <si>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</si>
  <si>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</si>
  <si>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</si>
  <si>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</si>
  <si>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</si>
  <si>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</si>
  <si>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</si>
  <si>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</si>
  <si>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</si>
  <si>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</si>
  <si>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</si>
  <si>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</si>
  <si>
    <t>2023_q3</t>
  </si>
  <si>
    <t>2023_q4</t>
  </si>
  <si>
    <t>2024_q1</t>
  </si>
  <si>
    <t>2024_q2</t>
  </si>
  <si>
    <t>Cash_Flow_Quarter</t>
  </si>
  <si>
    <t>Income_Statement_Quarter</t>
  </si>
  <si>
    <t>Ngày</t>
  </si>
  <si>
    <t>Lần cuối</t>
  </si>
  <si>
    <t>Mở</t>
  </si>
  <si>
    <t>Cao</t>
  </si>
  <si>
    <t>Thấp</t>
  </si>
  <si>
    <t>KL</t>
  </si>
  <si>
    <t>% Thay đổi</t>
  </si>
  <si>
    <t>20/10/2024</t>
  </si>
  <si>
    <t>13/10/2024</t>
  </si>
  <si>
    <t>3.42B</t>
  </si>
  <si>
    <t>3.15B</t>
  </si>
  <si>
    <t>29/09/2024</t>
  </si>
  <si>
    <t>4.16B</t>
  </si>
  <si>
    <t>22/09/2024</t>
  </si>
  <si>
    <t>4.28B</t>
  </si>
  <si>
    <t>15/09/2024</t>
  </si>
  <si>
    <t>3.55B</t>
  </si>
  <si>
    <t>2.69B</t>
  </si>
  <si>
    <t>1.95B</t>
  </si>
  <si>
    <t>25/08/2024</t>
  </si>
  <si>
    <t>3.36B</t>
  </si>
  <si>
    <t>18/08/2024</t>
  </si>
  <si>
    <t>3.76B</t>
  </si>
  <si>
    <t>3.06B</t>
  </si>
  <si>
    <t>3.70B</t>
  </si>
  <si>
    <t>28/07/2024</t>
  </si>
  <si>
    <t>3.49B</t>
  </si>
  <si>
    <t>21/07/2024</t>
  </si>
  <si>
    <t>3.34B</t>
  </si>
  <si>
    <t>14/07/2024</t>
  </si>
  <si>
    <t>4.01M</t>
  </si>
  <si>
    <t>3.64M</t>
  </si>
  <si>
    <t>30/06/2024</t>
  </si>
  <si>
    <t>2.75M</t>
  </si>
  <si>
    <t>23/06/2024</t>
  </si>
  <si>
    <t>4.40M</t>
  </si>
  <si>
    <t>16/06/2024</t>
  </si>
  <si>
    <t>4.48M</t>
  </si>
  <si>
    <t>4.75M</t>
  </si>
  <si>
    <t>4.50M</t>
  </si>
  <si>
    <t>26/05/2024</t>
  </si>
  <si>
    <t>4.49M</t>
  </si>
  <si>
    <t>19/05/2024</t>
  </si>
  <si>
    <t>5.61M</t>
  </si>
  <si>
    <t>4.08M</t>
  </si>
  <si>
    <t>3.99M</t>
  </si>
  <si>
    <t>28/04/2024</t>
  </si>
  <si>
    <t>1.21M</t>
  </si>
  <si>
    <t>21/04/2024</t>
  </si>
  <si>
    <t>3.50M</t>
  </si>
  <si>
    <t>14/04/2024</t>
  </si>
  <si>
    <t>4.74M</t>
  </si>
  <si>
    <t>3.93M</t>
  </si>
  <si>
    <t>31/03/2024</t>
  </si>
  <si>
    <t>5.19M</t>
  </si>
  <si>
    <t>24/03/2024</t>
  </si>
  <si>
    <t>5.04M</t>
  </si>
  <si>
    <t>17/03/2024</t>
  </si>
  <si>
    <t>6.17M</t>
  </si>
  <si>
    <t>4.92M</t>
  </si>
  <si>
    <t>5.62M</t>
  </si>
  <si>
    <t>25/02/2024</t>
  </si>
  <si>
    <t>4.90M</t>
  </si>
  <si>
    <t>18/02/2024</t>
  </si>
  <si>
    <t>5.21M</t>
  </si>
  <si>
    <t>1.69M</t>
  </si>
  <si>
    <t>2.18M</t>
  </si>
  <si>
    <t>28/01/2024</t>
  </si>
  <si>
    <t>21/01/2024</t>
  </si>
  <si>
    <t>3.42M</t>
  </si>
  <si>
    <t>14/01/2024</t>
  </si>
  <si>
    <t>3.26M</t>
  </si>
  <si>
    <t>4.72M</t>
  </si>
  <si>
    <t>31/12/2023</t>
  </si>
  <si>
    <t>3.55M</t>
  </si>
  <si>
    <t>24/12/2023</t>
  </si>
  <si>
    <t>3.51M</t>
  </si>
  <si>
    <t>17/12/2023</t>
  </si>
  <si>
    <t>3.04M</t>
  </si>
  <si>
    <t>3.62M</t>
  </si>
  <si>
    <t>4.95M</t>
  </si>
  <si>
    <t>26/11/2023</t>
  </si>
  <si>
    <t>3.22M</t>
  </si>
  <si>
    <t>19/11/2023</t>
  </si>
  <si>
    <t>4.36M</t>
  </si>
  <si>
    <t>29/10/2023</t>
  </si>
  <si>
    <t>22/10/2023</t>
  </si>
  <si>
    <t>3.48M</t>
  </si>
  <si>
    <t>15/10/2023</t>
  </si>
  <si>
    <t>3.63M</t>
  </si>
  <si>
    <t>3.09M</t>
  </si>
  <si>
    <t>24/09/2023</t>
  </si>
  <si>
    <t>4.26M</t>
  </si>
  <si>
    <t>17/09/2023</t>
  </si>
  <si>
    <t>5.08M</t>
  </si>
  <si>
    <t>5.77M</t>
  </si>
  <si>
    <t>4.44M</t>
  </si>
  <si>
    <t>27/08/2023</t>
  </si>
  <si>
    <t>3.73M</t>
  </si>
  <si>
    <t>20/08/2023</t>
  </si>
  <si>
    <t>4.63M</t>
  </si>
  <si>
    <t>13/08/2023</t>
  </si>
  <si>
    <t>5.76M</t>
  </si>
  <si>
    <t>5.60M</t>
  </si>
  <si>
    <t>30/07/2023</t>
  </si>
  <si>
    <t>5.59M</t>
  </si>
  <si>
    <t>23/07/2023</t>
  </si>
  <si>
    <t>5.23M</t>
  </si>
  <si>
    <t>16/07/2023</t>
  </si>
  <si>
    <t>4.43M</t>
  </si>
  <si>
    <t>4.45M</t>
  </si>
  <si>
    <t>3.79M</t>
  </si>
  <si>
    <t>25/06/2023</t>
  </si>
  <si>
    <t>4.18M</t>
  </si>
  <si>
    <t>18/06/2023</t>
  </si>
  <si>
    <t>4.21M</t>
  </si>
  <si>
    <t>4.55M</t>
  </si>
  <si>
    <t>5.02M</t>
  </si>
  <si>
    <t>28/05/2023</t>
  </si>
  <si>
    <t>4.59M</t>
  </si>
  <si>
    <t>21/05/2023</t>
  </si>
  <si>
    <t>3.54M</t>
  </si>
  <si>
    <t>14/05/2023</t>
  </si>
  <si>
    <t>3.76M</t>
  </si>
  <si>
    <t>3.37M</t>
  </si>
  <si>
    <t>30/04/2023</t>
  </si>
  <si>
    <t>1.17M</t>
  </si>
  <si>
    <t>23/04/2023</t>
  </si>
  <si>
    <t>2.80M</t>
  </si>
  <si>
    <t>16/04/2023</t>
  </si>
  <si>
    <t>2.49M</t>
  </si>
  <si>
    <t>3.74M</t>
  </si>
  <si>
    <t>4.06M</t>
  </si>
  <si>
    <t>26/03/2023</t>
  </si>
  <si>
    <t>2.94M</t>
  </si>
  <si>
    <t>19/03/2023</t>
  </si>
  <si>
    <t>2.51M</t>
  </si>
  <si>
    <t>2.97M</t>
  </si>
  <si>
    <t>2.52M</t>
  </si>
  <si>
    <t>26/02/2023</t>
  </si>
  <si>
    <t>2.37M</t>
  </si>
  <si>
    <t>19/02/2023</t>
  </si>
  <si>
    <t>2.60M</t>
  </si>
  <si>
    <t>2.71M</t>
  </si>
  <si>
    <t>29/01/2023</t>
  </si>
  <si>
    <t>3.78M</t>
  </si>
  <si>
    <t>22/01/2023</t>
  </si>
  <si>
    <t>604.93K</t>
  </si>
  <si>
    <t>15/01/2023</t>
  </si>
  <si>
    <t>2.42M</t>
  </si>
  <si>
    <t>2.74M</t>
  </si>
  <si>
    <t>2.43M</t>
  </si>
  <si>
    <t>25/12/2022</t>
  </si>
  <si>
    <t>2.68M</t>
  </si>
  <si>
    <t>18/12/2022</t>
  </si>
  <si>
    <t>4.11M</t>
  </si>
  <si>
    <t>5.37M</t>
  </si>
  <si>
    <t>27/11/2022</t>
  </si>
  <si>
    <t>5.74M</t>
  </si>
  <si>
    <t>20/11/2022</t>
  </si>
  <si>
    <t>3.36M</t>
  </si>
  <si>
    <t>13/11/2022</t>
  </si>
  <si>
    <t>4.09M</t>
  </si>
  <si>
    <t>3.33M</t>
  </si>
  <si>
    <t>30/10/2022</t>
  </si>
  <si>
    <t>3.05M</t>
  </si>
  <si>
    <t>23/10/2022</t>
  </si>
  <si>
    <t>3.16M</t>
  </si>
  <si>
    <t>16/10/2022</t>
  </si>
  <si>
    <t>2.55M</t>
  </si>
  <si>
    <t>3.10M</t>
  </si>
  <si>
    <t>3.01M</t>
  </si>
  <si>
    <t>25/09/2022</t>
  </si>
  <si>
    <t>18/09/2022</t>
  </si>
  <si>
    <t>2.53M</t>
  </si>
  <si>
    <t>3.14M</t>
  </si>
  <si>
    <t>28/08/2022</t>
  </si>
  <si>
    <t>1.87M</t>
  </si>
  <si>
    <t>21/08/2022</t>
  </si>
  <si>
    <t>3.08M</t>
  </si>
  <si>
    <t>14/08/2022</t>
  </si>
  <si>
    <t>3.17M</t>
  </si>
  <si>
    <t>3.43M</t>
  </si>
  <si>
    <t>31/07/2022</t>
  </si>
  <si>
    <t>24/07/2022</t>
  </si>
  <si>
    <t>2.58M</t>
  </si>
  <si>
    <t>17/07/2022</t>
  </si>
  <si>
    <t>2.77M</t>
  </si>
  <si>
    <t>2.50M</t>
  </si>
  <si>
    <t>26/06/2022</t>
  </si>
  <si>
    <t>2.72M</t>
  </si>
  <si>
    <t>19/06/2022</t>
  </si>
  <si>
    <t>2.88M</t>
  </si>
  <si>
    <t>3.28M</t>
  </si>
  <si>
    <t>2.91M</t>
  </si>
  <si>
    <t>29/05/2022</t>
  </si>
  <si>
    <t>22/05/2022</t>
  </si>
  <si>
    <t>2.89M</t>
  </si>
  <si>
    <t>15/05/2022</t>
  </si>
  <si>
    <t>3.13M</t>
  </si>
  <si>
    <t>1.62M</t>
  </si>
  <si>
    <t>24/04/2022</t>
  </si>
  <si>
    <t>17/04/2022</t>
  </si>
  <si>
    <t>3.86M</t>
  </si>
  <si>
    <t>2.54M</t>
  </si>
  <si>
    <t>27/03/2022</t>
  </si>
  <si>
    <t>20/03/2022</t>
  </si>
  <si>
    <t>4.15M</t>
  </si>
  <si>
    <t>13/03/2022</t>
  </si>
  <si>
    <t>3.67M</t>
  </si>
  <si>
    <t>27/02/2022</t>
  </si>
  <si>
    <t>4.37M</t>
  </si>
  <si>
    <t>20/02/2022</t>
  </si>
  <si>
    <t>4.32M</t>
  </si>
  <si>
    <t>13/02/2022</t>
  </si>
  <si>
    <t>30/01/2022</t>
  </si>
  <si>
    <t>23/01/2022</t>
  </si>
  <si>
    <t>3.66M</t>
  </si>
  <si>
    <t>16/01/2022</t>
  </si>
  <si>
    <t>3.96M</t>
  </si>
  <si>
    <t>5.54M</t>
  </si>
  <si>
    <t>26/12/2021</t>
  </si>
  <si>
    <t>4.22M</t>
  </si>
  <si>
    <t>19/12/2021</t>
  </si>
  <si>
    <t>4.78M</t>
  </si>
  <si>
    <t>4.03M</t>
  </si>
  <si>
    <t>28/11/2021</t>
  </si>
  <si>
    <t>4.83M</t>
  </si>
  <si>
    <t>21/11/2021</t>
  </si>
  <si>
    <t>5.34M</t>
  </si>
  <si>
    <t>14/11/2021</t>
  </si>
  <si>
    <t>5.87M</t>
  </si>
  <si>
    <t>5.31M</t>
  </si>
  <si>
    <t>31/10/2021</t>
  </si>
  <si>
    <t>5.45M</t>
  </si>
  <si>
    <t>24/10/2021</t>
  </si>
  <si>
    <t>17/10/2021</t>
  </si>
  <si>
    <t>3.34M</t>
  </si>
  <si>
    <t>26/09/2021</t>
  </si>
  <si>
    <t>3.18M</t>
  </si>
  <si>
    <t>19/09/2021</t>
  </si>
  <si>
    <t>3.65M</t>
  </si>
  <si>
    <t>3.68M</t>
  </si>
  <si>
    <t>29/08/2021</t>
  </si>
  <si>
    <t>2.13M</t>
  </si>
  <si>
    <t>22/08/2021</t>
  </si>
  <si>
    <t>3.24M</t>
  </si>
  <si>
    <t>15/08/2021</t>
  </si>
  <si>
    <t>3.70M</t>
  </si>
  <si>
    <t>3.29M</t>
  </si>
  <si>
    <t>25/07/2021</t>
  </si>
  <si>
    <t>2.62M</t>
  </si>
  <si>
    <t>18/07/2021</t>
  </si>
  <si>
    <t>2.87M</t>
  </si>
  <si>
    <t>3.52M</t>
  </si>
  <si>
    <t>27/06/2021</t>
  </si>
  <si>
    <t>3.40M</t>
  </si>
  <si>
    <t>20/06/2021</t>
  </si>
  <si>
    <t>13/06/2021</t>
  </si>
  <si>
    <t>3.85M</t>
  </si>
  <si>
    <t>30/05/2021</t>
  </si>
  <si>
    <t>23/05/2021</t>
  </si>
  <si>
    <t>3.61M</t>
  </si>
  <si>
    <t>16/05/2021</t>
  </si>
  <si>
    <t>3.59M</t>
  </si>
  <si>
    <t>3.69M</t>
  </si>
  <si>
    <t>3.06M</t>
  </si>
  <si>
    <t>25/04/2021</t>
  </si>
  <si>
    <t>18/04/2021</t>
  </si>
  <si>
    <t>3.15M</t>
  </si>
  <si>
    <t>4.57M</t>
  </si>
  <si>
    <t>28/03/2021</t>
  </si>
  <si>
    <t>21/03/2021</t>
  </si>
  <si>
    <t>14/03/2021</t>
  </si>
  <si>
    <t>3.27M</t>
  </si>
  <si>
    <t>28/02/2021</t>
  </si>
  <si>
    <t>3.12M</t>
  </si>
  <si>
    <t>21/02/2021</t>
  </si>
  <si>
    <t>2.90M</t>
  </si>
  <si>
    <t>14/02/2021</t>
  </si>
  <si>
    <t>1.76M</t>
  </si>
  <si>
    <t>1.22M</t>
  </si>
  <si>
    <t>31/01/2021</t>
  </si>
  <si>
    <t>2.99M</t>
  </si>
  <si>
    <t>24/01/2021</t>
  </si>
  <si>
    <t>3.84M</t>
  </si>
  <si>
    <t>17/01/2021</t>
  </si>
  <si>
    <t>4.05M</t>
  </si>
  <si>
    <t>3.95M</t>
  </si>
  <si>
    <t>3.89M</t>
  </si>
  <si>
    <t>27/12/2020</t>
  </si>
  <si>
    <t>2.61M</t>
  </si>
  <si>
    <t>20/12/2020</t>
  </si>
  <si>
    <t>13/12/2020</t>
  </si>
  <si>
    <t>29/11/2020</t>
  </si>
  <si>
    <t>22/11/2020</t>
  </si>
  <si>
    <t>2.46M</t>
  </si>
  <si>
    <t>15/11/2020</t>
  </si>
  <si>
    <t>2.40M</t>
  </si>
  <si>
    <t>2.03M</t>
  </si>
  <si>
    <t>1.54M</t>
  </si>
  <si>
    <t>25/10/2020</t>
  </si>
  <si>
    <t>2.09M</t>
  </si>
  <si>
    <t>18/10/2020</t>
  </si>
  <si>
    <t>2.06M</t>
  </si>
  <si>
    <t>2.21M</t>
  </si>
  <si>
    <t>2.33M</t>
  </si>
  <si>
    <t>27/09/2020</t>
  </si>
  <si>
    <t>2.11M</t>
  </si>
  <si>
    <t>20/09/2020</t>
  </si>
  <si>
    <t>1.96M</t>
  </si>
  <si>
    <t>13/09/2020</t>
  </si>
  <si>
    <t>1.79M</t>
  </si>
  <si>
    <t>1.74M</t>
  </si>
  <si>
    <t>30/08/2020</t>
  </si>
  <si>
    <t>1.39M</t>
  </si>
  <si>
    <t>23/08/2020</t>
  </si>
  <si>
    <t>1.86M</t>
  </si>
  <si>
    <t>16/08/2020</t>
  </si>
  <si>
    <t>1.28M</t>
  </si>
  <si>
    <t>1.40M</t>
  </si>
  <si>
    <t>26/07/2020</t>
  </si>
  <si>
    <t>1.55M</t>
  </si>
  <si>
    <t>19/07/2020</t>
  </si>
  <si>
    <t>1.26M</t>
  </si>
  <si>
    <t>1.38M</t>
  </si>
  <si>
    <t>28/06/2020</t>
  </si>
  <si>
    <t>1.48M</t>
  </si>
  <si>
    <t>21/06/2020</t>
  </si>
  <si>
    <t>14/06/2020</t>
  </si>
  <si>
    <t>2.20M</t>
  </si>
  <si>
    <t>31/05/2020</t>
  </si>
  <si>
    <t>2.24M</t>
  </si>
  <si>
    <t>24/05/2020</t>
  </si>
  <si>
    <t>1.66M</t>
  </si>
  <si>
    <t>17/05/2020</t>
  </si>
  <si>
    <t>26/04/2020</t>
  </si>
  <si>
    <t>776.84K</t>
  </si>
  <si>
    <t>19/04/2020</t>
  </si>
  <si>
    <t>1.45M</t>
  </si>
  <si>
    <t>1.37M</t>
  </si>
  <si>
    <t>1.52M</t>
  </si>
  <si>
    <t>29/03/2020</t>
  </si>
  <si>
    <t>996.01K</t>
  </si>
  <si>
    <t>22/03/2020</t>
  </si>
  <si>
    <t>1.35M</t>
  </si>
  <si>
    <t>15/03/2020</t>
  </si>
  <si>
    <t>1.42M</t>
  </si>
  <si>
    <t>1.10M</t>
  </si>
  <si>
    <t>23/02/2020</t>
  </si>
  <si>
    <t>1.06M</t>
  </si>
  <si>
    <t>16/02/2020</t>
  </si>
  <si>
    <t>968.27K</t>
  </si>
  <si>
    <t>943.44K</t>
  </si>
  <si>
    <t>1.09M</t>
  </si>
  <si>
    <t>26/01/2020</t>
  </si>
  <si>
    <t>452.46K</t>
  </si>
  <si>
    <t>19/01/2020</t>
  </si>
  <si>
    <t>458.82K</t>
  </si>
  <si>
    <t>852.93K</t>
  </si>
  <si>
    <t>1.08M</t>
  </si>
  <si>
    <t>29/12/2019</t>
  </si>
  <si>
    <t>737.72K</t>
  </si>
  <si>
    <t>22/12/2019</t>
  </si>
  <si>
    <t>1.16M</t>
  </si>
  <si>
    <t>15/12/2019</t>
  </si>
  <si>
    <t>1.05M</t>
  </si>
  <si>
    <t>24/11/2019</t>
  </si>
  <si>
    <t>938.31K</t>
  </si>
  <si>
    <t>17/11/2019</t>
  </si>
  <si>
    <t>1.07M</t>
  </si>
  <si>
    <t>1.14M</t>
  </si>
  <si>
    <t>1.03M</t>
  </si>
  <si>
    <t>27/10/2019</t>
  </si>
  <si>
    <t>20/10/2019</t>
  </si>
  <si>
    <t>944.51K</t>
  </si>
  <si>
    <t>13/10/2019</t>
  </si>
  <si>
    <t>928.05K</t>
  </si>
  <si>
    <t>891.40K</t>
  </si>
  <si>
    <t>29/09/2019</t>
  </si>
  <si>
    <t>910.38K</t>
  </si>
  <si>
    <t>22/09/2019</t>
  </si>
  <si>
    <t>877.41K</t>
  </si>
  <si>
    <t>15/09/2019</t>
  </si>
  <si>
    <t>1.00M</t>
  </si>
  <si>
    <t>801.85K</t>
  </si>
  <si>
    <t>664.57K</t>
  </si>
  <si>
    <t>25/08/2019</t>
  </si>
  <si>
    <t>818.37K</t>
  </si>
  <si>
    <t>18/08/2019</t>
  </si>
  <si>
    <t>853.15K</t>
  </si>
  <si>
    <t>888.46K</t>
  </si>
  <si>
    <t>1.04M</t>
  </si>
  <si>
    <t>28/07/2019</t>
  </si>
  <si>
    <t>884.47K</t>
  </si>
  <si>
    <t>21/07/2019</t>
  </si>
  <si>
    <t>843.04K</t>
  </si>
  <si>
    <t>14/07/2019</t>
  </si>
  <si>
    <t>805.35K</t>
  </si>
  <si>
    <t>808.89K</t>
  </si>
  <si>
    <t>30/06/2019</t>
  </si>
  <si>
    <t>769.07K</t>
  </si>
  <si>
    <t>23/06/2019</t>
  </si>
  <si>
    <t>908.62K</t>
  </si>
  <si>
    <t>16/06/2019</t>
  </si>
  <si>
    <t>880.30K</t>
  </si>
  <si>
    <t>728.08K</t>
  </si>
  <si>
    <t>752.57K</t>
  </si>
  <si>
    <t>26/05/2019</t>
  </si>
  <si>
    <t>729.29K</t>
  </si>
  <si>
    <t>19/05/2019</t>
  </si>
  <si>
    <t>863.11K</t>
  </si>
  <si>
    <t>884.37K</t>
  </si>
  <si>
    <t>756.72K</t>
  </si>
  <si>
    <t>28/04/2019</t>
  </si>
  <si>
    <t>300.73K</t>
  </si>
  <si>
    <t>21/04/2019</t>
  </si>
  <si>
    <t>772.96K</t>
  </si>
  <si>
    <t>14/04/2019</t>
  </si>
  <si>
    <t>604.11K</t>
  </si>
  <si>
    <t>772.10K</t>
  </si>
  <si>
    <t>31/03/2019</t>
  </si>
  <si>
    <t>996.17K</t>
  </si>
  <si>
    <t>24/03/2019</t>
  </si>
  <si>
    <t>972.12K</t>
  </si>
  <si>
    <t>17/03/2019</t>
  </si>
  <si>
    <t>1.20M</t>
  </si>
  <si>
    <t>24/02/2019</t>
  </si>
  <si>
    <t>1.13M</t>
  </si>
  <si>
    <t>17/02/2019</t>
  </si>
  <si>
    <t>991.71K</t>
  </si>
  <si>
    <t>870.08K</t>
  </si>
  <si>
    <t>27/01/2019</t>
  </si>
  <si>
    <t>673.01K</t>
  </si>
  <si>
    <t>20/01/2019</t>
  </si>
  <si>
    <t>674.81K</t>
  </si>
  <si>
    <t>13/01/2019</t>
  </si>
  <si>
    <t>709.96K</t>
  </si>
  <si>
    <t>662.89K</t>
  </si>
  <si>
    <t>30/12/2018</t>
  </si>
  <si>
    <t>404.66K</t>
  </si>
  <si>
    <t>23/12/2018</t>
  </si>
  <si>
    <t>876.10K</t>
  </si>
  <si>
    <t>16/12/2018</t>
  </si>
  <si>
    <t>962.99K</t>
  </si>
  <si>
    <t>988.59K</t>
  </si>
  <si>
    <t>1.02M</t>
  </si>
  <si>
    <t>25/11/2018</t>
  </si>
  <si>
    <t>698.14K</t>
  </si>
  <si>
    <t>18/11/2018</t>
  </si>
  <si>
    <t>755.42K</t>
  </si>
  <si>
    <t>764.04K</t>
  </si>
  <si>
    <t>713.64K</t>
  </si>
  <si>
    <t>28/10/2018</t>
  </si>
  <si>
    <t>894.06K</t>
  </si>
  <si>
    <t>21/10/2018</t>
  </si>
  <si>
    <t>834.93K</t>
  </si>
  <si>
    <t>14/10/2018</t>
  </si>
  <si>
    <t>744.74K</t>
  </si>
  <si>
    <t>1.18M</t>
  </si>
  <si>
    <t>30/09/2018</t>
  </si>
  <si>
    <t>1.27M</t>
  </si>
  <si>
    <t>23/09/2018</t>
  </si>
  <si>
    <t>16/09/2018</t>
  </si>
  <si>
    <t>1.11M</t>
  </si>
  <si>
    <t>919.03K</t>
  </si>
  <si>
    <t>697.24K</t>
  </si>
  <si>
    <t>26/08/2018</t>
  </si>
  <si>
    <t>915.91K</t>
  </si>
  <si>
    <t>19/08/2018</t>
  </si>
  <si>
    <t>912.44K</t>
  </si>
  <si>
    <t>904.56K</t>
  </si>
  <si>
    <t>899.85K</t>
  </si>
  <si>
    <t>29/07/2018</t>
  </si>
  <si>
    <t>22/07/2018</t>
  </si>
  <si>
    <t>15/07/2018</t>
  </si>
  <si>
    <t>919.25K</t>
  </si>
  <si>
    <t>651.20K</t>
  </si>
  <si>
    <t>779.14K</t>
  </si>
  <si>
    <t>24/06/2018</t>
  </si>
  <si>
    <t>792.39K</t>
  </si>
  <si>
    <t>17/06/2018</t>
  </si>
  <si>
    <t>835.85K</t>
  </si>
  <si>
    <t>846.08K</t>
  </si>
  <si>
    <t>861.94K</t>
  </si>
  <si>
    <t>27/05/2018</t>
  </si>
  <si>
    <t>935.66K</t>
  </si>
  <si>
    <t>20/05/2018</t>
  </si>
  <si>
    <t>765.28K</t>
  </si>
  <si>
    <t>13/05/2018</t>
  </si>
  <si>
    <t>984.18K</t>
  </si>
  <si>
    <t>826.29K</t>
  </si>
  <si>
    <t>29/04/2018</t>
  </si>
  <si>
    <t>549.89K</t>
  </si>
  <si>
    <t>22/04/2018</t>
  </si>
  <si>
    <t>804.65K</t>
  </si>
  <si>
    <t>15/04/2018</t>
  </si>
  <si>
    <t>963.52K</t>
  </si>
  <si>
    <t>1.23M</t>
  </si>
  <si>
    <t>25/03/2018</t>
  </si>
  <si>
    <t>18/03/2018</t>
  </si>
  <si>
    <t>25/02/2018</t>
  </si>
  <si>
    <t>18/02/2018</t>
  </si>
  <si>
    <t>567.01K</t>
  </si>
  <si>
    <t>345.39K</t>
  </si>
  <si>
    <t>1.43M</t>
  </si>
  <si>
    <t>28/01/2018</t>
  </si>
  <si>
    <t>21/01/2018</t>
  </si>
  <si>
    <t>14/01/2018</t>
  </si>
  <si>
    <t>1.59M</t>
  </si>
  <si>
    <t>1.63M</t>
  </si>
  <si>
    <t>31/12/2017</t>
  </si>
  <si>
    <t>960.26K</t>
  </si>
  <si>
    <t>24/12/2017</t>
  </si>
  <si>
    <t>961.64K</t>
  </si>
  <si>
    <t>17/12/2017</t>
  </si>
  <si>
    <t>1.01M</t>
  </si>
  <si>
    <t>26/11/2017</t>
  </si>
  <si>
    <t>1.32M</t>
  </si>
  <si>
    <t>19/11/2017</t>
  </si>
  <si>
    <t>29/10/2017</t>
  </si>
  <si>
    <t>957.60K</t>
  </si>
  <si>
    <t>22/10/2017</t>
  </si>
  <si>
    <t>882.04K</t>
  </si>
  <si>
    <t>15/10/2017</t>
  </si>
  <si>
    <t>910.87K</t>
  </si>
  <si>
    <t>795.81K</t>
  </si>
  <si>
    <t>681.59K</t>
  </si>
  <si>
    <t>24/09/2017</t>
  </si>
  <si>
    <t>809.90K</t>
  </si>
  <si>
    <t>17/09/2017</t>
  </si>
  <si>
    <t>813.02K</t>
  </si>
  <si>
    <t>786.27K</t>
  </si>
  <si>
    <t>608.12K</t>
  </si>
  <si>
    <t>27/08/2017</t>
  </si>
  <si>
    <t>20/08/2017</t>
  </si>
  <si>
    <t>927.16K</t>
  </si>
  <si>
    <t>13/08/2017</t>
  </si>
  <si>
    <t>942.49K</t>
  </si>
  <si>
    <t>1.12M</t>
  </si>
  <si>
    <t>30/07/2017</t>
  </si>
  <si>
    <t>23/07/2017</t>
  </si>
  <si>
    <t>950.18K</t>
  </si>
  <si>
    <t>16/07/2017</t>
  </si>
  <si>
    <t>25/06/2017</t>
  </si>
  <si>
    <t>18/06/2017</t>
  </si>
  <si>
    <t>28/05/2017</t>
  </si>
  <si>
    <t>21/05/2017</t>
  </si>
  <si>
    <t>14/05/2017</t>
  </si>
  <si>
    <t>30/04/2017</t>
  </si>
  <si>
    <t>639.80K</t>
  </si>
  <si>
    <t>23/04/2017</t>
  </si>
  <si>
    <t>812.29K</t>
  </si>
  <si>
    <t>16/04/2017</t>
  </si>
  <si>
    <t>839.87K</t>
  </si>
  <si>
    <t>997.91K</t>
  </si>
  <si>
    <t>845.32K</t>
  </si>
  <si>
    <t>26/03/2017</t>
  </si>
  <si>
    <t>19/03/2017</t>
  </si>
  <si>
    <t>853.26K</t>
  </si>
  <si>
    <t>936.38K</t>
  </si>
  <si>
    <t>26/02/2017</t>
  </si>
  <si>
    <t>944.39K</t>
  </si>
  <si>
    <t>19/02/2017</t>
  </si>
  <si>
    <t>869.94K</t>
  </si>
  <si>
    <t>727.58K</t>
  </si>
  <si>
    <t>29/01/2017</t>
  </si>
  <si>
    <t>211.09K</t>
  </si>
  <si>
    <t>22/01/2017</t>
  </si>
  <si>
    <t>284.52K</t>
  </si>
  <si>
    <t>15/01/2017</t>
  </si>
  <si>
    <t>479.48K</t>
  </si>
  <si>
    <t>505.31K</t>
  </si>
  <si>
    <t>424.28K</t>
  </si>
  <si>
    <t>25/12/2016</t>
  </si>
  <si>
    <t>631.98K</t>
  </si>
  <si>
    <t>18/12/2016</t>
  </si>
  <si>
    <t>564.08K</t>
  </si>
  <si>
    <t>762.41K</t>
  </si>
  <si>
    <t>668.55K</t>
  </si>
  <si>
    <t>27/11/2016</t>
  </si>
  <si>
    <t>643.40K</t>
  </si>
  <si>
    <t>20/11/2016</t>
  </si>
  <si>
    <t>574.42K</t>
  </si>
  <si>
    <t>13/11/2016</t>
  </si>
  <si>
    <t>584.29K</t>
  </si>
  <si>
    <t>583.40K</t>
  </si>
  <si>
    <t>30/10/2016</t>
  </si>
  <si>
    <t>606.68K</t>
  </si>
  <si>
    <t>23/10/2016</t>
  </si>
  <si>
    <t>564.01K</t>
  </si>
  <si>
    <t>16/10/2016</t>
  </si>
  <si>
    <t>652.73K</t>
  </si>
  <si>
    <t>698.17K</t>
  </si>
  <si>
    <t>652.16K</t>
  </si>
  <si>
    <t>25/09/2016</t>
  </si>
  <si>
    <t>652.65K</t>
  </si>
  <si>
    <t>18/09/2016</t>
  </si>
  <si>
    <t>705.04K</t>
  </si>
  <si>
    <t>605.14K</t>
  </si>
  <si>
    <t>556.55K</t>
  </si>
  <si>
    <t>28/08/2016</t>
  </si>
  <si>
    <t>429.41K</t>
  </si>
  <si>
    <t>21/08/2016</t>
  </si>
  <si>
    <t>561.81K</t>
  </si>
  <si>
    <t>14/08/2016</t>
  </si>
  <si>
    <t>643.58K</t>
  </si>
  <si>
    <t>575.68K</t>
  </si>
  <si>
    <t>31/07/2016</t>
  </si>
  <si>
    <t>601.76K</t>
  </si>
  <si>
    <t>24/07/2016</t>
  </si>
  <si>
    <t>573.94K</t>
  </si>
  <si>
    <t>17/07/2016</t>
  </si>
  <si>
    <t>664.61K</t>
  </si>
  <si>
    <t>789.01K</t>
  </si>
  <si>
    <t>704.61K</t>
  </si>
  <si>
    <t>26/06/2016</t>
  </si>
  <si>
    <t>551.72K</t>
  </si>
  <si>
    <t>19/06/2016</t>
  </si>
  <si>
    <t>738.08K</t>
  </si>
  <si>
    <t>628.23K</t>
  </si>
  <si>
    <t>641.60K</t>
  </si>
  <si>
    <t>29/05/2016</t>
  </si>
  <si>
    <t>596.77K</t>
  </si>
  <si>
    <t>22/05/2016</t>
  </si>
  <si>
    <t>574.01K</t>
  </si>
  <si>
    <t>15/05/2016</t>
  </si>
  <si>
    <t>651.77K</t>
  </si>
  <si>
    <t>656.09K</t>
  </si>
  <si>
    <t>398.93K</t>
  </si>
  <si>
    <t>24/04/2016</t>
  </si>
  <si>
    <t>713.45K</t>
  </si>
  <si>
    <t>17/04/2016</t>
  </si>
  <si>
    <t>500.40K</t>
  </si>
  <si>
    <t>690.08K</t>
  </si>
  <si>
    <t>626.07K</t>
  </si>
  <si>
    <t>27/03/2016</t>
  </si>
  <si>
    <t>732.36K</t>
  </si>
  <si>
    <t>20/03/2016</t>
  </si>
  <si>
    <t>764.84K</t>
  </si>
  <si>
    <t>13/03/2016</t>
  </si>
  <si>
    <t>880.33K</t>
  </si>
  <si>
    <t>726.08K</t>
  </si>
  <si>
    <t>28/02/2016</t>
  </si>
  <si>
    <t>690.98K</t>
  </si>
  <si>
    <t>21/02/2016</t>
  </si>
  <si>
    <t>730.94K</t>
  </si>
  <si>
    <t>14/02/2016</t>
  </si>
  <si>
    <t>619.52K</t>
  </si>
  <si>
    <t>31/01/2016</t>
  </si>
  <si>
    <t>417.57K</t>
  </si>
  <si>
    <t>24/01/2016</t>
  </si>
  <si>
    <t>667.31K</t>
  </si>
  <si>
    <t>17/01/2016</t>
  </si>
  <si>
    <t>740.23K</t>
  </si>
  <si>
    <t>639.11K</t>
  </si>
  <si>
    <t>599.54K</t>
  </si>
  <si>
    <t>27/12/2015</t>
  </si>
  <si>
    <t>473.34K</t>
  </si>
  <si>
    <t>20/12/2015</t>
  </si>
  <si>
    <t>481.49K</t>
  </si>
  <si>
    <t>13/12/2015</t>
  </si>
  <si>
    <t>511.25K</t>
  </si>
  <si>
    <t>29/11/2015</t>
  </si>
  <si>
    <t>568.72K</t>
  </si>
  <si>
    <t>22/11/2015</t>
  </si>
  <si>
    <t>766.75K</t>
  </si>
  <si>
    <t>15/11/2015</t>
  </si>
  <si>
    <t>695.66K</t>
  </si>
  <si>
    <t>641.25K</t>
  </si>
  <si>
    <t>562.54K</t>
  </si>
  <si>
    <t>25/10/2015</t>
  </si>
  <si>
    <t>522.93K</t>
  </si>
  <si>
    <t>18/10/2015</t>
  </si>
  <si>
    <t>534.51K</t>
  </si>
  <si>
    <t>628.52K</t>
  </si>
  <si>
    <t>780.88K</t>
  </si>
  <si>
    <t>27/09/2015</t>
  </si>
  <si>
    <t>427.39K</t>
  </si>
  <si>
    <t>20/09/2015</t>
  </si>
  <si>
    <t>524.62K</t>
  </si>
  <si>
    <t>13/09/2015</t>
  </si>
  <si>
    <t>486.56K</t>
  </si>
  <si>
    <t>437.24K</t>
  </si>
  <si>
    <t>30/08/2015</t>
  </si>
  <si>
    <t>387.09K</t>
  </si>
  <si>
    <t>23/08/2015</t>
  </si>
  <si>
    <t>769.85K</t>
  </si>
  <si>
    <t>16/08/2015</t>
  </si>
  <si>
    <t>607.43K</t>
  </si>
  <si>
    <t>539.74K</t>
  </si>
  <si>
    <t>520.15K</t>
  </si>
  <si>
    <t>26/07/2015</t>
  </si>
  <si>
    <t>608.33K</t>
  </si>
  <si>
    <t>19/07/2015</t>
  </si>
  <si>
    <t>574.68K</t>
  </si>
  <si>
    <t>676.91K</t>
  </si>
  <si>
    <t>911.51K</t>
  </si>
  <si>
    <t>28/06/2015</t>
  </si>
  <si>
    <t>712.41K</t>
  </si>
  <si>
    <t>21/06/2015</t>
  </si>
  <si>
    <t>681.52K</t>
  </si>
  <si>
    <t>14/06/2015</t>
  </si>
  <si>
    <t>748.39K</t>
  </si>
  <si>
    <t>818.46K</t>
  </si>
  <si>
    <t>31/05/2015</t>
  </si>
  <si>
    <t>629.38K</t>
  </si>
  <si>
    <t>24/05/2015</t>
  </si>
  <si>
    <t>654.18K</t>
  </si>
  <si>
    <t>17/05/2015</t>
  </si>
  <si>
    <t>559.42K</t>
  </si>
  <si>
    <t>410.35K</t>
  </si>
  <si>
    <t>461.86K</t>
  </si>
  <si>
    <t>26/04/2015</t>
  </si>
  <si>
    <t>61.88K</t>
  </si>
  <si>
    <t>19/04/2015</t>
  </si>
  <si>
    <t>427.17K</t>
  </si>
  <si>
    <t>431.82K</t>
  </si>
  <si>
    <t>447.45K</t>
  </si>
  <si>
    <t>29/03/2015</t>
  </si>
  <si>
    <t>481.85K</t>
  </si>
  <si>
    <t>22/03/2015</t>
  </si>
  <si>
    <t>454.53K</t>
  </si>
  <si>
    <t>15/03/2015</t>
  </si>
  <si>
    <t>549.70K</t>
  </si>
  <si>
    <t>470.34K</t>
  </si>
  <si>
    <t>556.04K</t>
  </si>
  <si>
    <t>22/02/2015</t>
  </si>
  <si>
    <t>330.38K</t>
  </si>
  <si>
    <t>15/02/2015</t>
  </si>
  <si>
    <t>379.48K</t>
  </si>
  <si>
    <t>425.22K</t>
  </si>
  <si>
    <t>25/01/2015</t>
  </si>
  <si>
    <t>622.89K</t>
  </si>
  <si>
    <t>18/01/2015</t>
  </si>
  <si>
    <t>518.84K</t>
  </si>
  <si>
    <t>582.31K</t>
  </si>
  <si>
    <t>28/12/2014</t>
  </si>
  <si>
    <t>313.76K</t>
  </si>
  <si>
    <t>21/12/2014</t>
  </si>
  <si>
    <t>474.30K</t>
  </si>
  <si>
    <t>14/12/2014</t>
  </si>
  <si>
    <t>678.22K</t>
  </si>
  <si>
    <t>597.58K</t>
  </si>
  <si>
    <t>30/11/2014</t>
  </si>
  <si>
    <t>559.69K</t>
  </si>
  <si>
    <t>23/11/2014</t>
  </si>
  <si>
    <t>655.41K</t>
  </si>
  <si>
    <t>16/11/2014</t>
  </si>
  <si>
    <t>733.49K</t>
  </si>
  <si>
    <t>704.65K</t>
  </si>
  <si>
    <t>605.05K</t>
  </si>
  <si>
    <t>26/10/2014</t>
  </si>
  <si>
    <t>549.85K</t>
  </si>
  <si>
    <t>19/10/2014</t>
  </si>
  <si>
    <t>515.96K</t>
  </si>
  <si>
    <t>659.70K</t>
  </si>
  <si>
    <t>852.81K</t>
  </si>
  <si>
    <t>28/09/2014</t>
  </si>
  <si>
    <t>834.76K</t>
  </si>
  <si>
    <t>21/09/2014</t>
  </si>
  <si>
    <t>700.10K</t>
  </si>
  <si>
    <t>14/09/2014</t>
  </si>
  <si>
    <t>980.92K</t>
  </si>
  <si>
    <t>877.65K</t>
  </si>
  <si>
    <t>31/08/2014</t>
  </si>
  <si>
    <t>529.94K</t>
  </si>
  <si>
    <t>24/08/2014</t>
  </si>
  <si>
    <t>828.84K</t>
  </si>
  <si>
    <t>17/08/2014</t>
  </si>
  <si>
    <t>695.94K</t>
  </si>
  <si>
    <t>484.38K</t>
  </si>
  <si>
    <t>452.31K</t>
  </si>
  <si>
    <t>27/07/2014</t>
  </si>
  <si>
    <t>384.65K</t>
  </si>
  <si>
    <t>20/07/2014</t>
  </si>
  <si>
    <t>468.70K</t>
  </si>
  <si>
    <t>13/07/2014</t>
  </si>
  <si>
    <t>584.55K</t>
  </si>
  <si>
    <t>565.33K</t>
  </si>
  <si>
    <t>29/06/2014</t>
  </si>
  <si>
    <t>554.23K</t>
  </si>
  <si>
    <t>22/06/2014</t>
  </si>
  <si>
    <t>424.96K</t>
  </si>
  <si>
    <t>15/06/2014</t>
  </si>
  <si>
    <t>544.00K</t>
  </si>
  <si>
    <t>445.72K</t>
  </si>
  <si>
    <t>326.87K</t>
  </si>
  <si>
    <t>25/05/2014</t>
  </si>
  <si>
    <t>520.88K</t>
  </si>
  <si>
    <t>18/05/2014</t>
  </si>
  <si>
    <t>530.09K</t>
  </si>
  <si>
    <t>522.55K</t>
  </si>
  <si>
    <t>494.48K</t>
  </si>
  <si>
    <t>27/04/2014</t>
  </si>
  <si>
    <t>108.49K</t>
  </si>
  <si>
    <t>20/04/2014</t>
  </si>
  <si>
    <t>386.89K</t>
  </si>
  <si>
    <t>13/04/2014</t>
  </si>
  <si>
    <t>643.66K</t>
  </si>
  <si>
    <t>464.29K</t>
  </si>
  <si>
    <t>30/03/2014</t>
  </si>
  <si>
    <t>664.54K</t>
  </si>
  <si>
    <t>23/03/2014</t>
  </si>
  <si>
    <t>988.96K</t>
  </si>
  <si>
    <t>16/03/2014</t>
  </si>
  <si>
    <t>990.46K</t>
  </si>
  <si>
    <t>783.17K</t>
  </si>
  <si>
    <t>673.11K</t>
  </si>
  <si>
    <t>23/02/2014</t>
  </si>
  <si>
    <t>764.86K</t>
  </si>
  <si>
    <t>16/02/2014</t>
  </si>
  <si>
    <t>867.51K</t>
  </si>
  <si>
    <t>701.27K</t>
  </si>
  <si>
    <t>214.20K</t>
  </si>
  <si>
    <t>26/01/2014</t>
  </si>
  <si>
    <t>67.55K</t>
  </si>
  <si>
    <t>19/01/2014</t>
  </si>
  <si>
    <t>493.65K</t>
  </si>
  <si>
    <t>510.26K</t>
  </si>
  <si>
    <t>412.07K</t>
  </si>
  <si>
    <t>29/12/2013</t>
  </si>
  <si>
    <t>268.53K</t>
  </si>
  <si>
    <t>22/12/2013</t>
  </si>
  <si>
    <t>429.89K</t>
  </si>
  <si>
    <t>15/12/2013</t>
  </si>
  <si>
    <t>452.14K</t>
  </si>
  <si>
    <t>434.66K</t>
  </si>
  <si>
    <t>497.54K</t>
  </si>
  <si>
    <t>24/11/2013</t>
  </si>
  <si>
    <t>476.98K</t>
  </si>
  <si>
    <t>17/11/2013</t>
  </si>
  <si>
    <t>599.90K</t>
  </si>
  <si>
    <t>436.07K</t>
  </si>
  <si>
    <t>402.17K</t>
  </si>
  <si>
    <t>27/10/2013</t>
  </si>
  <si>
    <t>265.83K</t>
  </si>
  <si>
    <t>20/10/2013</t>
  </si>
  <si>
    <t>430.31K</t>
  </si>
  <si>
    <t>13/10/2013</t>
  </si>
  <si>
    <t>292.62K</t>
  </si>
  <si>
    <t>328.73K</t>
  </si>
  <si>
    <t>29/09/2013</t>
  </si>
  <si>
    <t>370.26K</t>
  </si>
  <si>
    <t>22/09/2013</t>
  </si>
  <si>
    <t>306.03K</t>
  </si>
  <si>
    <t>15/09/2013</t>
  </si>
  <si>
    <t>236.48K</t>
  </si>
  <si>
    <t>178.89K</t>
  </si>
  <si>
    <t>192.77K</t>
  </si>
  <si>
    <t>25/08/2013</t>
  </si>
  <si>
    <t>215.47K</t>
  </si>
  <si>
    <t>18/08/2013</t>
  </si>
  <si>
    <t>288.70K</t>
  </si>
  <si>
    <t>228.32K</t>
  </si>
  <si>
    <t>160.87K</t>
  </si>
  <si>
    <t>28/07/2013</t>
  </si>
  <si>
    <t>162.88K</t>
  </si>
  <si>
    <t>21/07/2013</t>
  </si>
  <si>
    <t>253.50K</t>
  </si>
  <si>
    <t>14/07/2013</t>
  </si>
  <si>
    <t>229.17K</t>
  </si>
  <si>
    <t>190.08K</t>
  </si>
  <si>
    <t>30/06/2013</t>
  </si>
  <si>
    <t>196.55K</t>
  </si>
  <si>
    <t>23/06/2013</t>
  </si>
  <si>
    <t>320.24K</t>
  </si>
  <si>
    <t>16/06/2013</t>
  </si>
  <si>
    <t>318.25K</t>
  </si>
  <si>
    <t>355.99K</t>
  </si>
  <si>
    <t>357.94K</t>
  </si>
  <si>
    <t>26/05/2013</t>
  </si>
  <si>
    <t>506.21K</t>
  </si>
  <si>
    <t>19/05/2013</t>
  </si>
  <si>
    <t>346.83K</t>
  </si>
  <si>
    <t>229.43K</t>
  </si>
  <si>
    <t>361.44K</t>
  </si>
  <si>
    <t>28/04/2013</t>
  </si>
  <si>
    <t>52.13K</t>
  </si>
  <si>
    <t>21/04/2013</t>
  </si>
  <si>
    <t>174.93K</t>
  </si>
  <si>
    <t>14/04/2013</t>
  </si>
  <si>
    <t>181.61K</t>
  </si>
  <si>
    <t>286.47K</t>
  </si>
  <si>
    <t>31/03/2013</t>
  </si>
  <si>
    <t>283.74K</t>
  </si>
  <si>
    <t>24/03/2013</t>
  </si>
  <si>
    <t>209.15K</t>
  </si>
  <si>
    <t>17/03/2013</t>
  </si>
  <si>
    <t>248.52K</t>
  </si>
  <si>
    <t>288.25K</t>
  </si>
  <si>
    <t>248.62K</t>
  </si>
  <si>
    <t>24/02/2013</t>
  </si>
  <si>
    <t>324.20K</t>
  </si>
  <si>
    <t>17/02/2013</t>
  </si>
  <si>
    <t>483.12K</t>
  </si>
  <si>
    <t>319.16K</t>
  </si>
  <si>
    <t>27/01/2013</t>
  </si>
  <si>
    <t>436.08K</t>
  </si>
  <si>
    <t>20/01/2013</t>
  </si>
  <si>
    <t>312.93K</t>
  </si>
  <si>
    <t>13/01/2013</t>
  </si>
  <si>
    <t>435.43K</t>
  </si>
  <si>
    <t>488.71K</t>
  </si>
  <si>
    <t>30/12/2012</t>
  </si>
  <si>
    <t>228.97K</t>
  </si>
  <si>
    <t>23/12/2012</t>
  </si>
  <si>
    <t>347.31K</t>
  </si>
  <si>
    <t>16/12/2012</t>
  </si>
  <si>
    <t>352.06K</t>
  </si>
  <si>
    <t>219.35K</t>
  </si>
  <si>
    <t>162.15K</t>
  </si>
  <si>
    <t>25/11/2012</t>
  </si>
  <si>
    <t>132.29K</t>
  </si>
  <si>
    <t>18/11/2012</t>
  </si>
  <si>
    <t>108.30K</t>
  </si>
  <si>
    <t>145.71K</t>
  </si>
  <si>
    <t>156.41K</t>
  </si>
  <si>
    <t>28/10/2012</t>
  </si>
  <si>
    <t>215.71K</t>
  </si>
  <si>
    <t>21/10/2012</t>
  </si>
  <si>
    <t>181.39K</t>
  </si>
  <si>
    <t>14/10/2012</t>
  </si>
  <si>
    <t>223.93K</t>
  </si>
  <si>
    <t>212.97K</t>
  </si>
  <si>
    <t>30/09/2012</t>
  </si>
  <si>
    <t>146.35K</t>
  </si>
  <si>
    <t>23/09/2012</t>
  </si>
  <si>
    <t>141.23K</t>
  </si>
  <si>
    <t>16/09/2012</t>
  </si>
  <si>
    <t>285.49K</t>
  </si>
  <si>
    <t>200.92K</t>
  </si>
  <si>
    <t>142.26K</t>
  </si>
  <si>
    <t>26/08/2012</t>
  </si>
  <si>
    <t>197.55K</t>
  </si>
  <si>
    <t>19/08/2012</t>
  </si>
  <si>
    <t>319.18K</t>
  </si>
  <si>
    <t>184.60K</t>
  </si>
  <si>
    <t>182.03K</t>
  </si>
  <si>
    <t>29/07/2012</t>
  </si>
  <si>
    <t>125.78K</t>
  </si>
  <si>
    <t>22/07/2012</t>
  </si>
  <si>
    <t>208.15K</t>
  </si>
  <si>
    <t>15/07/2012</t>
  </si>
  <si>
    <t>297.12K</t>
  </si>
  <si>
    <t>182.78K</t>
  </si>
  <si>
    <t>184.36K</t>
  </si>
  <si>
    <t>24/06/2012</t>
  </si>
  <si>
    <t>255.90K</t>
  </si>
  <si>
    <t>17/06/2012</t>
  </si>
  <si>
    <t>257.40K</t>
  </si>
  <si>
    <t>328.92K</t>
  </si>
  <si>
    <t>490.54K</t>
  </si>
  <si>
    <t>27/05/2012</t>
  </si>
  <si>
    <t>283.90K</t>
  </si>
  <si>
    <t>20/05/2012</t>
  </si>
  <si>
    <t>363.65K</t>
  </si>
  <si>
    <t>13/05/2012</t>
  </si>
  <si>
    <t>452.20K</t>
  </si>
  <si>
    <t>596.60K</t>
  </si>
  <si>
    <t>29/04/2012</t>
  </si>
  <si>
    <t>330.27K</t>
  </si>
  <si>
    <t>22/04/2012</t>
  </si>
  <si>
    <t>425.31K</t>
  </si>
  <si>
    <t>15/04/2012</t>
  </si>
  <si>
    <t>602.39K</t>
  </si>
  <si>
    <t>482.03K</t>
  </si>
  <si>
    <t>263.32K</t>
  </si>
  <si>
    <t>25/03/2012</t>
  </si>
  <si>
    <t>438.52K</t>
  </si>
  <si>
    <t>18/03/2012</t>
  </si>
  <si>
    <t>389.42K</t>
  </si>
  <si>
    <t>421.18K</t>
  </si>
  <si>
    <t>528.65K</t>
  </si>
  <si>
    <t>26/02/2012</t>
  </si>
  <si>
    <t>484.30K</t>
  </si>
  <si>
    <t>19/02/2012</t>
  </si>
  <si>
    <t>308.87K</t>
  </si>
  <si>
    <t>192.41K</t>
  </si>
  <si>
    <t>215.96K</t>
  </si>
  <si>
    <t>29/01/2012</t>
  </si>
  <si>
    <t>212.37K</t>
  </si>
  <si>
    <t>15/01/2012</t>
  </si>
  <si>
    <t>123.82K</t>
  </si>
  <si>
    <t>283.29K</t>
  </si>
  <si>
    <t>95.79K</t>
  </si>
  <si>
    <t>25/12/2011</t>
  </si>
  <si>
    <t>262.54K</t>
  </si>
  <si>
    <t>18/12/2011</t>
  </si>
  <si>
    <t>206.24K</t>
  </si>
  <si>
    <t>236.30K</t>
  </si>
  <si>
    <t>177.21K</t>
  </si>
  <si>
    <t>27/11/2011</t>
  </si>
  <si>
    <t>140.04K</t>
  </si>
  <si>
    <t>20/11/2011</t>
  </si>
  <si>
    <t>143.17K</t>
  </si>
  <si>
    <t>13/11/2011</t>
  </si>
  <si>
    <t>175.70K</t>
  </si>
  <si>
    <t>151.76K</t>
  </si>
  <si>
    <t>30/10/2011</t>
  </si>
  <si>
    <t>176.18K</t>
  </si>
  <si>
    <t>23/10/2011</t>
  </si>
  <si>
    <t>132.32K</t>
  </si>
  <si>
    <t>16/10/2011</t>
  </si>
  <si>
    <t>126.15K</t>
  </si>
  <si>
    <t>137.67K</t>
  </si>
  <si>
    <t>167.81K</t>
  </si>
  <si>
    <t>25/09/2011</t>
  </si>
  <si>
    <t>225.58K</t>
  </si>
  <si>
    <t>18/09/2011</t>
  </si>
  <si>
    <t>226.40K</t>
  </si>
  <si>
    <t>331.52K</t>
  </si>
  <si>
    <t>246.28K</t>
  </si>
  <si>
    <t>28/08/2011</t>
  </si>
  <si>
    <t>183.75K</t>
  </si>
  <si>
    <t>21/08/2011</t>
  </si>
  <si>
    <t>148.29K</t>
  </si>
  <si>
    <t>14/08/2011</t>
  </si>
  <si>
    <t>130.76K</t>
  </si>
  <si>
    <t>133.59K</t>
  </si>
  <si>
    <t>31/07/2011</t>
  </si>
  <si>
    <t>208.80K</t>
  </si>
  <si>
    <t>24/07/2011</t>
  </si>
  <si>
    <t>107.25K</t>
  </si>
  <si>
    <t>17/07/2011</t>
  </si>
  <si>
    <t>94.54K</t>
  </si>
  <si>
    <t>137.35K</t>
  </si>
  <si>
    <t>114.80K</t>
  </si>
  <si>
    <t>26/06/2011</t>
  </si>
  <si>
    <t>120.45K</t>
  </si>
  <si>
    <t>19/06/2011</t>
  </si>
  <si>
    <t>140.33K</t>
  </si>
  <si>
    <t>251.33K</t>
  </si>
  <si>
    <t>166.76K</t>
  </si>
  <si>
    <t>29/05/2011</t>
  </si>
  <si>
    <t>165.80K</t>
  </si>
  <si>
    <t>22/05/2011</t>
  </si>
  <si>
    <t>183.45K</t>
  </si>
  <si>
    <t>15/05/2011</t>
  </si>
  <si>
    <t>130.21K</t>
  </si>
  <si>
    <t>98.82K</t>
  </si>
  <si>
    <t>66.89K</t>
  </si>
  <si>
    <t>24/04/2011</t>
  </si>
  <si>
    <t>131.89K</t>
  </si>
  <si>
    <t>17/04/2011</t>
  </si>
  <si>
    <t>118.40K</t>
  </si>
  <si>
    <t>74.72K</t>
  </si>
  <si>
    <t>123.18K</t>
  </si>
  <si>
    <t>27/03/2011</t>
  </si>
  <si>
    <t>140.41K</t>
  </si>
  <si>
    <t>20/03/2011</t>
  </si>
  <si>
    <t>168.38K</t>
  </si>
  <si>
    <t>13/03/2011</t>
  </si>
  <si>
    <t>209.09K</t>
  </si>
  <si>
    <t>174.35K</t>
  </si>
  <si>
    <t>27/02/2011</t>
  </si>
  <si>
    <t>168.68K</t>
  </si>
  <si>
    <t>20/02/2011</t>
  </si>
  <si>
    <t>211.35K</t>
  </si>
  <si>
    <t>13/02/2011</t>
  </si>
  <si>
    <t>174.27K</t>
  </si>
  <si>
    <t>123.81K</t>
  </si>
  <si>
    <t>23/01/2011</t>
  </si>
  <si>
    <t>167.72K</t>
  </si>
  <si>
    <t>16/01/2011</t>
  </si>
  <si>
    <t>215.69K</t>
  </si>
  <si>
    <t>181.01K</t>
  </si>
  <si>
    <t>131.03K</t>
  </si>
  <si>
    <t>26/12/2010</t>
  </si>
  <si>
    <t>307.89K</t>
  </si>
  <si>
    <t>19/12/2010</t>
  </si>
  <si>
    <t>309.81K</t>
  </si>
  <si>
    <t>467.54K</t>
  </si>
  <si>
    <t>408.98K</t>
  </si>
  <si>
    <t>28/11/2010</t>
  </si>
  <si>
    <t>299.42K</t>
  </si>
  <si>
    <t>21/11/2010</t>
  </si>
  <si>
    <t>165.63K</t>
  </si>
  <si>
    <t>14/11/2010</t>
  </si>
  <si>
    <t>162.30K</t>
  </si>
  <si>
    <t>170.95K</t>
  </si>
  <si>
    <t>31/10/2010</t>
  </si>
  <si>
    <t>139.42K</t>
  </si>
  <si>
    <t>24/10/2010</t>
  </si>
  <si>
    <t>149.05K</t>
  </si>
  <si>
    <t>17/10/2010</t>
  </si>
  <si>
    <t>158.03K</t>
  </si>
  <si>
    <t>125.87K</t>
  </si>
  <si>
    <t>189.49K</t>
  </si>
  <si>
    <t>26/09/2010</t>
  </si>
  <si>
    <t>185.97K</t>
  </si>
  <si>
    <t>19/09/2010</t>
  </si>
  <si>
    <t>233.53K</t>
  </si>
  <si>
    <t>210.37K</t>
  </si>
  <si>
    <t>266.97K</t>
  </si>
  <si>
    <t>29/08/2010</t>
  </si>
  <si>
    <t>137.26K</t>
  </si>
  <si>
    <t>22/08/2010</t>
  </si>
  <si>
    <t>197.61K</t>
  </si>
  <si>
    <t>15/08/2010</t>
  </si>
  <si>
    <t>182.82K</t>
  </si>
  <si>
    <t>236.49K</t>
  </si>
  <si>
    <t>195.35K</t>
  </si>
  <si>
    <t>25/07/2010</t>
  </si>
  <si>
    <t>216.00K</t>
  </si>
  <si>
    <t>18/07/2010</t>
  </si>
  <si>
    <t>230.91K</t>
  </si>
  <si>
    <t>225.86K</t>
  </si>
  <si>
    <t>211.82K</t>
  </si>
  <si>
    <t>27/06/2010</t>
  </si>
  <si>
    <t>243.43K</t>
  </si>
  <si>
    <t>20/06/2010</t>
  </si>
  <si>
    <t>281.68K</t>
  </si>
  <si>
    <t>13/06/2010</t>
  </si>
  <si>
    <t>263.51K</t>
  </si>
  <si>
    <t>203.04K</t>
  </si>
  <si>
    <t>30/05/2010</t>
  </si>
  <si>
    <t>227.06K</t>
  </si>
  <si>
    <t>23/05/2010</t>
  </si>
  <si>
    <t>230.29K</t>
  </si>
  <si>
    <t>16/05/2010</t>
  </si>
  <si>
    <t>281.55K</t>
  </si>
  <si>
    <t>327.07K</t>
  </si>
  <si>
    <t>369.69K</t>
  </si>
  <si>
    <t>25/04/2010</t>
  </si>
  <si>
    <t>263.08K</t>
  </si>
  <si>
    <t>18/04/2010</t>
  </si>
  <si>
    <t>256.29K</t>
  </si>
  <si>
    <t>270.16K</t>
  </si>
  <si>
    <t>284.53K</t>
  </si>
  <si>
    <t>28/03/2010</t>
  </si>
  <si>
    <t>247.52K</t>
  </si>
  <si>
    <t>21/03/2010</t>
  </si>
  <si>
    <t>249.70K</t>
  </si>
  <si>
    <t>14/03/2010</t>
  </si>
  <si>
    <t>275.84K</t>
  </si>
  <si>
    <t>284.70K</t>
  </si>
  <si>
    <t>28/02/2010</t>
  </si>
  <si>
    <t>212.73K</t>
  </si>
  <si>
    <t>21/02/2010</t>
  </si>
  <si>
    <t>143.34K</t>
  </si>
  <si>
    <t>111.82K</t>
  </si>
  <si>
    <t>31/01/2010</t>
  </si>
  <si>
    <t>147.76K</t>
  </si>
  <si>
    <t>24/01/2010</t>
  </si>
  <si>
    <t>138.55K</t>
  </si>
  <si>
    <t>17/01/2010</t>
  </si>
  <si>
    <t>182.86K</t>
  </si>
  <si>
    <t>225.75K</t>
  </si>
  <si>
    <t>342.73K</t>
  </si>
  <si>
    <t>27/12/2009</t>
  </si>
  <si>
    <t>248.76K</t>
  </si>
  <si>
    <t>20/12/2009</t>
  </si>
  <si>
    <t>230.03K</t>
  </si>
  <si>
    <t>13/12/2009</t>
  </si>
  <si>
    <t>206.11K</t>
  </si>
  <si>
    <t>185.05K</t>
  </si>
  <si>
    <t>29/11/2009</t>
  </si>
  <si>
    <t>212.61K</t>
  </si>
  <si>
    <t>22/11/2009</t>
  </si>
  <si>
    <t>272.20K</t>
  </si>
  <si>
    <t>15/11/2009</t>
  </si>
  <si>
    <t>266.53K</t>
  </si>
  <si>
    <t>242.65K</t>
  </si>
  <si>
    <t>308.07K</t>
  </si>
  <si>
    <t>25/10/2009</t>
  </si>
  <si>
    <t>407.53K</t>
  </si>
  <si>
    <t>18/10/2009</t>
  </si>
  <si>
    <t>510.64K</t>
  </si>
  <si>
    <t>478.35K</t>
  </si>
  <si>
    <t>264.26K</t>
  </si>
  <si>
    <t>27/09/2009</t>
  </si>
  <si>
    <t>378.36K</t>
  </si>
  <si>
    <t>20/09/2009</t>
  </si>
  <si>
    <t>386.74K</t>
  </si>
  <si>
    <t>13/09/2009</t>
  </si>
  <si>
    <t>348.58K</t>
  </si>
  <si>
    <t>282.97K</t>
  </si>
  <si>
    <t>30/08/2009</t>
  </si>
  <si>
    <t>295.09K</t>
  </si>
  <si>
    <t>23/08/2009</t>
  </si>
  <si>
    <t>291.56K</t>
  </si>
  <si>
    <t>16/08/2009</t>
  </si>
  <si>
    <t>286.86K</t>
  </si>
  <si>
    <t>292.05K</t>
  </si>
  <si>
    <t>226.47K</t>
  </si>
  <si>
    <t>26/07/2009</t>
  </si>
  <si>
    <t>229.97K</t>
  </si>
  <si>
    <t>19/07/2009</t>
  </si>
  <si>
    <t>130.14K</t>
  </si>
  <si>
    <t>142.11K</t>
  </si>
  <si>
    <t>175.74K</t>
  </si>
  <si>
    <t>28/06/2009</t>
  </si>
  <si>
    <t>186.03K</t>
  </si>
  <si>
    <t>21/06/2009</t>
  </si>
  <si>
    <t>218.09K</t>
  </si>
  <si>
    <t>14/06/2009</t>
  </si>
  <si>
    <t>298.18K</t>
  </si>
  <si>
    <t>343.29K</t>
  </si>
  <si>
    <t>31/05/2009</t>
  </si>
  <si>
    <t>260.57K</t>
  </si>
  <si>
    <t>24/05/2009</t>
  </si>
  <si>
    <t>265.51K</t>
  </si>
  <si>
    <t>17/05/2009</t>
  </si>
  <si>
    <t>300.47K</t>
  </si>
  <si>
    <t>247.45K</t>
  </si>
  <si>
    <t>212.17K</t>
  </si>
  <si>
    <t>26/04/2009</t>
  </si>
  <si>
    <t>69.49K</t>
  </si>
  <si>
    <t>19/04/2009</t>
  </si>
  <si>
    <t>157.33K</t>
  </si>
  <si>
    <t>257.55K</t>
  </si>
  <si>
    <t>170.59K</t>
  </si>
  <si>
    <t>29/03/2009</t>
  </si>
  <si>
    <t>143.18K</t>
  </si>
  <si>
    <t>22/03/2009</t>
  </si>
  <si>
    <t>133.06K</t>
  </si>
  <si>
    <t>15/03/2009</t>
  </si>
  <si>
    <t>112.62K</t>
  </si>
  <si>
    <t>73.71K</t>
  </si>
  <si>
    <t>43.51K</t>
  </si>
  <si>
    <t>22/02/2009</t>
  </si>
  <si>
    <t>57.86K</t>
  </si>
  <si>
    <t>15/02/2009</t>
  </si>
  <si>
    <t>45.95K</t>
  </si>
  <si>
    <t>34.30K</t>
  </si>
  <si>
    <t>18/01/2009</t>
  </si>
  <si>
    <t>24.55K</t>
  </si>
  <si>
    <t>37.82K</t>
  </si>
  <si>
    <t>59.06K</t>
  </si>
  <si>
    <t>28/12/2008</t>
  </si>
  <si>
    <t>45.37K</t>
  </si>
  <si>
    <t>21/12/2008</t>
  </si>
  <si>
    <t>68.04K</t>
  </si>
  <si>
    <t>14/12/2008</t>
  </si>
  <si>
    <t>66.13K</t>
  </si>
  <si>
    <t>53.88K</t>
  </si>
  <si>
    <t>30/11/2008</t>
  </si>
  <si>
    <t>50.03K</t>
  </si>
  <si>
    <t>23/11/2008</t>
  </si>
  <si>
    <t>62.86K</t>
  </si>
  <si>
    <t>16/11/2008</t>
  </si>
  <si>
    <t>66.22K</t>
  </si>
  <si>
    <t>78.24K</t>
  </si>
  <si>
    <t>101.34K</t>
  </si>
  <si>
    <t>26/10/2008</t>
  </si>
  <si>
    <t>88.38K</t>
  </si>
  <si>
    <t>19/10/2008</t>
  </si>
  <si>
    <t>69.82K</t>
  </si>
  <si>
    <t>79.53K</t>
  </si>
  <si>
    <t>80.61K</t>
  </si>
  <si>
    <t>28/09/2008</t>
  </si>
  <si>
    <t>71.47K</t>
  </si>
  <si>
    <t>21/09/2008</t>
  </si>
  <si>
    <t>108.77K</t>
  </si>
  <si>
    <t>14/09/2008</t>
  </si>
  <si>
    <t>102.63K</t>
  </si>
  <si>
    <t>127.58K</t>
  </si>
  <si>
    <t>31/08/2008</t>
  </si>
  <si>
    <t>71.87K</t>
  </si>
  <si>
    <t>24/08/2008</t>
  </si>
  <si>
    <t>146.83K</t>
  </si>
  <si>
    <t>17/08/2008</t>
  </si>
  <si>
    <t>134.30K</t>
  </si>
  <si>
    <t>91.96K</t>
  </si>
  <si>
    <t>72.33K</t>
  </si>
  <si>
    <t>27/07/2008</t>
  </si>
  <si>
    <t>79.99K</t>
  </si>
  <si>
    <t>20/07/2008</t>
  </si>
  <si>
    <t>53.93K</t>
  </si>
  <si>
    <t>13/07/2008</t>
  </si>
  <si>
    <t>104.47K</t>
  </si>
  <si>
    <t>88.29K</t>
  </si>
  <si>
    <t>29/06/2008</t>
  </si>
  <si>
    <t>56.81K</t>
  </si>
  <si>
    <t>22/06/2008</t>
  </si>
  <si>
    <t>53.18K</t>
  </si>
  <si>
    <t>15/06/2008</t>
  </si>
  <si>
    <t>66.53K</t>
  </si>
  <si>
    <t>39.32K</t>
  </si>
  <si>
    <t>32.84K</t>
  </si>
  <si>
    <t>25/05/2008</t>
  </si>
  <si>
    <t>9.88K</t>
  </si>
  <si>
    <t>18/05/2008</t>
  </si>
  <si>
    <t>31.24K</t>
  </si>
  <si>
    <t>17.84K</t>
  </si>
  <si>
    <t>29.33K</t>
  </si>
  <si>
    <t>27/04/2008</t>
  </si>
  <si>
    <t>19.93K</t>
  </si>
  <si>
    <t>20/04/2008</t>
  </si>
  <si>
    <t>35.36K</t>
  </si>
  <si>
    <t>13/04/2008</t>
  </si>
  <si>
    <t>31.37K</t>
  </si>
  <si>
    <t>64.79K</t>
  </si>
  <si>
    <t>30/03/2008</t>
  </si>
  <si>
    <t>22.10K</t>
  </si>
  <si>
    <t>23/03/2008</t>
  </si>
  <si>
    <t>50.82K</t>
  </si>
  <si>
    <t>16/03/2008</t>
  </si>
  <si>
    <t>85.27K</t>
  </si>
  <si>
    <t>90.45K</t>
  </si>
  <si>
    <t>84.42K</t>
  </si>
  <si>
    <t>24/02/2008</t>
  </si>
  <si>
    <t>72.27K</t>
  </si>
  <si>
    <t>17/02/2008</t>
  </si>
  <si>
    <t>78.34K</t>
  </si>
  <si>
    <t>29.55K</t>
  </si>
  <si>
    <t>27/01/2008</t>
  </si>
  <si>
    <t>64.17K</t>
  </si>
  <si>
    <t>20/01/2008</t>
  </si>
  <si>
    <t>54.53K</t>
  </si>
  <si>
    <t>13/01/2008</t>
  </si>
  <si>
    <t>54.48K</t>
  </si>
  <si>
    <t>47.40K</t>
  </si>
  <si>
    <t>30/12/2007</t>
  </si>
  <si>
    <t>23.49K</t>
  </si>
  <si>
    <t>23/12/2007</t>
  </si>
  <si>
    <t>37.32K</t>
  </si>
  <si>
    <t>16/12/2007</t>
  </si>
  <si>
    <t>43.55K</t>
  </si>
  <si>
    <t>43.70K</t>
  </si>
  <si>
    <t>45.42K</t>
  </si>
  <si>
    <t>25/11/2007</t>
  </si>
  <si>
    <t>51.35K</t>
  </si>
  <si>
    <t>18/11/2007</t>
  </si>
  <si>
    <t>45.36K</t>
  </si>
  <si>
    <t>73.77K</t>
  </si>
  <si>
    <t>69.46K</t>
  </si>
  <si>
    <t>28/10/2007</t>
  </si>
  <si>
    <t>67.99K</t>
  </si>
  <si>
    <t>21/10/2007</t>
  </si>
  <si>
    <t>66.23K</t>
  </si>
  <si>
    <t>14/10/2007</t>
  </si>
  <si>
    <t>70.20K</t>
  </si>
  <si>
    <t>72.32K</t>
  </si>
  <si>
    <t>30/09/2007</t>
  </si>
  <si>
    <t>87.60K</t>
  </si>
  <si>
    <t>23/09/2007</t>
  </si>
  <si>
    <t>72.24K</t>
  </si>
  <si>
    <t>16/09/2007</t>
  </si>
  <si>
    <t>50.57K</t>
  </si>
  <si>
    <t>43.17K</t>
  </si>
  <si>
    <t>31.32K</t>
  </si>
  <si>
    <t>26/08/2007</t>
  </si>
  <si>
    <t>33.98K</t>
  </si>
  <si>
    <t>19/08/2007</t>
  </si>
  <si>
    <t>38.61K</t>
  </si>
  <si>
    <t>24.72K</t>
  </si>
  <si>
    <t>29.45K</t>
  </si>
  <si>
    <t>29/07/2007</t>
  </si>
  <si>
    <t>29.16K</t>
  </si>
  <si>
    <t>22/07/2007</t>
  </si>
  <si>
    <t>15/07/2007</t>
  </si>
  <si>
    <t>28.47K</t>
  </si>
  <si>
    <t>30.94K</t>
  </si>
  <si>
    <t>36.29K</t>
  </si>
  <si>
    <t>24/06/2007</t>
  </si>
  <si>
    <t>40.72K</t>
  </si>
  <si>
    <t>17/06/2007</t>
  </si>
  <si>
    <t>38.93K</t>
  </si>
  <si>
    <t>40.47K</t>
  </si>
  <si>
    <t>44.11K</t>
  </si>
  <si>
    <t>27/05/2007</t>
  </si>
  <si>
    <t>31.23K</t>
  </si>
  <si>
    <t>20/05/2007</t>
  </si>
  <si>
    <t>48.13K</t>
  </si>
  <si>
    <t>13/05/2007</t>
  </si>
  <si>
    <t>41.62K</t>
  </si>
  <si>
    <t>41.64K</t>
  </si>
  <si>
    <t>29/04/2007</t>
  </si>
  <si>
    <t>17.57K</t>
  </si>
  <si>
    <t>22/04/2007</t>
  </si>
  <si>
    <t>20.13K</t>
  </si>
  <si>
    <t>15/04/2007</t>
  </si>
  <si>
    <t>30.58K</t>
  </si>
  <si>
    <t>27.73K</t>
  </si>
  <si>
    <t>40.27K</t>
  </si>
  <si>
    <t>25/03/2007</t>
  </si>
  <si>
    <t>48.86K</t>
  </si>
  <si>
    <t>18/03/2007</t>
  </si>
  <si>
    <t>61.98K</t>
  </si>
  <si>
    <t>74.71K</t>
  </si>
  <si>
    <t>55.72K</t>
  </si>
  <si>
    <t>25/02/2007</t>
  </si>
  <si>
    <t>65.83K</t>
  </si>
  <si>
    <t>39.40K</t>
  </si>
  <si>
    <t>56.00K</t>
  </si>
  <si>
    <t>28/01/2007</t>
  </si>
  <si>
    <t>54.54K</t>
  </si>
  <si>
    <t>21/01/2007</t>
  </si>
  <si>
    <t>64.13K</t>
  </si>
  <si>
    <t>14/01/2007</t>
  </si>
  <si>
    <t>60.01K</t>
  </si>
  <si>
    <t>56.55K</t>
  </si>
  <si>
    <t>31/12/2006</t>
  </si>
  <si>
    <t>34.15K</t>
  </si>
  <si>
    <t>24/12/2006</t>
  </si>
  <si>
    <t>44.49K</t>
  </si>
  <si>
    <t>17/12/2006</t>
  </si>
  <si>
    <t>52.65K</t>
  </si>
  <si>
    <t>54.09K</t>
  </si>
  <si>
    <t>31.08K</t>
  </si>
  <si>
    <t>26/11/2006</t>
  </si>
  <si>
    <t>31.44K</t>
  </si>
  <si>
    <t>19/11/2006</t>
  </si>
  <si>
    <t>39.02K</t>
  </si>
  <si>
    <t>38.82K</t>
  </si>
  <si>
    <t>22.55K</t>
  </si>
  <si>
    <t>29/10/2006</t>
  </si>
  <si>
    <t>13.10K</t>
  </si>
  <si>
    <t>22/10/2006</t>
  </si>
  <si>
    <t>21.03K</t>
  </si>
  <si>
    <t>15/10/2006</t>
  </si>
  <si>
    <t>29.73K</t>
  </si>
  <si>
    <t>20.67K</t>
  </si>
  <si>
    <t>25.19K</t>
  </si>
  <si>
    <t>24/09/2006</t>
  </si>
  <si>
    <t>27.41K</t>
  </si>
  <si>
    <t>17/09/2006</t>
  </si>
  <si>
    <t>23.90K</t>
  </si>
  <si>
    <t>17.97K</t>
  </si>
  <si>
    <t>20.99K</t>
  </si>
  <si>
    <t>27/08/2006</t>
  </si>
  <si>
    <t>26.87K</t>
  </si>
  <si>
    <t>20/08/2006</t>
  </si>
  <si>
    <t>24.50K</t>
  </si>
  <si>
    <t>13/08/2006</t>
  </si>
  <si>
    <t>28.99K</t>
  </si>
  <si>
    <t>16.58K</t>
  </si>
  <si>
    <t>30/07/2006</t>
  </si>
  <si>
    <t>18.78K</t>
  </si>
  <si>
    <t>23/07/2006</t>
  </si>
  <si>
    <t>18.42K</t>
  </si>
  <si>
    <t>16/07/2006</t>
  </si>
  <si>
    <t>18.19K</t>
  </si>
  <si>
    <t>17.49K</t>
  </si>
  <si>
    <t>7.74K</t>
  </si>
  <si>
    <t>25/06/2006</t>
  </si>
  <si>
    <t>17.79K</t>
  </si>
  <si>
    <t>18/06/2006</t>
  </si>
  <si>
    <t>15.30K</t>
  </si>
  <si>
    <t>14.44K</t>
  </si>
  <si>
    <t>11.36K</t>
  </si>
  <si>
    <t>28/05/2006</t>
  </si>
  <si>
    <t>14.17K</t>
  </si>
  <si>
    <t>21/05/2006</t>
  </si>
  <si>
    <t>18.74K</t>
  </si>
  <si>
    <t>14/05/2006</t>
  </si>
  <si>
    <t>27.91K</t>
  </si>
  <si>
    <t>21.71K</t>
  </si>
  <si>
    <t>30/04/2006</t>
  </si>
  <si>
    <t>14.49K</t>
  </si>
  <si>
    <t>23/04/2006</t>
  </si>
  <si>
    <t>26.75K</t>
  </si>
  <si>
    <t>16/04/2006</t>
  </si>
  <si>
    <t>23.16K</t>
  </si>
  <si>
    <t>28.89K</t>
  </si>
  <si>
    <t>26.80K</t>
  </si>
  <si>
    <t>26/03/2006</t>
  </si>
  <si>
    <t>16.15K</t>
  </si>
  <si>
    <t>19/03/2006</t>
  </si>
  <si>
    <t>19.77K</t>
  </si>
  <si>
    <t>27.83K</t>
  </si>
  <si>
    <t>19.34K</t>
  </si>
  <si>
    <t>26/02/2006</t>
  </si>
  <si>
    <t>14.68K</t>
  </si>
  <si>
    <t>19/02/2006</t>
  </si>
  <si>
    <t>9.55K</t>
  </si>
  <si>
    <t>11.45K</t>
  </si>
  <si>
    <t>14.24K</t>
  </si>
  <si>
    <t>22/01/2006</t>
  </si>
  <si>
    <t>6.82K</t>
  </si>
  <si>
    <t>15/01/2006</t>
  </si>
  <si>
    <t>10.92K</t>
  </si>
  <si>
    <t>9.37K</t>
  </si>
  <si>
    <t>7.50K</t>
  </si>
  <si>
    <t>25/12/2005</t>
  </si>
  <si>
    <t>7.48K</t>
  </si>
  <si>
    <t>18/12/2005</t>
  </si>
  <si>
    <t>10.19K</t>
  </si>
  <si>
    <t>7.33K</t>
  </si>
  <si>
    <t>8.75K</t>
  </si>
  <si>
    <t>27/11/2005</t>
  </si>
  <si>
    <t>5.28K</t>
  </si>
  <si>
    <t>20/11/2005</t>
  </si>
  <si>
    <t>9.12K</t>
  </si>
  <si>
    <t>13/11/2005</t>
  </si>
  <si>
    <t>6.43K</t>
  </si>
  <si>
    <t>13.59K</t>
  </si>
  <si>
    <t>30/10/2005</t>
  </si>
  <si>
    <t>9.82K</t>
  </si>
  <si>
    <t>23/10/2005</t>
  </si>
  <si>
    <t>15.88K</t>
  </si>
  <si>
    <t>16/10/2005</t>
  </si>
  <si>
    <t>15.47K</t>
  </si>
  <si>
    <t>12.09K</t>
  </si>
  <si>
    <t>9.33K</t>
  </si>
  <si>
    <t>25/09/2005</t>
  </si>
  <si>
    <t>10.75K</t>
  </si>
  <si>
    <t>18/09/2005</t>
  </si>
  <si>
    <t>9.77K</t>
  </si>
  <si>
    <t>9.79K</t>
  </si>
  <si>
    <t>14.52K</t>
  </si>
  <si>
    <t>28/08/2005</t>
  </si>
  <si>
    <t>3.83K</t>
  </si>
  <si>
    <t>21/08/2005</t>
  </si>
  <si>
    <t>8.21K</t>
  </si>
  <si>
    <t>14/08/2005</t>
  </si>
  <si>
    <t>6.27K</t>
  </si>
  <si>
    <t>4.47K</t>
  </si>
  <si>
    <t>31/07/2005</t>
  </si>
  <si>
    <t>6.02K</t>
  </si>
  <si>
    <t>24/07/2005</t>
  </si>
  <si>
    <t>6.03K</t>
  </si>
  <si>
    <t>17/07/2005</t>
  </si>
  <si>
    <t>8.17K</t>
  </si>
  <si>
    <t>8.44K</t>
  </si>
  <si>
    <t>3.17K</t>
  </si>
  <si>
    <t>26/06/2005</t>
  </si>
  <si>
    <t>5.44K</t>
  </si>
  <si>
    <t>19/06/2005</t>
  </si>
  <si>
    <t>4.82K</t>
  </si>
  <si>
    <t>5.91K</t>
  </si>
  <si>
    <t>4.71K</t>
  </si>
  <si>
    <t>29/05/2005</t>
  </si>
  <si>
    <t>7.92K</t>
  </si>
  <si>
    <t>22/05/2005</t>
  </si>
  <si>
    <t>15/05/2005</t>
  </si>
  <si>
    <t>3.58K</t>
  </si>
  <si>
    <t>2.01K</t>
  </si>
  <si>
    <t>2.16K</t>
  </si>
  <si>
    <t>24/04/2005</t>
  </si>
  <si>
    <t>5.57K</t>
  </si>
  <si>
    <t>17/04/2005</t>
  </si>
  <si>
    <t>8.95K</t>
  </si>
  <si>
    <t>5.63K</t>
  </si>
  <si>
    <t>5.08K</t>
  </si>
  <si>
    <t>27/03/2005</t>
  </si>
  <si>
    <t>4.08K</t>
  </si>
  <si>
    <t>20/03/2005</t>
  </si>
  <si>
    <t>6.20K</t>
  </si>
  <si>
    <t>13/03/2005</t>
  </si>
  <si>
    <t>4.41K</t>
  </si>
  <si>
    <t>4.96K</t>
  </si>
  <si>
    <t>27/02/2005</t>
  </si>
  <si>
    <t>8.22K</t>
  </si>
  <si>
    <t>20/02/2005</t>
  </si>
  <si>
    <t>4.36K</t>
  </si>
  <si>
    <t>13/02/2005</t>
  </si>
  <si>
    <t>2.60K</t>
  </si>
  <si>
    <t>30/01/2005</t>
  </si>
  <si>
    <t>2.24K</t>
  </si>
  <si>
    <t>23/01/2005</t>
  </si>
  <si>
    <t>5.10K</t>
  </si>
  <si>
    <t>16/01/2005</t>
  </si>
  <si>
    <t>5.19K</t>
  </si>
  <si>
    <t>2.12K</t>
  </si>
  <si>
    <t>4.35K</t>
  </si>
  <si>
    <t>26/12/2004</t>
  </si>
  <si>
    <t>19/12/2004</t>
  </si>
  <si>
    <t>8.11K</t>
  </si>
  <si>
    <t>5.59K</t>
  </si>
  <si>
    <t>6.23K</t>
  </si>
  <si>
    <t>28/11/2004</t>
  </si>
  <si>
    <t>5.14K</t>
  </si>
  <si>
    <t>21/11/2004</t>
  </si>
  <si>
    <t>3.31K</t>
  </si>
  <si>
    <t>14/11/2004</t>
  </si>
  <si>
    <t>7.83K</t>
  </si>
  <si>
    <t>5.38K</t>
  </si>
  <si>
    <t>31/10/2004</t>
  </si>
  <si>
    <t>5.90K</t>
  </si>
  <si>
    <t>24/10/2004</t>
  </si>
  <si>
    <t>6.60K</t>
  </si>
  <si>
    <t>17/10/2004</t>
  </si>
  <si>
    <t>3.63K</t>
  </si>
  <si>
    <t>2.23K</t>
  </si>
  <si>
    <t>26/09/2004</t>
  </si>
  <si>
    <t>2.27K</t>
  </si>
  <si>
    <t>19/09/2004</t>
  </si>
  <si>
    <t>6.16K</t>
  </si>
  <si>
    <t>5.53K</t>
  </si>
  <si>
    <t>7.76K</t>
  </si>
  <si>
    <t>29/08/2004</t>
  </si>
  <si>
    <t>3.64K</t>
  </si>
  <si>
    <t>22/08/2004</t>
  </si>
  <si>
    <t>8.54K</t>
  </si>
  <si>
    <t>15/08/2004</t>
  </si>
  <si>
    <t>3.11K</t>
  </si>
  <si>
    <t>4.40K</t>
  </si>
  <si>
    <t>2.35K</t>
  </si>
  <si>
    <t>25/07/2004</t>
  </si>
  <si>
    <t>2.77K</t>
  </si>
  <si>
    <t>18/07/2004</t>
  </si>
  <si>
    <t>2.21K</t>
  </si>
  <si>
    <t>3.68K</t>
  </si>
  <si>
    <t>2.65K</t>
  </si>
  <si>
    <t>27/06/2004</t>
  </si>
  <si>
    <t>2.18K</t>
  </si>
  <si>
    <t>20/06/2004</t>
  </si>
  <si>
    <t>3.35K</t>
  </si>
  <si>
    <t>13/06/2004</t>
  </si>
  <si>
    <t>5.20K</t>
  </si>
  <si>
    <t>4.65K</t>
  </si>
  <si>
    <t>30/05/2004</t>
  </si>
  <si>
    <t>5.98K</t>
  </si>
  <si>
    <t>23/05/2004</t>
  </si>
  <si>
    <t>9.28K</t>
  </si>
  <si>
    <t>16/05/2004</t>
  </si>
  <si>
    <t>3.65K</t>
  </si>
  <si>
    <t>3.43K</t>
  </si>
  <si>
    <t>2.28K</t>
  </si>
  <si>
    <t>25/04/2004</t>
  </si>
  <si>
    <t>6.34K</t>
  </si>
  <si>
    <t>18/04/2004</t>
  </si>
  <si>
    <t>4.19K</t>
  </si>
  <si>
    <t>5.07K</t>
  </si>
  <si>
    <t>3.76K</t>
  </si>
  <si>
    <t>28/03/2004</t>
  </si>
  <si>
    <t>4.07K</t>
  </si>
  <si>
    <t>21/03/2004</t>
  </si>
  <si>
    <t>5.06K</t>
  </si>
  <si>
    <t>14/03/2004</t>
  </si>
  <si>
    <t>5.58K</t>
  </si>
  <si>
    <t>4.80K</t>
  </si>
  <si>
    <t>29/02/2004</t>
  </si>
  <si>
    <t>6.53K</t>
  </si>
  <si>
    <t>22/02/2004</t>
  </si>
  <si>
    <t>10.77K</t>
  </si>
  <si>
    <t>15/02/2004</t>
  </si>
  <si>
    <t>5.76K</t>
  </si>
  <si>
    <t>4.48K</t>
  </si>
  <si>
    <t>4.02K</t>
  </si>
  <si>
    <t>25/01/2004</t>
  </si>
  <si>
    <t>5.95K</t>
  </si>
  <si>
    <t>14/02/2010</t>
  </si>
  <si>
    <t>25/01/2009</t>
  </si>
  <si>
    <t>Chỉ tiêu</t>
  </si>
  <si>
    <t>Phải thu ngắn hạn</t>
  </si>
  <si>
    <t>Hàng tồn kho</t>
  </si>
  <si>
    <t>Đầu tư tài chính ngắn hạn</t>
  </si>
  <si>
    <t>Tài sản ngắn hạn khác</t>
  </si>
  <si>
    <t>Tài sản hiện hành</t>
  </si>
  <si>
    <t xml:space="preserve">Phải trả ngắn hạn </t>
  </si>
  <si>
    <t>Vay và nợ thuê tài chính ngắn hạn</t>
  </si>
  <si>
    <t>Nguồn vốn hiện hành</t>
  </si>
  <si>
    <t>NWC (CAs - CLs)</t>
  </si>
  <si>
    <t>Doanh thu thuần</t>
  </si>
  <si>
    <t>Giá vốn hàng bán</t>
  </si>
  <si>
    <t>Days Sales Outstanding (DSO)</t>
  </si>
  <si>
    <t>Days Inventory Outstanding (DIO)</t>
  </si>
  <si>
    <t>Days Payable Outstanding (DPO)</t>
  </si>
  <si>
    <t>Cash Conversion Cycle (CCC)</t>
  </si>
  <si>
    <t>(% Sale) Đầu tư tài chính ngắn hạn</t>
  </si>
  <si>
    <t>(% Sale) Tài sản ngắn hạn khác</t>
  </si>
  <si>
    <t>(% Sale) Vay ngắn hạn</t>
  </si>
  <si>
    <t>NET WORKING ASSET ANNUALLY</t>
  </si>
  <si>
    <t>Thực tế</t>
  </si>
  <si>
    <t>2024F</t>
  </si>
  <si>
    <t>2025F</t>
  </si>
  <si>
    <t>2026F</t>
  </si>
  <si>
    <t>Dự phóng</t>
  </si>
  <si>
    <t>Dự phòng phải trả ngắn hạn</t>
  </si>
  <si>
    <t>Quỹ khen thưởng phúc lợi</t>
  </si>
  <si>
    <t>NET WORKING ASSET QUARTER</t>
  </si>
  <si>
    <t>Dòng tiền tự do không đòn bẩy - FFCF</t>
  </si>
  <si>
    <t>Lợi nhuận gộp (Gross Profit)</t>
  </si>
  <si>
    <t>Chi phí hoạt động</t>
  </si>
  <si>
    <t>EBIT (Operating Profit - Adjusted)</t>
  </si>
  <si>
    <t>Thuế</t>
  </si>
  <si>
    <t xml:space="preserve">NOPAT (Net Operating Profit After Taxes) </t>
  </si>
  <si>
    <t>(+) Khấu hao</t>
  </si>
  <si>
    <t>(-) Chi phí vốn - CapEX</t>
  </si>
  <si>
    <t xml:space="preserve">(-) Tăng giảm vốn lưu động </t>
  </si>
  <si>
    <t>Vốn lưu động - NWC</t>
  </si>
  <si>
    <t>Giả định</t>
  </si>
  <si>
    <t>Tốc độ tăng trưởng doanh thu</t>
  </si>
  <si>
    <t>(%Sale) Giá vốn hàng bán</t>
  </si>
  <si>
    <t>(% Sale) Chi phí hoạt động</t>
  </si>
  <si>
    <t>(% Sale) Thuế</t>
  </si>
  <si>
    <t>% Gross Profit/Rev</t>
  </si>
  <si>
    <t>% EBIT/Rev</t>
  </si>
  <si>
    <t>FREE CASH FOW TO THE FIRM ANNUAL</t>
  </si>
  <si>
    <t>FREE CASH FOW TO THE FIRM QUARTER</t>
  </si>
  <si>
    <t>Bảng kê tài sản cố định</t>
  </si>
  <si>
    <t xml:space="preserve">Tài sản cố định đầu kỳ - Beginning PP&amp;E </t>
  </si>
  <si>
    <t>Khấu hao - D&amp;A</t>
  </si>
  <si>
    <t>Chi phí vốn đầu tư TSCĐ- CapEX</t>
  </si>
  <si>
    <t>Tài sản cố định cuối kỳ - Ending PP&amp;E</t>
  </si>
  <si>
    <t>Tỉ lệ khấu hao TSCĐ đầu kỳ</t>
  </si>
  <si>
    <t>Chi phí vốn đầu kỳ</t>
  </si>
  <si>
    <t>FIXED ASSET ANNUAL</t>
  </si>
  <si>
    <t>FIXED ASSET QUARTER</t>
  </si>
  <si>
    <t>Vốn chủ sở hữu</t>
  </si>
  <si>
    <t>Nợ</t>
  </si>
  <si>
    <t>Chi phí nợ</t>
  </si>
  <si>
    <t>Thuế TNDN</t>
  </si>
  <si>
    <t>Tỉ lệ nợ trên nguồn vốn - D/(D+E)</t>
  </si>
  <si>
    <t>Chi phí lãi vay sau thuế</t>
  </si>
  <si>
    <t>Risk Free Rate (10-Yr VN Treasury Yield)</t>
  </si>
  <si>
    <t>Expected Market Return</t>
  </si>
  <si>
    <t>Market Risk Premium</t>
  </si>
  <si>
    <t>Levered Beta</t>
  </si>
  <si>
    <t>E/(D+E)</t>
  </si>
  <si>
    <t>Cost of Equity</t>
  </si>
  <si>
    <t>WACC</t>
  </si>
  <si>
    <t>Chi phí sử dụng vốn bình quân - WACC</t>
  </si>
  <si>
    <t>Trung binh</t>
  </si>
  <si>
    <t>Trung vi</t>
  </si>
  <si>
    <t>Gần nhất</t>
  </si>
  <si>
    <t>Tăng trưởng trung bình năm</t>
  </si>
  <si>
    <t>WACC ANNUAL</t>
  </si>
  <si>
    <t>Năm dự phóng</t>
  </si>
  <si>
    <t>PV của UFC</t>
  </si>
  <si>
    <t>Giá trị ngầm định</t>
  </si>
  <si>
    <t>Tổng PV của FCF</t>
  </si>
  <si>
    <t>Tốc độ tăng trưởng</t>
  </si>
  <si>
    <t>Terminal Value</t>
  </si>
  <si>
    <t>PV của Terminal Value</t>
  </si>
  <si>
    <t>Giá trị doanh nghiệp (Enterprise Value)</t>
  </si>
  <si>
    <t>(+) Tiền mặt và tương đương</t>
  </si>
  <si>
    <t>(-) Nợ</t>
  </si>
  <si>
    <t>(-) Lợi ích không kiểm soát</t>
  </si>
  <si>
    <t>Giá trị vốn hoá (Equity Value)</t>
  </si>
  <si>
    <t>Cổ phiếu pha loãng đang lưu hành</t>
  </si>
  <si>
    <t>Giá cổ phiếu ngầm định</t>
  </si>
  <si>
    <t>Sensitivity table</t>
  </si>
  <si>
    <t>Choosing Case</t>
  </si>
  <si>
    <t>Base</t>
  </si>
  <si>
    <t>Growth Rate</t>
  </si>
  <si>
    <t>Step</t>
  </si>
  <si>
    <t>asm</t>
  </si>
  <si>
    <t>bcg</t>
  </si>
  <si>
    <t>fcn</t>
  </si>
  <si>
    <t>geg</t>
  </si>
  <si>
    <t>hdg</t>
  </si>
  <si>
    <t>lcg</t>
  </si>
  <si>
    <t>pc1</t>
  </si>
  <si>
    <t>ree</t>
  </si>
  <si>
    <t>tv2</t>
  </si>
  <si>
    <t>Bank</t>
  </si>
  <si>
    <t>Renewable</t>
  </si>
  <si>
    <t>ASM</t>
  </si>
  <si>
    <t>BCG</t>
  </si>
  <si>
    <t>FCN</t>
  </si>
  <si>
    <t>HDG</t>
  </si>
  <si>
    <t>LCG</t>
  </si>
  <si>
    <t>REE</t>
  </si>
  <si>
    <t>TV2</t>
  </si>
  <si>
    <t>G2G</t>
  </si>
  <si>
    <t>PC1</t>
  </si>
  <si>
    <t>TTA</t>
  </si>
  <si>
    <t>SELECT COMPANY</t>
  </si>
  <si>
    <t>tta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</si>
  <si>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</si>
  <si>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</si>
  <si>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</si>
  <si>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</si>
  <si>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</si>
  <si>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</si>
  <si>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</si>
  <si>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</si>
  <si>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</si>
  <si>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</si>
  <si>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</si>
  <si>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</si>
  <si>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</si>
  <si>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</si>
  <si>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</si>
  <si>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</si>
  <si>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</si>
  <si>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</si>
  <si>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2.Tiền trả lại vón góp cho các chủ sở hữu, mua lại cổ phiếu của doanh nghiệp đã phát hành</t>
  </si>
  <si>
    <t>5.Tiền chi trả nợ gốc thuê tài chính</t>
  </si>
  <si>
    <t>(% Sale) Dự phòng phải trả ngắn hạn</t>
  </si>
  <si>
    <t>(% Sale) Quỹ khen thưởng phúc lợi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</si>
</sst>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#,##0.0"/>
    <numFmt numFmtId="165" formatCode="#,##0.0;[Red]#,##0.0"/>
    <numFmt numFmtId="166" formatCode="0.0;[Red]0.0"/>
    <numFmt numFmtId="167" formatCode="dd/mm/yyyy"/>
    <numFmt numFmtId="168" formatCode="0.0%"/>
    <numFmt numFmtId="169" formatCode="0;[Red]0"/>
    <numFmt numFmtId="170" formatCode="#,##0.00;[Red]#,##0.00"/>
    <numFmt numFmtId="171" formatCode="0.00;[Red]0.00"/>
    <numFmt numFmtId="172" formatCode="0.000;[Red]0.000"/>
    <numFmt numFmtId="173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D9E2F3"/>
      </patternFill>
    </fill>
    <fill>
      <patternFill patternType="solid">
        <fgColor theme="0"/>
        <bgColor rgb="FFD9E2F3"/>
      </patternFill>
    </fill>
    <fill>
      <patternFill patternType="solid">
        <fgColor rgb="FF002060"/>
        <bgColor rgb="FFD9E2F3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quotePrefix="1"/>
    <xf numFmtId="0" fontId="4" fillId="0" borderId="0" xfId="0" quotePrefix="1" applyFont="1"/>
    <xf numFmtId="4" fontId="0" fillId="0" borderId="0" xfId="0" applyNumberFormat="1"/>
    <xf numFmtId="164" fontId="0" fillId="0" borderId="0" xfId="0" applyNumberFormat="1"/>
    <xf numFmtId="164" fontId="4" fillId="0" borderId="0" xfId="0" quotePrefix="1" applyNumberFormat="1" applyFont="1"/>
    <xf numFmtId="0" fontId="5" fillId="2" borderId="0" xfId="0" quotePrefix="1" applyFont="1" applyFill="1"/>
    <xf numFmtId="0" fontId="0" fillId="2" borderId="0" xfId="0" applyFill="1"/>
    <xf numFmtId="164" fontId="0" fillId="2" borderId="0" xfId="0" applyNumberFormat="1" applyFill="1"/>
    <xf numFmtId="0" fontId="6" fillId="3" borderId="0" xfId="0" applyFont="1" applyFill="1"/>
    <xf numFmtId="0" fontId="6" fillId="3" borderId="0" xfId="0" quotePrefix="1" applyFont="1" applyFill="1"/>
    <xf numFmtId="164" fontId="4" fillId="4" borderId="0" xfId="0" quotePrefix="1" applyNumberFormat="1" applyFont="1" applyFill="1"/>
    <xf numFmtId="0" fontId="4" fillId="5" borderId="0" xfId="0" quotePrefix="1" applyFont="1" applyFill="1"/>
    <xf numFmtId="0" fontId="5" fillId="3" borderId="0" xfId="0" applyFont="1" applyFill="1"/>
    <xf numFmtId="165" fontId="0" fillId="0" borderId="0" xfId="0" applyNumberFormat="1"/>
    <xf numFmtId="0" fontId="5" fillId="6" borderId="0" xfId="0" quotePrefix="1" applyFont="1" applyFill="1"/>
    <xf numFmtId="0" fontId="3" fillId="6" borderId="0" xfId="0" applyFont="1" applyFill="1"/>
    <xf numFmtId="164" fontId="3" fillId="6" borderId="0" xfId="0" applyNumberFormat="1" applyFont="1" applyFill="1"/>
    <xf numFmtId="165" fontId="2" fillId="7" borderId="0" xfId="0" applyNumberFormat="1" applyFont="1" applyFill="1"/>
    <xf numFmtId="166" fontId="0" fillId="0" borderId="0" xfId="0" applyNumberFormat="1"/>
    <xf numFmtId="166" fontId="2" fillId="7" borderId="0" xfId="0" applyNumberFormat="1" applyFont="1" applyFill="1"/>
    <xf numFmtId="10" fontId="0" fillId="0" borderId="0" xfId="0" applyNumberFormat="1"/>
    <xf numFmtId="167" fontId="0" fillId="0" borderId="0" xfId="0" applyNumberFormat="1"/>
    <xf numFmtId="170" fontId="0" fillId="0" borderId="0" xfId="0" applyNumberFormat="1"/>
    <xf numFmtId="0" fontId="0" fillId="8" borderId="0" xfId="0" applyFill="1"/>
    <xf numFmtId="170" fontId="0" fillId="4" borderId="0" xfId="0" applyNumberFormat="1" applyFill="1"/>
    <xf numFmtId="165" fontId="0" fillId="4" borderId="0" xfId="0" applyNumberFormat="1" applyFill="1"/>
    <xf numFmtId="0" fontId="2" fillId="6" borderId="0" xfId="0" applyFont="1" applyFill="1"/>
    <xf numFmtId="169" fontId="2" fillId="6" borderId="0" xfId="0" applyNumberFormat="1" applyFont="1" applyFill="1" applyAlignment="1">
      <alignment horizontal="right"/>
    </xf>
    <xf numFmtId="0" fontId="8" fillId="4" borderId="0" xfId="0" applyFont="1" applyFill="1"/>
    <xf numFmtId="0" fontId="0" fillId="4" borderId="0" xfId="0" applyFill="1"/>
    <xf numFmtId="168" fontId="0" fillId="4" borderId="0" xfId="1" applyNumberFormat="1" applyFont="1" applyFill="1"/>
    <xf numFmtId="170" fontId="0" fillId="9" borderId="0" xfId="0" applyNumberFormat="1" applyFill="1"/>
    <xf numFmtId="165" fontId="0" fillId="9" borderId="0" xfId="0" applyNumberFormat="1" applyFill="1"/>
    <xf numFmtId="0" fontId="0" fillId="9" borderId="0" xfId="0" applyFill="1"/>
    <xf numFmtId="0" fontId="0" fillId="5" borderId="0" xfId="0" applyFill="1"/>
    <xf numFmtId="168" fontId="0" fillId="9" borderId="0" xfId="1" applyNumberFormat="1" applyFont="1" applyFill="1"/>
    <xf numFmtId="168" fontId="0" fillId="4" borderId="0" xfId="0" applyNumberFormat="1" applyFill="1"/>
    <xf numFmtId="165" fontId="7" fillId="4" borderId="1" xfId="0" applyNumberFormat="1" applyFont="1" applyFill="1" applyBorder="1"/>
    <xf numFmtId="165" fontId="7" fillId="9" borderId="1" xfId="0" applyNumberFormat="1" applyFont="1" applyFill="1" applyBorder="1"/>
    <xf numFmtId="0" fontId="7" fillId="5" borderId="1" xfId="0" applyFont="1" applyFill="1" applyBorder="1" applyAlignment="1">
      <alignment horizontal="left" indent="1"/>
    </xf>
    <xf numFmtId="10" fontId="0" fillId="4" borderId="0" xfId="1" applyNumberFormat="1" applyFont="1" applyFill="1"/>
    <xf numFmtId="168" fontId="0" fillId="9" borderId="0" xfId="0" applyNumberFormat="1" applyFill="1"/>
    <xf numFmtId="10" fontId="0" fillId="9" borderId="0" xfId="1" applyNumberFormat="1" applyFont="1" applyFill="1"/>
    <xf numFmtId="169" fontId="2" fillId="6" borderId="0" xfId="0" applyNumberFormat="1" applyFont="1" applyFill="1" applyAlignment="1">
      <alignment horizontal="left"/>
    </xf>
    <xf numFmtId="171" fontId="0" fillId="2" borderId="0" xfId="0" applyNumberFormat="1" applyFill="1"/>
    <xf numFmtId="171" fontId="5" fillId="2" borderId="0" xfId="0" quotePrefix="1" applyNumberFormat="1" applyFont="1" applyFill="1"/>
    <xf numFmtId="171" fontId="4" fillId="4" borderId="0" xfId="0" quotePrefix="1" applyNumberFormat="1" applyFont="1" applyFill="1"/>
    <xf numFmtId="171" fontId="4" fillId="0" borderId="0" xfId="0" quotePrefix="1" applyNumberFormat="1" applyFont="1"/>
    <xf numFmtId="171" fontId="0" fillId="0" borderId="0" xfId="0" applyNumberFormat="1"/>
    <xf numFmtId="0" fontId="0" fillId="10" borderId="0" xfId="0" applyFill="1"/>
    <xf numFmtId="172" fontId="0" fillId="0" borderId="0" xfId="0" applyNumberFormat="1"/>
    <xf numFmtId="14" fontId="0" fillId="0" borderId="0" xfId="0" applyNumberFormat="1"/>
    <xf numFmtId="2" fontId="0" fillId="0" borderId="0" xfId="1" applyNumberFormat="1" applyFont="1"/>
    <xf numFmtId="171" fontId="0" fillId="4" borderId="0" xfId="0" applyNumberFormat="1" applyFill="1"/>
    <xf numFmtId="169" fontId="0" fillId="10" borderId="0" xfId="0" applyNumberFormat="1" applyFill="1"/>
    <xf numFmtId="171" fontId="0" fillId="10" borderId="0" xfId="0" applyNumberFormat="1" applyFill="1"/>
    <xf numFmtId="171" fontId="2" fillId="6" borderId="0" xfId="0" applyNumberFormat="1" applyFont="1" applyFill="1"/>
    <xf numFmtId="169" fontId="2" fillId="6" borderId="0" xfId="0" applyNumberFormat="1" applyFont="1" applyFill="1"/>
    <xf numFmtId="43" fontId="0" fillId="4" borderId="0" xfId="2" applyFont="1" applyFill="1"/>
    <xf numFmtId="0" fontId="9" fillId="4" borderId="0" xfId="0" applyFont="1" applyFill="1"/>
    <xf numFmtId="0" fontId="3" fillId="4" borderId="0" xfId="0" applyFont="1" applyFill="1" applyAlignment="1">
      <alignment horizontal="center"/>
    </xf>
    <xf numFmtId="3" fontId="10" fillId="4" borderId="0" xfId="0" applyNumberFormat="1" applyFont="1" applyFill="1"/>
    <xf numFmtId="168" fontId="11" fillId="11" borderId="3" xfId="0" applyNumberFormat="1" applyFont="1" applyFill="1" applyBorder="1"/>
    <xf numFmtId="168" fontId="11" fillId="11" borderId="4" xfId="0" applyNumberFormat="1" applyFont="1" applyFill="1" applyBorder="1"/>
    <xf numFmtId="173" fontId="11" fillId="12" borderId="0" xfId="2" applyNumberFormat="1" applyFont="1" applyFill="1"/>
    <xf numFmtId="173" fontId="11" fillId="11" borderId="0" xfId="2" applyNumberFormat="1" applyFont="1" applyFill="1"/>
    <xf numFmtId="0" fontId="2" fillId="6" borderId="0" xfId="0" applyFont="1" applyFill="1" applyAlignment="1">
      <alignment horizontal="center"/>
    </xf>
    <xf numFmtId="173" fontId="12" fillId="13" borderId="0" xfId="2" applyNumberFormat="1" applyFont="1" applyFill="1"/>
    <xf numFmtId="9" fontId="0" fillId="4" borderId="0" xfId="1" applyFont="1" applyFill="1"/>
    <xf numFmtId="10" fontId="0" fillId="10" borderId="0" xfId="0" applyNumberFormat="1" applyFill="1"/>
    <xf numFmtId="10" fontId="0" fillId="9" borderId="0" xfId="0" applyNumberFormat="1" applyFill="1"/>
    <xf numFmtId="0" fontId="13" fillId="10" borderId="0" xfId="0" applyFont="1" applyFill="1"/>
    <xf numFmtId="10" fontId="0" fillId="10" borderId="0" xfId="1" applyNumberFormat="1" applyFont="1" applyFill="1"/>
    <xf numFmtId="0" fontId="14" fillId="8" borderId="0" xfId="0" applyFont="1" applyFill="1"/>
    <xf numFmtId="10" fontId="0" fillId="8" borderId="0" xfId="0" applyNumberFormat="1" applyFill="1"/>
    <xf numFmtId="10" fontId="0" fillId="8" borderId="0" xfId="1" applyNumberFormat="1" applyFont="1" applyFill="1"/>
    <xf numFmtId="166" fontId="0" fillId="9" borderId="0" xfId="1" applyNumberFormat="1" applyFont="1" applyFill="1"/>
    <xf numFmtId="0" fontId="2" fillId="6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70" fontId="7" fillId="4" borderId="1" xfId="0" applyNumberFormat="1" applyFont="1" applyFill="1" applyBorder="1"/>
    <xf numFmtId="170" fontId="7" fillId="9" borderId="1" xfId="0" applyNumberFormat="1" applyFont="1" applyFill="1" applyBorder="1"/>
    <xf numFmtId="0" fontId="7" fillId="9" borderId="1" xfId="0" applyFont="1" applyFill="1" applyBorder="1"/>
    <xf numFmtId="0" fontId="15" fillId="9" borderId="0" xfId="0" applyFont="1" applyFill="1"/>
    <xf numFmtId="0" fontId="0" fillId="14" borderId="0" xfId="0" applyFill="1"/>
    <xf numFmtId="0" fontId="0" fillId="15" borderId="0" xfId="0" applyFill="1"/>
    <xf numFmtId="170" fontId="0" fillId="15" borderId="0" xfId="0" applyNumberFormat="1" applyFill="1"/>
    <xf numFmtId="168" fontId="0" fillId="15" borderId="0" xfId="1" applyNumberFormat="1" applyFont="1" applyFill="1"/>
    <xf numFmtId="165" fontId="0" fillId="15" borderId="0" xfId="0" applyNumberFormat="1" applyFill="1"/>
    <xf numFmtId="168" fontId="0" fillId="15" borderId="0" xfId="0" applyNumberFormat="1" applyFill="1"/>
  </cellXfs>
  <cellStyles count="3">
    <cellStyle name="Comma" xfId="2" builtinId="3"/>
    <cellStyle name="Normal" xfId="0" builtinId="0"/>
    <cellStyle name="Percent" xfId="1" builtinId="5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#,##0.0;[Red]#,##0.0"/>
    </dxf>
    <dxf>
      <numFmt numFmtId="165" formatCode="#,##0.0;[Red]#,##0.0"/>
    </dxf>
    <dxf>
      <numFmt numFmtId="165" formatCode="#,##0.0;[Red]#,##0.0"/>
    </dxf>
    <dxf>
      <numFmt numFmtId="165" formatCode="#,##0.0;[Red]#,##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0FC60D-4139-48BA-8AAA-7868D37B0577}" autoFormatId="16" applyNumberFormats="0" applyBorderFormats="0" applyFontFormats="0" applyPatternFormats="0" applyAlignmentFormats="0" applyWidthHeightFormats="0">
  <queryTableRefresh nextId="13">
    <queryTableFields count="6">
      <queryTableField id="7" name="Company Name" tableColumnId="7"/>
      <queryTableField id="8" name="Balance_Sheet_Annual" tableColumnId="8"/>
      <queryTableField id="9" name="2020" tableColumnId="9"/>
      <queryTableField id="10" name="2021" tableColumnId="10"/>
      <queryTableField id="11" name="2022" tableColumnId="11"/>
      <queryTableField id="12" name="2023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86F9B72-E340-4FBD-847F-BFFDAF4FEA53}" autoFormatId="16" applyNumberFormats="0" applyBorderFormats="0" applyFontFormats="0" applyPatternFormats="0" applyAlignmentFormats="0" applyWidthHeightFormats="0">
  <queryTableRefresh nextId="7">
    <queryTableFields count="6">
      <queryTableField id="1" name="Company Name" tableColumnId="1"/>
      <queryTableField id="2" name="Cash_Flow_Annual" tableColumnId="2"/>
      <queryTableField id="3" name="2020" tableColumnId="3"/>
      <queryTableField id="4" name="2021" tableColumnId="4"/>
      <queryTableField id="5" name="2022" tableColumnId="5"/>
      <queryTableField id="6" name="2023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1F96DAA-BF7A-498C-B354-CCAA6907017D}" autoFormatId="16" applyNumberFormats="0" applyBorderFormats="0" applyFontFormats="0" applyPatternFormats="0" applyAlignmentFormats="0" applyWidthHeightFormats="0">
  <queryTableRefresh nextId="7">
    <queryTableFields count="6">
      <queryTableField id="1" name="Company Name" tableColumnId="1"/>
      <queryTableField id="2" name="Income_Statement_Annual" tableColumnId="2"/>
      <queryTableField id="3" name="2020" tableColumnId="3"/>
      <queryTableField id="4" name="2021" tableColumnId="4"/>
      <queryTableField id="5" name="2022" tableColumnId="5"/>
      <queryTableField id="6" name="2023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5E4880-56FD-448E-9A84-6D2ADE6FA7ED}" autoFormatId="16" applyNumberFormats="0" applyBorderFormats="0" applyFontFormats="0" applyPatternFormats="0" applyAlignmentFormats="0" applyWidthHeightFormats="0">
  <queryTableRefresh nextId="19">
    <queryTableFields count="18">
      <queryTableField id="1" name="Company Name" tableColumnId="1"/>
      <queryTableField id="2" name="Balance_Sheet_Quarter" tableColumnId="2"/>
      <queryTableField id="3" name="2020_q3" tableColumnId="3"/>
      <queryTableField id="4" name="2020_q4" tableColumnId="4"/>
      <queryTableField id="5" name="2021_q1" tableColumnId="5"/>
      <queryTableField id="6" name="2021_q2" tableColumnId="6"/>
      <queryTableField id="7" name="2021_q3" tableColumnId="7"/>
      <queryTableField id="8" name="2021_q4" tableColumnId="8"/>
      <queryTableField id="9" name="2022_q1" tableColumnId="9"/>
      <queryTableField id="10" name="2022_q2" tableColumnId="10"/>
      <queryTableField id="11" name="2022_q3" tableColumnId="11"/>
      <queryTableField id="12" name="2022_q4" tableColumnId="12"/>
      <queryTableField id="13" name="2023_q1" tableColumnId="13"/>
      <queryTableField id="14" name="2023_q2" tableColumnId="14"/>
      <queryTableField id="15" name="2023_q3" tableColumnId="15"/>
      <queryTableField id="16" name="2023_q4" tableColumnId="16"/>
      <queryTableField id="17" name="2024_q1" tableColumnId="17"/>
      <queryTableField id="18" name="2024_q2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1F5E7850-C304-425C-A35D-71A82BE3E5DB}" autoFormatId="16" applyNumberFormats="0" applyBorderFormats="0" applyFontFormats="0" applyPatternFormats="0" applyAlignmentFormats="0" applyWidthHeightFormats="0">
  <queryTableRefresh nextId="19">
    <queryTableFields count="18">
      <queryTableField id="1" name="Company Name" tableColumnId="1"/>
      <queryTableField id="2" name="Income_Statement_Quarter" tableColumnId="2"/>
      <queryTableField id="3" name="2020_q3" tableColumnId="3"/>
      <queryTableField id="4" name="2020_q4" tableColumnId="4"/>
      <queryTableField id="5" name="2021_q1" tableColumnId="5"/>
      <queryTableField id="6" name="2021_q2" tableColumnId="6"/>
      <queryTableField id="7" name="2021_q3" tableColumnId="7"/>
      <queryTableField id="8" name="2021_q4" tableColumnId="8"/>
      <queryTableField id="9" name="2022_q1" tableColumnId="9"/>
      <queryTableField id="10" name="2022_q2" tableColumnId="10"/>
      <queryTableField id="11" name="2022_q3" tableColumnId="11"/>
      <queryTableField id="12" name="2022_q4" tableColumnId="12"/>
      <queryTableField id="13" name="2023_q1" tableColumnId="13"/>
      <queryTableField id="14" name="2023_q2" tableColumnId="14"/>
      <queryTableField id="15" name="2023_q3" tableColumnId="15"/>
      <queryTableField id="16" name="2023_q4" tableColumnId="16"/>
      <queryTableField id="17" name="2024_q1" tableColumnId="17"/>
      <queryTableField id="18" name="2024_q2" tableColumnId="1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7B5B4F2-4940-458E-A33D-BD558A22674D}" autoFormatId="16" applyNumberFormats="0" applyBorderFormats="0" applyFontFormats="0" applyPatternFormats="0" applyAlignmentFormats="0" applyWidthHeightFormats="0">
  <queryTableRefresh nextId="19">
    <queryTableFields count="18">
      <queryTableField id="1" name="Company Name" tableColumnId="1"/>
      <queryTableField id="2" name="Cash_Flow_Quarter" tableColumnId="2"/>
      <queryTableField id="3" name="2020_q3" tableColumnId="3"/>
      <queryTableField id="4" name="2020_q4" tableColumnId="4"/>
      <queryTableField id="5" name="2021_q1" tableColumnId="5"/>
      <queryTableField id="6" name="2021_q2" tableColumnId="6"/>
      <queryTableField id="7" name="2021_q3" tableColumnId="7"/>
      <queryTableField id="8" name="2021_q4" tableColumnId="8"/>
      <queryTableField id="9" name="2022_q1" tableColumnId="9"/>
      <queryTableField id="10" name="2022_q2" tableColumnId="10"/>
      <queryTableField id="11" name="2022_q3" tableColumnId="11"/>
      <queryTableField id="12" name="2022_q4" tableColumnId="12"/>
      <queryTableField id="13" name="2023_q1" tableColumnId="13"/>
      <queryTableField id="14" name="2023_q2" tableColumnId="14"/>
      <queryTableField id="15" name="2023_q3" tableColumnId="15"/>
      <queryTableField id="16" name="2023_q4" tableColumnId="16"/>
      <queryTableField id="17" name="2024_q1" tableColumnId="17"/>
      <queryTableField id="18" name="2024_q2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4C327-BD06-4F74-A9DD-EE88DDDE277A}" name="balance_sheet_annual" displayName="balance_sheet_annual" ref="A1:F1191" tableType="queryTable" totalsRowShown="0">
  <tableColumns count="6">
    <tableColumn id="7" xr3:uid="{7D4CE57F-04A7-491E-96BC-AFD9DB1D8013}" uniqueName="7" name="Company Name" queryTableFieldId="7" dataDxfId="9"/>
    <tableColumn id="8" xr3:uid="{C292F2D8-C9A5-4ABE-9BD8-C12A424F21AD}" uniqueName="8" name="Balance_Sheet_Annual" queryTableFieldId="8"/>
    <tableColumn id="9" xr3:uid="{1BB92E3F-2418-4DF6-9898-6D23CAA7C357}" uniqueName="9" name="2020" queryTableFieldId="9" dataDxfId="8"/>
    <tableColumn id="10" xr3:uid="{52576170-C51C-475D-910C-2129DBD74188}" uniqueName="10" name="2021" queryTableFieldId="10" dataDxfId="7"/>
    <tableColumn id="11" xr3:uid="{451B7DF4-7E7E-41BC-A94B-B116EC0F034A}" uniqueName="11" name="2022" queryTableFieldId="11" dataDxfId="6"/>
    <tableColumn id="12" xr3:uid="{53755E3E-3028-4EA6-A488-C909A959F670}" uniqueName="12" name="2023" queryTableFieldId="1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A72BF8-9A98-4557-88A8-AE8CF1559759}" name="cash_flow_annual" displayName="cash_flow_annual" ref="A1:F421" tableType="queryTable" totalsRowShown="0">
  <autoFilter ref="A1:F421" xr:uid="{33A72BF8-9A98-4557-88A8-AE8CF1559759}"/>
  <tableColumns count="6">
    <tableColumn id="1" xr3:uid="{2E5347A4-E142-416D-8529-A44E30C30461}" uniqueName="1" name="Company Name" queryTableFieldId="1" dataDxfId="4"/>
    <tableColumn id="2" xr3:uid="{4A46D9D0-FC50-41E9-AC41-8044A914BC68}" uniqueName="2" name="Cash_Flow_Annual" queryTableFieldId="2"/>
    <tableColumn id="3" xr3:uid="{E32BC95B-301B-4870-9BE5-51361201F360}" uniqueName="3" name="2020" queryTableFieldId="3"/>
    <tableColumn id="4" xr3:uid="{1A3F5755-1A62-4DB7-AB62-A3A2E1CCB9ED}" uniqueName="4" name="2021" queryTableFieldId="4"/>
    <tableColumn id="5" xr3:uid="{CABB1259-1E09-475A-B9B1-7367D7CFAE15}" uniqueName="5" name="2022" queryTableFieldId="5"/>
    <tableColumn id="6" xr3:uid="{606F3612-E549-43CF-BFF2-372570A19A71}" uniqueName="6" name="2023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990538-88C2-463C-8F2D-3FFCD1C31846}" name="income_statement_annual" displayName="income_statement_annual" ref="A1:F231" tableType="queryTable" totalsRowShown="0">
  <autoFilter ref="A1:F231" xr:uid="{92990538-88C2-463C-8F2D-3FFCD1C31846}"/>
  <tableColumns count="6">
    <tableColumn id="1" xr3:uid="{03125F6A-0700-4ED5-85A0-A96BF8D577A4}" uniqueName="1" name="Company Name" queryTableFieldId="1" dataDxfId="3"/>
    <tableColumn id="2" xr3:uid="{87CC3720-5574-47D9-BE05-40459E5E7D0D}" uniqueName="2" name="Income_Statement_Annual" queryTableFieldId="2"/>
    <tableColumn id="3" xr3:uid="{7C89F7B3-4054-4417-BDE1-27B197FAEFBE}" uniqueName="3" name="2020" queryTableFieldId="3"/>
    <tableColumn id="4" xr3:uid="{DCBEB5AD-FDA3-4546-8FA7-4FB254363CD1}" uniqueName="4" name="2021" queryTableFieldId="4"/>
    <tableColumn id="5" xr3:uid="{9C3A5C24-CCCD-4B88-AE15-CD9143FDEC72}" uniqueName="5" name="2022" queryTableFieldId="5"/>
    <tableColumn id="6" xr3:uid="{3FBBE158-F2AB-42FA-9D92-A7692386E004}" uniqueName="6" name="2023" queryTableField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3324FF-7997-4A6E-AECA-4B0A5C8E5896}" name="balance_sheet_quarter" displayName="balance_sheet_quarter" ref="A1:R1191" tableType="queryTable" totalsRowShown="0">
  <autoFilter ref="A1:R1191" xr:uid="{B73324FF-7997-4A6E-AECA-4B0A5C8E5896}"/>
  <tableColumns count="18">
    <tableColumn id="1" xr3:uid="{BC7CBFC5-0E2E-4A84-8079-2ACB45AC3A42}" uniqueName="1" name="Company Name" queryTableFieldId="1" dataDxfId="2"/>
    <tableColumn id="2" xr3:uid="{750BFB6B-10AD-4864-A8C7-D124B490348B}" uniqueName="2" name="Balance_Sheet_Quarter" queryTableFieldId="2"/>
    <tableColumn id="3" xr3:uid="{7C31A780-F890-4A17-99C4-7F17775E35AA}" uniqueName="3" name="2020_q3" queryTableFieldId="3"/>
    <tableColumn id="4" xr3:uid="{5DCF348A-4A06-4BB8-A51C-B4723A44C428}" uniqueName="4" name="2020_q4" queryTableFieldId="4"/>
    <tableColumn id="5" xr3:uid="{D1D794EB-0059-424F-A486-868E8595D04D}" uniqueName="5" name="2021_q1" queryTableFieldId="5"/>
    <tableColumn id="6" xr3:uid="{8614D5CB-D55F-46A0-913C-2A166C8934D3}" uniqueName="6" name="2021_q2" queryTableFieldId="6"/>
    <tableColumn id="7" xr3:uid="{742F56FC-9F20-44A7-BE9A-EE33C089B56F}" uniqueName="7" name="2021_q3" queryTableFieldId="7"/>
    <tableColumn id="8" xr3:uid="{AA428841-3FBC-4CFC-91DE-29F826CE5687}" uniqueName="8" name="2021_q4" queryTableFieldId="8"/>
    <tableColumn id="9" xr3:uid="{F3E8C414-3313-4D3D-9634-A6CCFCA6E82C}" uniqueName="9" name="2022_q1" queryTableFieldId="9"/>
    <tableColumn id="10" xr3:uid="{548D26FB-BA69-4AAE-905B-91A77B9AB3D9}" uniqueName="10" name="2022_q2" queryTableFieldId="10"/>
    <tableColumn id="11" xr3:uid="{FD260FBF-197F-44DA-A3DB-5D9F4F70DE3A}" uniqueName="11" name="2022_q3" queryTableFieldId="11"/>
    <tableColumn id="12" xr3:uid="{E9D5F54F-EA29-44A6-A146-7C443F031D24}" uniqueName="12" name="2022_q4" queryTableFieldId="12"/>
    <tableColumn id="13" xr3:uid="{EC70EE22-1F1F-4E2F-B5BC-B4D00B05F000}" uniqueName="13" name="2023_q1" queryTableFieldId="13"/>
    <tableColumn id="14" xr3:uid="{75451727-24E8-48D8-852E-34244C2F0AE2}" uniqueName="14" name="2023_q2" queryTableFieldId="14"/>
    <tableColumn id="15" xr3:uid="{EBA0654E-CFF5-4940-B4F1-84E4667F8B89}" uniqueName="15" name="2023_q3" queryTableFieldId="15"/>
    <tableColumn id="16" xr3:uid="{F5EB65BB-59EC-4163-9975-4F9D53E67240}" uniqueName="16" name="2023_q4" queryTableFieldId="16"/>
    <tableColumn id="17" xr3:uid="{670F34E1-FB74-449E-95B9-39938E7E5517}" uniqueName="17" name="2024_q1" queryTableFieldId="17"/>
    <tableColumn id="18" xr3:uid="{ECDC150A-4850-40E4-AC57-7DD236224373}" uniqueName="18" name="2024_q2" queryTableField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804958-14C0-4E62-96FD-A324F3125685}" name="income_statement_quarter" displayName="income_statement_quarter" ref="A1:R231" tableType="queryTable" totalsRowShown="0">
  <autoFilter ref="A1:R231" xr:uid="{42804958-14C0-4E62-96FD-A324F3125685}"/>
  <tableColumns count="18">
    <tableColumn id="1" xr3:uid="{21486D3E-03CA-4AAB-A96F-C82A089BFD7B}" uniqueName="1" name="Company Name" queryTableFieldId="1" dataDxfId="1"/>
    <tableColumn id="2" xr3:uid="{043E5B14-9D8F-40D8-8F9A-7C17D0254684}" uniqueName="2" name="Income_Statement_Quarter" queryTableFieldId="2"/>
    <tableColumn id="3" xr3:uid="{044F7DAD-9531-4193-A34C-F462CCD74943}" uniqueName="3" name="2020_q3" queryTableFieldId="3"/>
    <tableColumn id="4" xr3:uid="{28C2B684-28F0-47A5-99C8-916E69669536}" uniqueName="4" name="2020_q4" queryTableFieldId="4"/>
    <tableColumn id="5" xr3:uid="{87372A8E-FC0F-4F50-A9B8-B08EA2ECC59E}" uniqueName="5" name="2021_q1" queryTableFieldId="5"/>
    <tableColumn id="6" xr3:uid="{771F3683-899F-428C-84B4-E1057B336B44}" uniqueName="6" name="2021_q2" queryTableFieldId="6"/>
    <tableColumn id="7" xr3:uid="{BA44B22A-4B41-4D91-B07B-0C3F466C9789}" uniqueName="7" name="2021_q3" queryTableFieldId="7"/>
    <tableColumn id="8" xr3:uid="{B456D761-3CF5-4A81-A34A-9EBCC8363AF0}" uniqueName="8" name="2021_q4" queryTableFieldId="8"/>
    <tableColumn id="9" xr3:uid="{A12836E3-B04D-468E-B8E4-4426054FF964}" uniqueName="9" name="2022_q1" queryTableFieldId="9"/>
    <tableColumn id="10" xr3:uid="{9F756BF2-B54A-4E1C-A8AC-4D12B860ED82}" uniqueName="10" name="2022_q2" queryTableFieldId="10"/>
    <tableColumn id="11" xr3:uid="{34E1F830-D4EF-45B1-A834-2EB35BC52BC0}" uniqueName="11" name="2022_q3" queryTableFieldId="11"/>
    <tableColumn id="12" xr3:uid="{EB8C1760-21A6-4E32-991A-F55A7DD51FEA}" uniqueName="12" name="2022_q4" queryTableFieldId="12"/>
    <tableColumn id="13" xr3:uid="{EC814342-6AF0-4F93-890B-A8F9E939C0B2}" uniqueName="13" name="2023_q1" queryTableFieldId="13"/>
    <tableColumn id="14" xr3:uid="{442C595F-B0CF-413F-8C58-FEDAC0C5EAE5}" uniqueName="14" name="2023_q2" queryTableFieldId="14"/>
    <tableColumn id="15" xr3:uid="{86229C6B-5316-4DF5-9F22-9D06599A660C}" uniqueName="15" name="2023_q3" queryTableFieldId="15"/>
    <tableColumn id="16" xr3:uid="{1310801C-A6C5-4002-972C-6981951F534B}" uniqueName="16" name="2023_q4" queryTableFieldId="16"/>
    <tableColumn id="17" xr3:uid="{E8E3F87E-A526-4DD9-A83B-B9A540A68DA5}" uniqueName="17" name="2024_q1" queryTableFieldId="17"/>
    <tableColumn id="18" xr3:uid="{E07F02F5-B42F-41C7-882B-0B8D12E4F5F1}" uniqueName="18" name="2024_q2" queryTableField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3DA46C-1CB3-408C-B6BC-9A4A699F38B7}" name="cash_flow_quarter" displayName="cash_flow_quarter" ref="A1:R421" tableType="queryTable" totalsRowShown="0">
  <autoFilter ref="A1:R421" xr:uid="{473DA46C-1CB3-408C-B6BC-9A4A699F38B7}"/>
  <tableColumns count="18">
    <tableColumn id="1" xr3:uid="{E6B65829-0177-4838-B876-B95401A5C71D}" uniqueName="1" name="Company Name" queryTableFieldId="1" dataDxfId="0"/>
    <tableColumn id="2" xr3:uid="{AAECE661-398E-4DEC-BEDB-8DFCD08CD108}" uniqueName="2" name="Cash_Flow_Quarter" queryTableFieldId="2"/>
    <tableColumn id="3" xr3:uid="{BEC55674-A9AD-493C-ACAA-4B5C15636B27}" uniqueName="3" name="2020_q3" queryTableFieldId="3"/>
    <tableColumn id="4" xr3:uid="{521C1064-20C1-474D-8FF6-1936A35847BC}" uniqueName="4" name="2020_q4" queryTableFieldId="4"/>
    <tableColumn id="5" xr3:uid="{8C839F9A-F91E-4350-9371-CEC0B1B1E8C5}" uniqueName="5" name="2021_q1" queryTableFieldId="5"/>
    <tableColumn id="6" xr3:uid="{A8F74C34-E826-4831-996A-A2DFADD8B9CA}" uniqueName="6" name="2021_q2" queryTableFieldId="6"/>
    <tableColumn id="7" xr3:uid="{2E422DCE-AF49-4503-B517-D7B4F058F542}" uniqueName="7" name="2021_q3" queryTableFieldId="7"/>
    <tableColumn id="8" xr3:uid="{267CFD68-21F9-4520-8EB0-7B3F404E52CA}" uniqueName="8" name="2021_q4" queryTableFieldId="8"/>
    <tableColumn id="9" xr3:uid="{DD03A044-F86A-4444-99D2-51F7385452CE}" uniqueName="9" name="2022_q1" queryTableFieldId="9"/>
    <tableColumn id="10" xr3:uid="{6AB4FFA8-D331-4082-B903-0E773075CECF}" uniqueName="10" name="2022_q2" queryTableFieldId="10"/>
    <tableColumn id="11" xr3:uid="{C7BE3313-168F-4DBC-8412-DDE2E5D7B0A1}" uniqueName="11" name="2022_q3" queryTableFieldId="11"/>
    <tableColumn id="12" xr3:uid="{26893E2C-6C93-4B37-A645-CD0B72053C15}" uniqueName="12" name="2022_q4" queryTableFieldId="12"/>
    <tableColumn id="13" xr3:uid="{B5E9BDAB-FC5E-4825-B975-57E3F7E86C06}" uniqueName="13" name="2023_q1" queryTableFieldId="13"/>
    <tableColumn id="14" xr3:uid="{7BE151EF-9353-4D4D-A7D4-2D1336AE5BD5}" uniqueName="14" name="2023_q2" queryTableFieldId="14"/>
    <tableColumn id="15" xr3:uid="{0163C7D0-C39C-4C37-BD8D-2305411A7F25}" uniqueName="15" name="2023_q3" queryTableFieldId="15"/>
    <tableColumn id="16" xr3:uid="{FAB51EA3-9EB4-48F2-83E2-163EFA443CE7}" uniqueName="16" name="2023_q4" queryTableFieldId="16"/>
    <tableColumn id="17" xr3:uid="{0BDF69ED-B1BD-4F5B-AAB6-E2F33381B48A}" uniqueName="17" name="2024_q1" queryTableFieldId="17"/>
    <tableColumn id="18" xr3:uid="{86CE4936-CDC5-4752-8BE4-9AE7ABE6633F}" uniqueName="18" name="2024_q2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92000A4-882E-4C7B-8421-1A69060D4CDD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_xldudf_BOARDFLARE_PY</we:customFunctionIds>
        <we:customFunctionIds>_xldudf_BOARDFLARE_PY_ARR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54A3-5887-4521-9FA4-1AA6CE7E3EBB}">
  <dimension ref="A1:F1191"/>
  <sheetViews>
    <sheetView workbookViewId="0">
      <selection activeCell="B327" sqref="B327"/>
    </sheetView>
  </sheetViews>
  <sheetFormatPr defaultRowHeight="14.5" x14ac:dyDescent="0.35"/>
  <cols>
    <col min="1" max="1" width="14.1796875" bestFit="1" customWidth="1"/>
    <col min="2" max="2" width="45.26953125" bestFit="1" customWidth="1"/>
    <col min="3" max="6" width="18.36328125" bestFit="1" customWidth="1"/>
    <col min="7" max="7" width="8.26953125" bestFit="1" customWidth="1"/>
    <col min="8" max="8" width="11.26953125" bestFit="1" customWidth="1"/>
    <col min="9" max="11" width="15.54296875" bestFit="1" customWidth="1"/>
    <col min="12" max="12" width="80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1936</v>
      </c>
      <c r="B2" t="s">
        <v>6</v>
      </c>
      <c r="C2" s="14">
        <v>0</v>
      </c>
      <c r="D2" s="14">
        <v>0</v>
      </c>
      <c r="E2" s="14">
        <v>0</v>
      </c>
      <c r="F2" s="14">
        <v>0</v>
      </c>
    </row>
    <row r="3" spans="1:6" x14ac:dyDescent="0.35">
      <c r="A3" t="s">
        <v>1936</v>
      </c>
      <c r="B3" t="s">
        <v>7</v>
      </c>
      <c r="C3" s="14">
        <v>8321821560382</v>
      </c>
      <c r="D3" s="14">
        <v>9278479827420</v>
      </c>
      <c r="E3" s="14">
        <v>0</v>
      </c>
      <c r="F3" s="14">
        <v>0</v>
      </c>
    </row>
    <row r="4" spans="1:6" x14ac:dyDescent="0.35">
      <c r="A4" t="s">
        <v>1936</v>
      </c>
      <c r="B4" t="s">
        <v>8</v>
      </c>
      <c r="C4" s="14">
        <v>783217339870</v>
      </c>
      <c r="D4" s="14">
        <v>585910587193</v>
      </c>
      <c r="E4" s="14">
        <v>0</v>
      </c>
      <c r="F4" s="14">
        <v>0</v>
      </c>
    </row>
    <row r="5" spans="1:6" x14ac:dyDescent="0.35">
      <c r="A5" t="s">
        <v>1936</v>
      </c>
      <c r="B5" t="s">
        <v>9</v>
      </c>
      <c r="C5" s="14">
        <v>490391373838</v>
      </c>
      <c r="D5" s="14">
        <v>464795726298</v>
      </c>
      <c r="E5" s="14">
        <v>0</v>
      </c>
      <c r="F5" s="14">
        <v>0</v>
      </c>
    </row>
    <row r="6" spans="1:6" x14ac:dyDescent="0.35">
      <c r="A6" t="s">
        <v>1936</v>
      </c>
      <c r="B6" t="s">
        <v>10</v>
      </c>
      <c r="C6" s="14">
        <v>292825966032</v>
      </c>
      <c r="D6" s="14">
        <v>121114860895</v>
      </c>
      <c r="E6" s="14">
        <v>0</v>
      </c>
      <c r="F6" s="14">
        <v>0</v>
      </c>
    </row>
    <row r="7" spans="1:6" x14ac:dyDescent="0.35">
      <c r="A7" t="s">
        <v>1936</v>
      </c>
      <c r="B7" t="s">
        <v>11</v>
      </c>
      <c r="C7" s="14">
        <v>1140307114085</v>
      </c>
      <c r="D7" s="14">
        <v>1604647476453</v>
      </c>
      <c r="E7" s="14">
        <v>0</v>
      </c>
      <c r="F7" s="14">
        <v>0</v>
      </c>
    </row>
    <row r="8" spans="1:6" x14ac:dyDescent="0.35">
      <c r="A8" t="s">
        <v>1936</v>
      </c>
      <c r="B8" t="s">
        <v>12</v>
      </c>
      <c r="C8" s="14">
        <v>0</v>
      </c>
      <c r="D8" s="14">
        <v>1410012119</v>
      </c>
      <c r="E8" s="14">
        <v>0</v>
      </c>
      <c r="F8" s="14">
        <v>0</v>
      </c>
    </row>
    <row r="9" spans="1:6" x14ac:dyDescent="0.35">
      <c r="A9" t="s">
        <v>1936</v>
      </c>
      <c r="B9" t="s">
        <v>13</v>
      </c>
      <c r="C9" s="14">
        <v>0</v>
      </c>
      <c r="D9" s="14">
        <v>-22502203</v>
      </c>
      <c r="E9" s="14">
        <v>0</v>
      </c>
      <c r="F9" s="14">
        <v>0</v>
      </c>
    </row>
    <row r="10" spans="1:6" x14ac:dyDescent="0.35">
      <c r="A10" t="s">
        <v>1936</v>
      </c>
      <c r="B10" t="s">
        <v>14</v>
      </c>
      <c r="C10" s="14">
        <v>1140307114085</v>
      </c>
      <c r="D10" s="14">
        <v>1603259966537</v>
      </c>
      <c r="E10" s="14">
        <v>0</v>
      </c>
      <c r="F10" s="14">
        <v>0</v>
      </c>
    </row>
    <row r="11" spans="1:6" x14ac:dyDescent="0.35">
      <c r="A11" t="s">
        <v>1936</v>
      </c>
      <c r="B11" t="s">
        <v>15</v>
      </c>
      <c r="C11" s="14">
        <v>3198080939368</v>
      </c>
      <c r="D11" s="14">
        <v>4177668128101</v>
      </c>
      <c r="E11" s="14">
        <v>0</v>
      </c>
      <c r="F11" s="14">
        <v>0</v>
      </c>
    </row>
    <row r="12" spans="1:6" x14ac:dyDescent="0.35">
      <c r="A12" t="s">
        <v>1936</v>
      </c>
      <c r="B12" t="s">
        <v>16</v>
      </c>
      <c r="C12" s="14">
        <v>1440262277327</v>
      </c>
      <c r="D12" s="14">
        <v>1721316421872</v>
      </c>
      <c r="E12" s="14">
        <v>0</v>
      </c>
      <c r="F12" s="14">
        <v>0</v>
      </c>
    </row>
    <row r="13" spans="1:6" x14ac:dyDescent="0.35">
      <c r="A13" t="s">
        <v>1936</v>
      </c>
      <c r="B13" t="s">
        <v>17</v>
      </c>
      <c r="C13" s="14">
        <v>1413268388970</v>
      </c>
      <c r="D13" s="14">
        <v>2232893607587</v>
      </c>
      <c r="E13" s="14">
        <v>0</v>
      </c>
      <c r="F13" s="14">
        <v>0</v>
      </c>
    </row>
    <row r="14" spans="1:6" x14ac:dyDescent="0.35">
      <c r="A14" t="s">
        <v>1936</v>
      </c>
      <c r="B14" t="s">
        <v>18</v>
      </c>
      <c r="C14" s="14">
        <v>0</v>
      </c>
      <c r="D14" s="14">
        <v>0</v>
      </c>
      <c r="E14" s="14">
        <v>0</v>
      </c>
      <c r="F14" s="14">
        <v>0</v>
      </c>
    </row>
    <row r="15" spans="1:6" x14ac:dyDescent="0.35">
      <c r="A15" t="s">
        <v>1936</v>
      </c>
      <c r="B15" t="s">
        <v>19</v>
      </c>
      <c r="C15" s="14">
        <v>0</v>
      </c>
      <c r="D15" s="14">
        <v>0</v>
      </c>
      <c r="E15" s="14">
        <v>0</v>
      </c>
      <c r="F15" s="14">
        <v>0</v>
      </c>
    </row>
    <row r="16" spans="1:6" x14ac:dyDescent="0.35">
      <c r="A16" t="s">
        <v>1936</v>
      </c>
      <c r="B16" t="s">
        <v>20</v>
      </c>
      <c r="C16" s="14">
        <v>1000000000</v>
      </c>
      <c r="D16" s="14">
        <v>0</v>
      </c>
      <c r="E16" s="14">
        <v>0</v>
      </c>
      <c r="F16" s="14">
        <v>0</v>
      </c>
    </row>
    <row r="17" spans="1:6" x14ac:dyDescent="0.35">
      <c r="A17" t="s">
        <v>1936</v>
      </c>
      <c r="B17" t="s">
        <v>21</v>
      </c>
      <c r="C17" s="14">
        <v>411220840966</v>
      </c>
      <c r="D17" s="14">
        <v>290148805523</v>
      </c>
      <c r="E17" s="14">
        <v>0</v>
      </c>
      <c r="F17" s="14">
        <v>0</v>
      </c>
    </row>
    <row r="18" spans="1:6" x14ac:dyDescent="0.35">
      <c r="A18" t="s">
        <v>1936</v>
      </c>
      <c r="B18" t="s">
        <v>22</v>
      </c>
      <c r="C18" s="14">
        <v>-67670567895</v>
      </c>
      <c r="D18" s="14">
        <v>-66792240408</v>
      </c>
      <c r="E18" s="14">
        <v>0</v>
      </c>
      <c r="F18" s="14">
        <v>0</v>
      </c>
    </row>
    <row r="19" spans="1:6" x14ac:dyDescent="0.35">
      <c r="A19" t="s">
        <v>1936</v>
      </c>
      <c r="B19" t="s">
        <v>23</v>
      </c>
      <c r="C19" s="14">
        <v>0</v>
      </c>
      <c r="D19" s="14">
        <v>101533527</v>
      </c>
      <c r="E19" s="14">
        <v>0</v>
      </c>
      <c r="F19" s="14">
        <v>0</v>
      </c>
    </row>
    <row r="20" spans="1:6" x14ac:dyDescent="0.35">
      <c r="A20" t="s">
        <v>1936</v>
      </c>
      <c r="B20" t="s">
        <v>24</v>
      </c>
      <c r="C20" s="14">
        <v>3041691988354</v>
      </c>
      <c r="D20" s="14">
        <v>2856255788611</v>
      </c>
      <c r="E20" s="14">
        <v>0</v>
      </c>
      <c r="F20" s="14">
        <v>0</v>
      </c>
    </row>
    <row r="21" spans="1:6" x14ac:dyDescent="0.35">
      <c r="A21" t="s">
        <v>1936</v>
      </c>
      <c r="B21" t="s">
        <v>25</v>
      </c>
      <c r="C21" s="14">
        <v>3091198047237</v>
      </c>
      <c r="D21" s="14">
        <v>2856255788611</v>
      </c>
      <c r="E21" s="14">
        <v>0</v>
      </c>
      <c r="F21" s="14">
        <v>0</v>
      </c>
    </row>
    <row r="22" spans="1:6" x14ac:dyDescent="0.35">
      <c r="A22" t="s">
        <v>1936</v>
      </c>
      <c r="B22" t="s">
        <v>26</v>
      </c>
      <c r="C22" s="14">
        <v>-49506058883</v>
      </c>
      <c r="D22" s="14">
        <v>0</v>
      </c>
      <c r="E22" s="14">
        <v>0</v>
      </c>
      <c r="F22" s="14">
        <v>0</v>
      </c>
    </row>
    <row r="23" spans="1:6" x14ac:dyDescent="0.35">
      <c r="A23" t="s">
        <v>1936</v>
      </c>
      <c r="B23" t="s">
        <v>27</v>
      </c>
      <c r="C23" s="14">
        <v>158524178705</v>
      </c>
      <c r="D23" s="14">
        <v>53997847062</v>
      </c>
      <c r="E23" s="14">
        <v>0</v>
      </c>
      <c r="F23" s="14">
        <v>0</v>
      </c>
    </row>
    <row r="24" spans="1:6" x14ac:dyDescent="0.35">
      <c r="A24" t="s">
        <v>1936</v>
      </c>
      <c r="B24" t="s">
        <v>28</v>
      </c>
      <c r="C24" s="14">
        <v>4559749525</v>
      </c>
      <c r="D24" s="14">
        <v>5738145690</v>
      </c>
      <c r="E24" s="14">
        <v>0</v>
      </c>
      <c r="F24" s="14">
        <v>0</v>
      </c>
    </row>
    <row r="25" spans="1:6" x14ac:dyDescent="0.35">
      <c r="A25" t="s">
        <v>1936</v>
      </c>
      <c r="B25" t="s">
        <v>29</v>
      </c>
      <c r="C25" s="14">
        <v>153556450372</v>
      </c>
      <c r="D25" s="14">
        <v>46644294486</v>
      </c>
      <c r="E25" s="14">
        <v>0</v>
      </c>
      <c r="F25" s="14">
        <v>0</v>
      </c>
    </row>
    <row r="26" spans="1:6" x14ac:dyDescent="0.35">
      <c r="A26" t="s">
        <v>1936</v>
      </c>
      <c r="B26" t="s">
        <v>30</v>
      </c>
      <c r="C26" s="14">
        <v>407978808</v>
      </c>
      <c r="D26" s="14">
        <v>1615406886</v>
      </c>
      <c r="E26" s="14">
        <v>0</v>
      </c>
      <c r="F26" s="14">
        <v>0</v>
      </c>
    </row>
    <row r="27" spans="1:6" x14ac:dyDescent="0.35">
      <c r="A27" t="s">
        <v>1936</v>
      </c>
      <c r="B27" t="s">
        <v>31</v>
      </c>
      <c r="C27" s="14">
        <v>0</v>
      </c>
      <c r="D27" s="14">
        <v>0</v>
      </c>
      <c r="E27" s="14">
        <v>0</v>
      </c>
      <c r="F27" s="14">
        <v>0</v>
      </c>
    </row>
    <row r="28" spans="1:6" x14ac:dyDescent="0.35">
      <c r="A28" t="s">
        <v>1936</v>
      </c>
      <c r="B28" t="s">
        <v>32</v>
      </c>
      <c r="C28" s="14">
        <v>0</v>
      </c>
      <c r="D28" s="14">
        <v>0</v>
      </c>
      <c r="E28" s="14">
        <v>0</v>
      </c>
      <c r="F28" s="14">
        <v>0</v>
      </c>
    </row>
    <row r="29" spans="1:6" x14ac:dyDescent="0.35">
      <c r="A29" t="s">
        <v>1936</v>
      </c>
      <c r="B29" t="s">
        <v>33</v>
      </c>
      <c r="C29" s="14">
        <v>9282773448021</v>
      </c>
      <c r="D29" s="14">
        <v>8890634102980</v>
      </c>
      <c r="E29" s="14">
        <v>0</v>
      </c>
      <c r="F29" s="14">
        <v>0</v>
      </c>
    </row>
    <row r="30" spans="1:6" x14ac:dyDescent="0.35">
      <c r="A30" t="s">
        <v>1936</v>
      </c>
      <c r="B30" t="s">
        <v>34</v>
      </c>
      <c r="C30" s="14">
        <v>31049611008</v>
      </c>
      <c r="D30" s="14">
        <v>40112215814</v>
      </c>
      <c r="E30" s="14">
        <v>0</v>
      </c>
      <c r="F30" s="14">
        <v>0</v>
      </c>
    </row>
    <row r="31" spans="1:6" x14ac:dyDescent="0.35">
      <c r="A31" t="s">
        <v>1936</v>
      </c>
      <c r="B31" t="s">
        <v>35</v>
      </c>
      <c r="C31" s="14">
        <v>0</v>
      </c>
      <c r="D31" s="14">
        <v>0</v>
      </c>
      <c r="E31" s="14">
        <v>0</v>
      </c>
      <c r="F31" s="14">
        <v>0</v>
      </c>
    </row>
    <row r="32" spans="1:6" x14ac:dyDescent="0.35">
      <c r="A32" t="s">
        <v>1936</v>
      </c>
      <c r="B32" t="s">
        <v>36</v>
      </c>
      <c r="C32" s="14">
        <v>14500000</v>
      </c>
      <c r="D32" s="14">
        <v>14500000</v>
      </c>
      <c r="E32" s="14">
        <v>0</v>
      </c>
      <c r="F32" s="14">
        <v>0</v>
      </c>
    </row>
    <row r="33" spans="1:6" x14ac:dyDescent="0.35">
      <c r="A33" t="s">
        <v>1936</v>
      </c>
      <c r="B33" t="s">
        <v>37</v>
      </c>
      <c r="C33" s="14">
        <v>0</v>
      </c>
      <c r="D33" s="14">
        <v>0</v>
      </c>
      <c r="E33" s="14">
        <v>0</v>
      </c>
      <c r="F33" s="14">
        <v>0</v>
      </c>
    </row>
    <row r="34" spans="1:6" x14ac:dyDescent="0.35">
      <c r="A34" t="s">
        <v>1936</v>
      </c>
      <c r="B34" t="s">
        <v>38</v>
      </c>
      <c r="C34" s="14">
        <v>0</v>
      </c>
      <c r="D34" s="14">
        <v>0</v>
      </c>
      <c r="E34" s="14">
        <v>0</v>
      </c>
      <c r="F34" s="14">
        <v>0</v>
      </c>
    </row>
    <row r="35" spans="1:6" x14ac:dyDescent="0.35">
      <c r="A35" t="s">
        <v>1936</v>
      </c>
      <c r="B35" t="s">
        <v>39</v>
      </c>
      <c r="C35" s="14">
        <v>0</v>
      </c>
      <c r="D35" s="14">
        <v>0</v>
      </c>
      <c r="E35" s="14">
        <v>0</v>
      </c>
      <c r="F35" s="14">
        <v>0</v>
      </c>
    </row>
    <row r="36" spans="1:6" x14ac:dyDescent="0.35">
      <c r="A36" t="s">
        <v>1936</v>
      </c>
      <c r="B36" t="s">
        <v>40</v>
      </c>
      <c r="C36" s="14">
        <v>31035111008</v>
      </c>
      <c r="D36" s="14">
        <v>40097715814</v>
      </c>
      <c r="E36" s="14">
        <v>0</v>
      </c>
      <c r="F36" s="14">
        <v>0</v>
      </c>
    </row>
    <row r="37" spans="1:6" x14ac:dyDescent="0.35">
      <c r="A37" t="s">
        <v>1936</v>
      </c>
      <c r="B37" t="s">
        <v>41</v>
      </c>
      <c r="C37" s="14">
        <v>0</v>
      </c>
      <c r="D37" s="14">
        <v>0</v>
      </c>
      <c r="E37" s="14">
        <v>0</v>
      </c>
      <c r="F37" s="14">
        <v>0</v>
      </c>
    </row>
    <row r="38" spans="1:6" x14ac:dyDescent="0.35">
      <c r="A38" t="s">
        <v>1936</v>
      </c>
      <c r="B38" t="s">
        <v>42</v>
      </c>
      <c r="C38" s="14">
        <v>6957454414097</v>
      </c>
      <c r="D38" s="14">
        <v>6713539729135</v>
      </c>
      <c r="E38" s="14">
        <v>0</v>
      </c>
      <c r="F38" s="14">
        <v>0</v>
      </c>
    </row>
    <row r="39" spans="1:6" x14ac:dyDescent="0.35">
      <c r="A39" t="s">
        <v>1936</v>
      </c>
      <c r="B39" t="s">
        <v>43</v>
      </c>
      <c r="C39" s="14">
        <v>5383411623813</v>
      </c>
      <c r="D39" s="14">
        <v>5197686238349</v>
      </c>
      <c r="E39" s="14">
        <v>0</v>
      </c>
      <c r="F39" s="14">
        <v>0</v>
      </c>
    </row>
    <row r="40" spans="1:6" x14ac:dyDescent="0.35">
      <c r="A40" t="s">
        <v>1936</v>
      </c>
      <c r="B40" t="s">
        <v>44</v>
      </c>
      <c r="C40" s="14">
        <v>6130403091366</v>
      </c>
      <c r="D40" s="14">
        <v>6261072263062</v>
      </c>
      <c r="E40" s="14">
        <v>0</v>
      </c>
      <c r="F40" s="14">
        <v>0</v>
      </c>
    </row>
    <row r="41" spans="1:6" x14ac:dyDescent="0.35">
      <c r="A41" t="s">
        <v>1936</v>
      </c>
      <c r="B41" t="s">
        <v>45</v>
      </c>
      <c r="C41" s="14">
        <v>-746991467553</v>
      </c>
      <c r="D41" s="14">
        <v>-1063386024713</v>
      </c>
      <c r="E41" s="14">
        <v>0</v>
      </c>
      <c r="F41" s="14">
        <v>0</v>
      </c>
    </row>
    <row r="42" spans="1:6" x14ac:dyDescent="0.35">
      <c r="A42" t="s">
        <v>1936</v>
      </c>
      <c r="B42" t="s">
        <v>46</v>
      </c>
      <c r="C42" s="14">
        <v>295754662666</v>
      </c>
      <c r="D42" s="14">
        <v>249470828912</v>
      </c>
      <c r="E42" s="14">
        <v>0</v>
      </c>
      <c r="F42" s="14">
        <v>0</v>
      </c>
    </row>
    <row r="43" spans="1:6" x14ac:dyDescent="0.35">
      <c r="A43" t="s">
        <v>1936</v>
      </c>
      <c r="B43" t="s">
        <v>44</v>
      </c>
      <c r="C43" s="14">
        <v>384839846296</v>
      </c>
      <c r="D43" s="14">
        <v>312371978814</v>
      </c>
      <c r="E43" s="14">
        <v>0</v>
      </c>
      <c r="F43" s="14">
        <v>0</v>
      </c>
    </row>
    <row r="44" spans="1:6" x14ac:dyDescent="0.35">
      <c r="A44" t="s">
        <v>1936</v>
      </c>
      <c r="B44" t="s">
        <v>45</v>
      </c>
      <c r="C44" s="14">
        <v>-89085183630</v>
      </c>
      <c r="D44" s="14">
        <v>-62901149902</v>
      </c>
      <c r="E44" s="14">
        <v>0</v>
      </c>
      <c r="F44" s="14">
        <v>0</v>
      </c>
    </row>
    <row r="45" spans="1:6" x14ac:dyDescent="0.35">
      <c r="A45" t="s">
        <v>1936</v>
      </c>
      <c r="B45" t="s">
        <v>47</v>
      </c>
      <c r="C45" s="14">
        <v>1278288127618</v>
      </c>
      <c r="D45" s="14">
        <v>1266382661874</v>
      </c>
      <c r="E45" s="14">
        <v>0</v>
      </c>
      <c r="F45" s="14">
        <v>0</v>
      </c>
    </row>
    <row r="46" spans="1:6" x14ac:dyDescent="0.35">
      <c r="A46" t="s">
        <v>1936</v>
      </c>
      <c r="B46" t="s">
        <v>44</v>
      </c>
      <c r="C46" s="14">
        <v>1343172399393</v>
      </c>
      <c r="D46" s="14">
        <v>1347788344380</v>
      </c>
      <c r="E46" s="14">
        <v>0</v>
      </c>
      <c r="F46" s="14">
        <v>0</v>
      </c>
    </row>
    <row r="47" spans="1:6" x14ac:dyDescent="0.35">
      <c r="A47" t="s">
        <v>1936</v>
      </c>
      <c r="B47" t="s">
        <v>45</v>
      </c>
      <c r="C47" s="14">
        <v>-64884271775</v>
      </c>
      <c r="D47" s="14">
        <v>-81405682506</v>
      </c>
      <c r="E47" s="14">
        <v>0</v>
      </c>
      <c r="F47" s="14">
        <v>0</v>
      </c>
    </row>
    <row r="48" spans="1:6" x14ac:dyDescent="0.35">
      <c r="A48" t="s">
        <v>1936</v>
      </c>
      <c r="B48" t="s">
        <v>48</v>
      </c>
      <c r="C48" s="14">
        <v>327297737900</v>
      </c>
      <c r="D48" s="14">
        <v>323039583988</v>
      </c>
      <c r="E48" s="14">
        <v>0</v>
      </c>
      <c r="F48" s="14">
        <v>0</v>
      </c>
    </row>
    <row r="49" spans="1:6" x14ac:dyDescent="0.35">
      <c r="A49" t="s">
        <v>1936</v>
      </c>
      <c r="B49" t="s">
        <v>44</v>
      </c>
      <c r="C49" s="14">
        <v>413600931716</v>
      </c>
      <c r="D49" s="14">
        <v>435099358626</v>
      </c>
      <c r="E49" s="14">
        <v>0</v>
      </c>
      <c r="F49" s="14">
        <v>0</v>
      </c>
    </row>
    <row r="50" spans="1:6" x14ac:dyDescent="0.35">
      <c r="A50" t="s">
        <v>1936</v>
      </c>
      <c r="B50" t="s">
        <v>45</v>
      </c>
      <c r="C50" s="14">
        <v>-86303193816</v>
      </c>
      <c r="D50" s="14">
        <v>-112059774638</v>
      </c>
      <c r="E50" s="14">
        <v>0</v>
      </c>
      <c r="F50" s="14">
        <v>0</v>
      </c>
    </row>
    <row r="51" spans="1:6" x14ac:dyDescent="0.35">
      <c r="A51" t="s">
        <v>1936</v>
      </c>
      <c r="B51" t="s">
        <v>49</v>
      </c>
      <c r="C51" s="14">
        <v>1036863496844</v>
      </c>
      <c r="D51" s="14">
        <v>885216106407</v>
      </c>
      <c r="E51" s="14">
        <v>0</v>
      </c>
      <c r="F51" s="14">
        <v>0</v>
      </c>
    </row>
    <row r="52" spans="1:6" x14ac:dyDescent="0.35">
      <c r="A52" t="s">
        <v>1936</v>
      </c>
      <c r="B52" t="s">
        <v>50</v>
      </c>
      <c r="C52" s="14">
        <v>0</v>
      </c>
      <c r="D52" s="14">
        <v>0</v>
      </c>
      <c r="E52" s="14">
        <v>0</v>
      </c>
      <c r="F52" s="14">
        <v>0</v>
      </c>
    </row>
    <row r="53" spans="1:6" x14ac:dyDescent="0.35">
      <c r="A53" t="s">
        <v>1936</v>
      </c>
      <c r="B53" t="s">
        <v>51</v>
      </c>
      <c r="C53" s="14">
        <v>1036863496844</v>
      </c>
      <c r="D53" s="14">
        <v>885216106407</v>
      </c>
      <c r="E53" s="14">
        <v>0</v>
      </c>
      <c r="F53" s="14">
        <v>0</v>
      </c>
    </row>
    <row r="54" spans="1:6" x14ac:dyDescent="0.35">
      <c r="A54" t="s">
        <v>1936</v>
      </c>
      <c r="B54" t="s">
        <v>52</v>
      </c>
      <c r="C54" s="14">
        <v>297934700426</v>
      </c>
      <c r="D54" s="14">
        <v>141395612472</v>
      </c>
      <c r="E54" s="14">
        <v>0</v>
      </c>
      <c r="F54" s="14">
        <v>0</v>
      </c>
    </row>
    <row r="55" spans="1:6" x14ac:dyDescent="0.35">
      <c r="A55" t="s">
        <v>1936</v>
      </c>
      <c r="B55" t="s">
        <v>53</v>
      </c>
      <c r="C55" s="14">
        <v>0</v>
      </c>
      <c r="D55" s="14">
        <v>0</v>
      </c>
      <c r="E55" s="14">
        <v>0</v>
      </c>
      <c r="F55" s="14">
        <v>0</v>
      </c>
    </row>
    <row r="56" spans="1:6" x14ac:dyDescent="0.35">
      <c r="A56" t="s">
        <v>1936</v>
      </c>
      <c r="B56" t="s">
        <v>54</v>
      </c>
      <c r="C56" s="14">
        <v>0</v>
      </c>
      <c r="D56" s="14">
        <v>0</v>
      </c>
      <c r="E56" s="14">
        <v>0</v>
      </c>
      <c r="F56" s="14">
        <v>0</v>
      </c>
    </row>
    <row r="57" spans="1:6" x14ac:dyDescent="0.35">
      <c r="A57" t="s">
        <v>1936</v>
      </c>
      <c r="B57" t="s">
        <v>55</v>
      </c>
      <c r="C57" s="14">
        <v>2000000000</v>
      </c>
      <c r="D57" s="14">
        <v>2000000000</v>
      </c>
      <c r="E57" s="14">
        <v>0</v>
      </c>
      <c r="F57" s="14">
        <v>0</v>
      </c>
    </row>
    <row r="58" spans="1:6" x14ac:dyDescent="0.35">
      <c r="A58" t="s">
        <v>1936</v>
      </c>
      <c r="B58" t="s">
        <v>56</v>
      </c>
      <c r="C58" s="14">
        <v>-1560299574</v>
      </c>
      <c r="D58" s="14">
        <v>-2000000000</v>
      </c>
      <c r="E58" s="14">
        <v>0</v>
      </c>
      <c r="F58" s="14">
        <v>0</v>
      </c>
    </row>
    <row r="59" spans="1:6" x14ac:dyDescent="0.35">
      <c r="A59" t="s">
        <v>1936</v>
      </c>
      <c r="B59" t="s">
        <v>57</v>
      </c>
      <c r="C59" s="14">
        <v>297495000000</v>
      </c>
      <c r="D59" s="14">
        <v>141395612472</v>
      </c>
      <c r="E59" s="14">
        <v>0</v>
      </c>
      <c r="F59" s="14">
        <v>0</v>
      </c>
    </row>
    <row r="60" spans="1:6" x14ac:dyDescent="0.35">
      <c r="A60" t="s">
        <v>1936</v>
      </c>
      <c r="B60" t="s">
        <v>58</v>
      </c>
      <c r="C60" s="14">
        <v>632173487746</v>
      </c>
      <c r="D60" s="14">
        <v>787330855164</v>
      </c>
      <c r="E60" s="14">
        <v>0</v>
      </c>
      <c r="F60" s="14">
        <v>0</v>
      </c>
    </row>
    <row r="61" spans="1:6" x14ac:dyDescent="0.35">
      <c r="A61" t="s">
        <v>1936</v>
      </c>
      <c r="B61" t="s">
        <v>59</v>
      </c>
      <c r="C61" s="14">
        <v>400235146520</v>
      </c>
      <c r="D61" s="14">
        <v>587889652058</v>
      </c>
      <c r="E61" s="14">
        <v>0</v>
      </c>
      <c r="F61" s="14">
        <v>0</v>
      </c>
    </row>
    <row r="62" spans="1:6" x14ac:dyDescent="0.35">
      <c r="A62" t="s">
        <v>1936</v>
      </c>
      <c r="B62" t="s">
        <v>60</v>
      </c>
      <c r="C62" s="14">
        <v>2576809910</v>
      </c>
      <c r="D62" s="14">
        <v>6617946648</v>
      </c>
      <c r="E62" s="14">
        <v>0</v>
      </c>
      <c r="F62" s="14">
        <v>0</v>
      </c>
    </row>
    <row r="63" spans="1:6" x14ac:dyDescent="0.35">
      <c r="A63" t="s">
        <v>1936</v>
      </c>
      <c r="B63" t="s">
        <v>61</v>
      </c>
      <c r="C63" s="14">
        <v>0</v>
      </c>
      <c r="D63" s="14">
        <v>0</v>
      </c>
      <c r="E63" s="14">
        <v>0</v>
      </c>
      <c r="F63" s="14">
        <v>0</v>
      </c>
    </row>
    <row r="64" spans="1:6" x14ac:dyDescent="0.35">
      <c r="A64" t="s">
        <v>1936</v>
      </c>
      <c r="B64" t="s">
        <v>62</v>
      </c>
      <c r="C64" s="14">
        <v>0</v>
      </c>
      <c r="D64" s="14">
        <v>0</v>
      </c>
      <c r="E64" s="14">
        <v>0</v>
      </c>
      <c r="F64" s="14">
        <v>0</v>
      </c>
    </row>
    <row r="65" spans="1:6" x14ac:dyDescent="0.35">
      <c r="A65" t="s">
        <v>1936</v>
      </c>
      <c r="B65" t="s">
        <v>63</v>
      </c>
      <c r="C65" s="14">
        <v>229361531316</v>
      </c>
      <c r="D65" s="14">
        <v>192823256458</v>
      </c>
      <c r="E65" s="14">
        <v>0</v>
      </c>
      <c r="F65" s="14">
        <v>0</v>
      </c>
    </row>
    <row r="66" spans="1:6" x14ac:dyDescent="0.35">
      <c r="A66" t="s">
        <v>1936</v>
      </c>
      <c r="B66" t="s">
        <v>64</v>
      </c>
      <c r="C66" s="14">
        <v>17604595008403</v>
      </c>
      <c r="D66" s="14">
        <v>18169113930400</v>
      </c>
      <c r="E66" s="14">
        <v>0</v>
      </c>
      <c r="F66" s="14">
        <v>0</v>
      </c>
    </row>
    <row r="67" spans="1:6" x14ac:dyDescent="0.35">
      <c r="A67" t="s">
        <v>1936</v>
      </c>
      <c r="B67" t="s">
        <v>65</v>
      </c>
      <c r="C67" s="14">
        <v>0</v>
      </c>
      <c r="D67" s="14">
        <v>0</v>
      </c>
      <c r="E67" s="14">
        <v>0</v>
      </c>
      <c r="F67" s="14">
        <v>0</v>
      </c>
    </row>
    <row r="68" spans="1:6" x14ac:dyDescent="0.35">
      <c r="A68" t="s">
        <v>1936</v>
      </c>
      <c r="B68" t="s">
        <v>66</v>
      </c>
      <c r="C68" s="14">
        <v>10732486502082</v>
      </c>
      <c r="D68" s="14">
        <v>10592774179941</v>
      </c>
      <c r="E68" s="14">
        <v>0</v>
      </c>
      <c r="F68" s="14">
        <v>0</v>
      </c>
    </row>
    <row r="69" spans="1:6" x14ac:dyDescent="0.35">
      <c r="A69" t="s">
        <v>1936</v>
      </c>
      <c r="B69" t="s">
        <v>67</v>
      </c>
      <c r="C69" s="14">
        <v>6533710844134</v>
      </c>
      <c r="D69" s="14">
        <v>6531470969868</v>
      </c>
      <c r="E69" s="14">
        <v>0</v>
      </c>
      <c r="F69" s="14">
        <v>0</v>
      </c>
    </row>
    <row r="70" spans="1:6" x14ac:dyDescent="0.35">
      <c r="A70" t="s">
        <v>1936</v>
      </c>
      <c r="B70" t="s">
        <v>68</v>
      </c>
      <c r="C70" s="14">
        <v>1097766949284</v>
      </c>
      <c r="D70" s="14">
        <v>963645033225</v>
      </c>
      <c r="E70" s="14">
        <v>0</v>
      </c>
      <c r="F70" s="14">
        <v>0</v>
      </c>
    </row>
    <row r="71" spans="1:6" x14ac:dyDescent="0.35">
      <c r="A71" t="s">
        <v>1936</v>
      </c>
      <c r="B71" t="s">
        <v>69</v>
      </c>
      <c r="C71" s="14">
        <v>103929507890</v>
      </c>
      <c r="D71" s="14">
        <v>581448360748</v>
      </c>
      <c r="E71" s="14">
        <v>0</v>
      </c>
      <c r="F71" s="14">
        <v>0</v>
      </c>
    </row>
    <row r="72" spans="1:6" x14ac:dyDescent="0.35">
      <c r="A72" t="s">
        <v>1936</v>
      </c>
      <c r="B72" t="s">
        <v>70</v>
      </c>
      <c r="C72" s="14">
        <v>123829075782</v>
      </c>
      <c r="D72" s="14">
        <v>175979524158</v>
      </c>
      <c r="E72" s="14">
        <v>0</v>
      </c>
      <c r="F72" s="14">
        <v>0</v>
      </c>
    </row>
    <row r="73" spans="1:6" x14ac:dyDescent="0.35">
      <c r="A73" t="s">
        <v>1936</v>
      </c>
      <c r="B73" t="s">
        <v>71</v>
      </c>
      <c r="C73" s="14">
        <v>52257345266</v>
      </c>
      <c r="D73" s="14">
        <v>32170951971</v>
      </c>
      <c r="E73" s="14">
        <v>0</v>
      </c>
      <c r="F73" s="14">
        <v>0</v>
      </c>
    </row>
    <row r="74" spans="1:6" x14ac:dyDescent="0.35">
      <c r="A74" t="s">
        <v>1936</v>
      </c>
      <c r="B74" t="s">
        <v>72</v>
      </c>
      <c r="C74" s="14">
        <v>35073534113</v>
      </c>
      <c r="D74" s="14">
        <v>34709555726</v>
      </c>
      <c r="E74" s="14">
        <v>0</v>
      </c>
      <c r="F74" s="14">
        <v>0</v>
      </c>
    </row>
    <row r="75" spans="1:6" x14ac:dyDescent="0.35">
      <c r="A75" t="s">
        <v>1936</v>
      </c>
      <c r="B75" t="s">
        <v>73</v>
      </c>
      <c r="C75" s="14">
        <v>0</v>
      </c>
      <c r="D75" s="14">
        <v>0</v>
      </c>
      <c r="E75" s="14">
        <v>0</v>
      </c>
      <c r="F75" s="14">
        <v>0</v>
      </c>
    </row>
    <row r="76" spans="1:6" x14ac:dyDescent="0.35">
      <c r="A76" t="s">
        <v>1936</v>
      </c>
      <c r="B76" t="s">
        <v>74</v>
      </c>
      <c r="C76" s="14">
        <v>0</v>
      </c>
      <c r="D76" s="14">
        <v>0</v>
      </c>
      <c r="E76" s="14">
        <v>0</v>
      </c>
      <c r="F76" s="14">
        <v>0</v>
      </c>
    </row>
    <row r="77" spans="1:6" x14ac:dyDescent="0.35">
      <c r="A77" t="s">
        <v>1936</v>
      </c>
      <c r="B77" t="s">
        <v>75</v>
      </c>
      <c r="C77" s="14">
        <v>8704601693</v>
      </c>
      <c r="D77" s="14">
        <v>6029710244</v>
      </c>
      <c r="E77" s="14">
        <v>0</v>
      </c>
      <c r="F77" s="14">
        <v>0</v>
      </c>
    </row>
    <row r="78" spans="1:6" x14ac:dyDescent="0.35">
      <c r="A78" t="s">
        <v>1936</v>
      </c>
      <c r="B78" t="s">
        <v>76</v>
      </c>
      <c r="C78" s="14">
        <v>131470108562</v>
      </c>
      <c r="D78" s="14">
        <v>70200898238</v>
      </c>
      <c r="E78" s="14">
        <v>0</v>
      </c>
      <c r="F78" s="14">
        <v>0</v>
      </c>
    </row>
    <row r="79" spans="1:6" x14ac:dyDescent="0.35">
      <c r="A79" t="s">
        <v>1936</v>
      </c>
      <c r="B79" t="s">
        <v>77</v>
      </c>
      <c r="C79" s="14">
        <v>4950176667363</v>
      </c>
      <c r="D79" s="14">
        <v>4632894701377</v>
      </c>
      <c r="E79" s="14">
        <v>0</v>
      </c>
      <c r="F79" s="14">
        <v>0</v>
      </c>
    </row>
    <row r="80" spans="1:6" x14ac:dyDescent="0.35">
      <c r="A80" t="s">
        <v>1936</v>
      </c>
      <c r="B80" t="s">
        <v>78</v>
      </c>
      <c r="C80" s="14">
        <v>0</v>
      </c>
      <c r="D80" s="14">
        <v>0</v>
      </c>
      <c r="E80" s="14">
        <v>0</v>
      </c>
      <c r="F80" s="14">
        <v>0</v>
      </c>
    </row>
    <row r="81" spans="1:6" x14ac:dyDescent="0.35">
      <c r="A81" t="s">
        <v>1936</v>
      </c>
      <c r="B81" t="s">
        <v>79</v>
      </c>
      <c r="C81" s="14">
        <v>30503054181</v>
      </c>
      <c r="D81" s="14">
        <v>34392234181</v>
      </c>
      <c r="E81" s="14">
        <v>0</v>
      </c>
      <c r="F81" s="14">
        <v>0</v>
      </c>
    </row>
    <row r="82" spans="1:6" x14ac:dyDescent="0.35">
      <c r="A82" t="s">
        <v>1936</v>
      </c>
      <c r="B82" t="s">
        <v>80</v>
      </c>
      <c r="C82" s="14">
        <v>0</v>
      </c>
      <c r="D82" s="14">
        <v>0</v>
      </c>
      <c r="E82" s="14">
        <v>0</v>
      </c>
      <c r="F82" s="14">
        <v>0</v>
      </c>
    </row>
    <row r="83" spans="1:6" x14ac:dyDescent="0.35">
      <c r="A83" t="s">
        <v>1936</v>
      </c>
      <c r="B83" t="s">
        <v>81</v>
      </c>
      <c r="C83" s="14">
        <v>0</v>
      </c>
      <c r="D83" s="14">
        <v>0</v>
      </c>
      <c r="E83" s="14">
        <v>0</v>
      </c>
      <c r="F83" s="14">
        <v>0</v>
      </c>
    </row>
    <row r="84" spans="1:6" x14ac:dyDescent="0.35">
      <c r="A84" t="s">
        <v>1936</v>
      </c>
      <c r="B84" t="s">
        <v>82</v>
      </c>
      <c r="C84" s="14">
        <v>4198775657948</v>
      </c>
      <c r="D84" s="14">
        <v>4061303210073</v>
      </c>
      <c r="E84" s="14">
        <v>0</v>
      </c>
      <c r="F84" s="14">
        <v>0</v>
      </c>
    </row>
    <row r="85" spans="1:6" x14ac:dyDescent="0.35">
      <c r="A85" t="s">
        <v>1936</v>
      </c>
      <c r="B85" t="s">
        <v>83</v>
      </c>
      <c r="C85" s="14">
        <v>757451821237</v>
      </c>
      <c r="D85" s="14">
        <v>771341821237</v>
      </c>
      <c r="E85" s="14">
        <v>0</v>
      </c>
      <c r="F85" s="14">
        <v>0</v>
      </c>
    </row>
    <row r="86" spans="1:6" x14ac:dyDescent="0.35">
      <c r="A86" t="s">
        <v>1936</v>
      </c>
      <c r="B86" t="s">
        <v>84</v>
      </c>
      <c r="C86" s="14">
        <v>0</v>
      </c>
      <c r="D86" s="14">
        <v>0</v>
      </c>
      <c r="E86" s="14">
        <v>0</v>
      </c>
      <c r="F86" s="14">
        <v>0</v>
      </c>
    </row>
    <row r="87" spans="1:6" x14ac:dyDescent="0.35">
      <c r="A87" t="s">
        <v>1936</v>
      </c>
      <c r="B87" t="s">
        <v>85</v>
      </c>
      <c r="C87" s="14">
        <v>0</v>
      </c>
      <c r="D87" s="14">
        <v>0</v>
      </c>
      <c r="E87" s="14">
        <v>0</v>
      </c>
      <c r="F87" s="14">
        <v>0</v>
      </c>
    </row>
    <row r="88" spans="1:6" x14ac:dyDescent="0.35">
      <c r="A88" t="s">
        <v>1936</v>
      </c>
      <c r="B88" t="s">
        <v>86</v>
      </c>
      <c r="C88" s="14">
        <v>0</v>
      </c>
      <c r="D88" s="14">
        <v>0</v>
      </c>
      <c r="E88" s="14">
        <v>0</v>
      </c>
      <c r="F88" s="14">
        <v>0</v>
      </c>
    </row>
    <row r="89" spans="1:6" x14ac:dyDescent="0.35">
      <c r="A89" t="s">
        <v>1936</v>
      </c>
      <c r="B89" t="s">
        <v>87</v>
      </c>
      <c r="C89" s="14">
        <v>0</v>
      </c>
      <c r="D89" s="14">
        <v>0</v>
      </c>
      <c r="E89" s="14">
        <v>0</v>
      </c>
      <c r="F89" s="14">
        <v>0</v>
      </c>
    </row>
    <row r="90" spans="1:6" x14ac:dyDescent="0.35">
      <c r="A90" t="s">
        <v>1936</v>
      </c>
      <c r="B90" t="s">
        <v>88</v>
      </c>
      <c r="C90" s="14">
        <v>12077519372</v>
      </c>
      <c r="D90" s="14">
        <v>14648536668</v>
      </c>
      <c r="E90" s="14">
        <v>0</v>
      </c>
      <c r="F90" s="14">
        <v>0</v>
      </c>
    </row>
    <row r="91" spans="1:6" x14ac:dyDescent="0.35">
      <c r="A91" t="s">
        <v>1936</v>
      </c>
      <c r="B91" t="s">
        <v>89</v>
      </c>
      <c r="C91" s="14">
        <v>1320000000</v>
      </c>
      <c r="D91" s="14">
        <v>1870000000</v>
      </c>
      <c r="E91" s="14">
        <v>0</v>
      </c>
      <c r="F91" s="14">
        <v>0</v>
      </c>
    </row>
    <row r="92" spans="1:6" x14ac:dyDescent="0.35">
      <c r="A92" t="s">
        <v>1936</v>
      </c>
      <c r="B92" t="s">
        <v>90</v>
      </c>
      <c r="C92" s="14">
        <v>3427336015389</v>
      </c>
      <c r="D92" s="14">
        <v>3271683210882</v>
      </c>
      <c r="E92" s="14">
        <v>0</v>
      </c>
      <c r="F92" s="14">
        <v>0</v>
      </c>
    </row>
    <row r="93" spans="1:6" x14ac:dyDescent="0.35">
      <c r="A93" t="s">
        <v>1936</v>
      </c>
      <c r="B93" t="s">
        <v>91</v>
      </c>
      <c r="C93" s="14">
        <v>0</v>
      </c>
      <c r="D93" s="14">
        <v>0</v>
      </c>
      <c r="E93" s="14">
        <v>0</v>
      </c>
      <c r="F93" s="14">
        <v>0</v>
      </c>
    </row>
    <row r="94" spans="1:6" x14ac:dyDescent="0.35">
      <c r="A94" t="s">
        <v>1936</v>
      </c>
      <c r="B94" t="s">
        <v>92</v>
      </c>
      <c r="C94" s="14">
        <v>0</v>
      </c>
      <c r="D94" s="14">
        <v>0</v>
      </c>
      <c r="E94" s="14">
        <v>0</v>
      </c>
      <c r="F94" s="14">
        <v>0</v>
      </c>
    </row>
    <row r="95" spans="1:6" x14ac:dyDescent="0.35">
      <c r="A95" t="s">
        <v>1936</v>
      </c>
      <c r="B95" t="s">
        <v>93</v>
      </c>
      <c r="C95" s="14">
        <v>590301950</v>
      </c>
      <c r="D95" s="14">
        <v>1759641286</v>
      </c>
      <c r="E95" s="14">
        <v>0</v>
      </c>
      <c r="F95" s="14">
        <v>0</v>
      </c>
    </row>
    <row r="96" spans="1:6" x14ac:dyDescent="0.35">
      <c r="A96" t="s">
        <v>1936</v>
      </c>
      <c r="B96" t="s">
        <v>94</v>
      </c>
      <c r="C96" s="14">
        <v>0</v>
      </c>
      <c r="D96" s="14">
        <v>0</v>
      </c>
      <c r="E96" s="14">
        <v>0</v>
      </c>
      <c r="F96" s="14">
        <v>0</v>
      </c>
    </row>
    <row r="97" spans="1:6" x14ac:dyDescent="0.35">
      <c r="A97" t="s">
        <v>1936</v>
      </c>
      <c r="B97" t="s">
        <v>95</v>
      </c>
      <c r="C97" s="14">
        <v>0</v>
      </c>
      <c r="D97" s="14">
        <v>0</v>
      </c>
      <c r="E97" s="14">
        <v>0</v>
      </c>
      <c r="F97" s="14">
        <v>0</v>
      </c>
    </row>
    <row r="98" spans="1:6" x14ac:dyDescent="0.35">
      <c r="A98" t="s">
        <v>1936</v>
      </c>
      <c r="B98" t="s">
        <v>96</v>
      </c>
      <c r="C98" s="14">
        <v>6872108506321</v>
      </c>
      <c r="D98" s="14">
        <v>7576339750459</v>
      </c>
      <c r="E98" s="14">
        <v>0</v>
      </c>
      <c r="F98" s="14">
        <v>0</v>
      </c>
    </row>
    <row r="99" spans="1:6" x14ac:dyDescent="0.35">
      <c r="A99" t="s">
        <v>1936</v>
      </c>
      <c r="B99" t="s">
        <v>97</v>
      </c>
      <c r="C99" s="14">
        <v>6865372851821</v>
      </c>
      <c r="D99" s="14">
        <v>7568709729259</v>
      </c>
      <c r="E99" s="14">
        <v>0</v>
      </c>
      <c r="F99" s="14">
        <v>0</v>
      </c>
    </row>
    <row r="100" spans="1:6" x14ac:dyDescent="0.35">
      <c r="A100" t="s">
        <v>1936</v>
      </c>
      <c r="B100" t="s">
        <v>98</v>
      </c>
      <c r="C100" s="14">
        <v>2588678490000</v>
      </c>
      <c r="D100" s="14">
        <v>2588678490000</v>
      </c>
      <c r="E100" s="14">
        <v>0</v>
      </c>
      <c r="F100" s="14">
        <v>0</v>
      </c>
    </row>
    <row r="101" spans="1:6" x14ac:dyDescent="0.35">
      <c r="A101" t="s">
        <v>1936</v>
      </c>
      <c r="B101" t="s">
        <v>99</v>
      </c>
      <c r="C101" s="14">
        <v>2588678490000</v>
      </c>
      <c r="D101" s="14">
        <v>2588678490000</v>
      </c>
      <c r="E101" s="14">
        <v>0</v>
      </c>
      <c r="F101" s="14">
        <v>0</v>
      </c>
    </row>
    <row r="102" spans="1:6" x14ac:dyDescent="0.35">
      <c r="A102" t="s">
        <v>1936</v>
      </c>
      <c r="B102" t="s">
        <v>100</v>
      </c>
      <c r="C102" s="14">
        <v>0</v>
      </c>
      <c r="D102" s="14">
        <v>0</v>
      </c>
      <c r="E102" s="14">
        <v>0</v>
      </c>
      <c r="F102" s="14">
        <v>0</v>
      </c>
    </row>
    <row r="103" spans="1:6" x14ac:dyDescent="0.35">
      <c r="A103" t="s">
        <v>1936</v>
      </c>
      <c r="B103" t="s">
        <v>101</v>
      </c>
      <c r="C103" s="14">
        <v>45104200000</v>
      </c>
      <c r="D103" s="14">
        <v>45104200000</v>
      </c>
      <c r="E103" s="14">
        <v>0</v>
      </c>
      <c r="F103" s="14">
        <v>0</v>
      </c>
    </row>
    <row r="104" spans="1:6" x14ac:dyDescent="0.35">
      <c r="A104" t="s">
        <v>1936</v>
      </c>
      <c r="B104" t="s">
        <v>102</v>
      </c>
      <c r="C104" s="14">
        <v>0</v>
      </c>
      <c r="D104" s="14">
        <v>0</v>
      </c>
      <c r="E104" s="14">
        <v>0</v>
      </c>
      <c r="F104" s="14">
        <v>0</v>
      </c>
    </row>
    <row r="105" spans="1:6" x14ac:dyDescent="0.35">
      <c r="A105" t="s">
        <v>1936</v>
      </c>
      <c r="B105" t="s">
        <v>103</v>
      </c>
      <c r="C105" s="14">
        <v>272989640875</v>
      </c>
      <c r="D105" s="14">
        <v>272989640875</v>
      </c>
      <c r="E105" s="14">
        <v>0</v>
      </c>
      <c r="F105" s="14">
        <v>0</v>
      </c>
    </row>
    <row r="106" spans="1:6" x14ac:dyDescent="0.35">
      <c r="A106" t="s">
        <v>1936</v>
      </c>
      <c r="B106" t="s">
        <v>104</v>
      </c>
      <c r="C106" s="14">
        <v>0</v>
      </c>
      <c r="D106" s="14">
        <v>0</v>
      </c>
      <c r="E106" s="14">
        <v>0</v>
      </c>
      <c r="F106" s="14">
        <v>0</v>
      </c>
    </row>
    <row r="107" spans="1:6" x14ac:dyDescent="0.35">
      <c r="A107" t="s">
        <v>1936</v>
      </c>
      <c r="B107" t="s">
        <v>105</v>
      </c>
      <c r="C107" s="14">
        <v>0</v>
      </c>
      <c r="D107" s="14">
        <v>0</v>
      </c>
      <c r="E107" s="14">
        <v>0</v>
      </c>
      <c r="F107" s="14">
        <v>0</v>
      </c>
    </row>
    <row r="108" spans="1:6" x14ac:dyDescent="0.35">
      <c r="A108" t="s">
        <v>1936</v>
      </c>
      <c r="B108" t="s">
        <v>106</v>
      </c>
      <c r="C108" s="14">
        <v>0</v>
      </c>
      <c r="D108" s="14">
        <v>0</v>
      </c>
      <c r="E108" s="14">
        <v>0</v>
      </c>
      <c r="F108" s="14">
        <v>0</v>
      </c>
    </row>
    <row r="109" spans="1:6" x14ac:dyDescent="0.35">
      <c r="A109" t="s">
        <v>1936</v>
      </c>
      <c r="B109" t="s">
        <v>107</v>
      </c>
      <c r="C109" s="14">
        <v>104092515046</v>
      </c>
      <c r="D109" s="14">
        <v>117244369244</v>
      </c>
      <c r="E109" s="14">
        <v>0</v>
      </c>
      <c r="F109" s="14">
        <v>0</v>
      </c>
    </row>
    <row r="110" spans="1:6" x14ac:dyDescent="0.35">
      <c r="A110" t="s">
        <v>1936</v>
      </c>
      <c r="B110" t="s">
        <v>108</v>
      </c>
      <c r="C110" s="14">
        <v>3824545613</v>
      </c>
      <c r="D110" s="14">
        <v>4878380532</v>
      </c>
      <c r="E110" s="14">
        <v>0</v>
      </c>
      <c r="F110" s="14">
        <v>0</v>
      </c>
    </row>
    <row r="111" spans="1:6" x14ac:dyDescent="0.35">
      <c r="A111" t="s">
        <v>1936</v>
      </c>
      <c r="B111" t="s">
        <v>109</v>
      </c>
      <c r="C111" s="14">
        <v>8276716593</v>
      </c>
      <c r="D111" s="14">
        <v>9330551512</v>
      </c>
      <c r="E111" s="14">
        <v>0</v>
      </c>
      <c r="F111" s="14">
        <v>0</v>
      </c>
    </row>
    <row r="112" spans="1:6" x14ac:dyDescent="0.35">
      <c r="A112" t="s">
        <v>1936</v>
      </c>
      <c r="B112" t="s">
        <v>110</v>
      </c>
      <c r="C112" s="14">
        <v>1467675428369</v>
      </c>
      <c r="D112" s="14">
        <v>2051103481262</v>
      </c>
      <c r="E112" s="14">
        <v>0</v>
      </c>
      <c r="F112" s="14">
        <v>0</v>
      </c>
    </row>
    <row r="113" spans="1:6" x14ac:dyDescent="0.35">
      <c r="A113" t="s">
        <v>1936</v>
      </c>
      <c r="B113" t="s">
        <v>111</v>
      </c>
      <c r="C113" s="14">
        <v>475463677442</v>
      </c>
      <c r="D113" s="14">
        <v>600436710886</v>
      </c>
      <c r="E113" s="14">
        <v>0</v>
      </c>
      <c r="F113" s="14">
        <v>0</v>
      </c>
    </row>
    <row r="114" spans="1:6" x14ac:dyDescent="0.35">
      <c r="A114" t="s">
        <v>1936</v>
      </c>
      <c r="B114" t="s">
        <v>112</v>
      </c>
      <c r="C114" s="14">
        <v>992211750927</v>
      </c>
      <c r="D114" s="14">
        <v>1450666770376</v>
      </c>
      <c r="E114" s="14">
        <v>0</v>
      </c>
      <c r="F114" s="14">
        <v>0</v>
      </c>
    </row>
    <row r="115" spans="1:6" x14ac:dyDescent="0.35">
      <c r="A115" t="s">
        <v>1936</v>
      </c>
      <c r="B115" t="s">
        <v>113</v>
      </c>
      <c r="C115" s="14">
        <v>0</v>
      </c>
      <c r="D115" s="14">
        <v>0</v>
      </c>
      <c r="E115" s="14">
        <v>0</v>
      </c>
      <c r="F115" s="14">
        <v>0</v>
      </c>
    </row>
    <row r="116" spans="1:6" x14ac:dyDescent="0.35">
      <c r="A116" t="s">
        <v>1936</v>
      </c>
      <c r="B116" t="s">
        <v>114</v>
      </c>
      <c r="C116" s="14">
        <v>2374731315325</v>
      </c>
      <c r="D116" s="14">
        <v>2479380615834</v>
      </c>
      <c r="E116" s="14">
        <v>0</v>
      </c>
      <c r="F116" s="14">
        <v>0</v>
      </c>
    </row>
    <row r="117" spans="1:6" x14ac:dyDescent="0.35">
      <c r="A117" t="s">
        <v>1936</v>
      </c>
      <c r="B117" t="s">
        <v>115</v>
      </c>
      <c r="C117" s="14">
        <v>6735654500</v>
      </c>
      <c r="D117" s="14">
        <v>7630021200</v>
      </c>
      <c r="E117" s="14">
        <v>0</v>
      </c>
      <c r="F117" s="14">
        <v>0</v>
      </c>
    </row>
    <row r="118" spans="1:6" x14ac:dyDescent="0.35">
      <c r="A118" t="s">
        <v>1936</v>
      </c>
      <c r="B118" t="s">
        <v>116</v>
      </c>
      <c r="C118" s="14">
        <v>6735654500</v>
      </c>
      <c r="D118" s="14">
        <v>7630021200</v>
      </c>
      <c r="E118" s="14">
        <v>0</v>
      </c>
      <c r="F118" s="14">
        <v>0</v>
      </c>
    </row>
    <row r="119" spans="1:6" x14ac:dyDescent="0.35">
      <c r="A119" t="s">
        <v>1936</v>
      </c>
      <c r="B119" t="s">
        <v>117</v>
      </c>
      <c r="C119" s="14">
        <v>0</v>
      </c>
      <c r="D119" s="14">
        <v>0</v>
      </c>
      <c r="E119" s="14">
        <v>0</v>
      </c>
      <c r="F119" s="14">
        <v>0</v>
      </c>
    </row>
    <row r="120" spans="1:6" x14ac:dyDescent="0.35">
      <c r="A120" t="s">
        <v>1936</v>
      </c>
      <c r="B120" t="s">
        <v>118</v>
      </c>
      <c r="C120" s="14">
        <v>17604595008403</v>
      </c>
      <c r="D120" s="14">
        <v>18169113930400</v>
      </c>
      <c r="E120" s="14">
        <v>0</v>
      </c>
      <c r="F120" s="14">
        <v>0</v>
      </c>
    </row>
    <row r="121" spans="1:6" x14ac:dyDescent="0.35">
      <c r="A121" t="s">
        <v>1937</v>
      </c>
      <c r="B121" t="s">
        <v>6</v>
      </c>
      <c r="C121" s="14">
        <v>0</v>
      </c>
      <c r="D121" s="14">
        <v>0</v>
      </c>
      <c r="E121" s="14">
        <v>0</v>
      </c>
      <c r="F121" s="14">
        <v>0</v>
      </c>
    </row>
    <row r="122" spans="1:6" x14ac:dyDescent="0.35">
      <c r="A122" t="s">
        <v>1937</v>
      </c>
      <c r="B122" t="s">
        <v>7</v>
      </c>
      <c r="C122" s="14">
        <v>11338108287953</v>
      </c>
      <c r="D122" s="14">
        <v>16238689244477</v>
      </c>
      <c r="E122" s="14">
        <v>17761709186975</v>
      </c>
      <c r="F122" s="14">
        <v>19478597669890</v>
      </c>
    </row>
    <row r="123" spans="1:6" x14ac:dyDescent="0.35">
      <c r="A123" t="s">
        <v>1937</v>
      </c>
      <c r="B123" t="s">
        <v>8</v>
      </c>
      <c r="C123" s="14">
        <v>903386455277</v>
      </c>
      <c r="D123" s="14">
        <v>1044039648431</v>
      </c>
      <c r="E123" s="14">
        <v>629496375653</v>
      </c>
      <c r="F123" s="14">
        <v>756859464983</v>
      </c>
    </row>
    <row r="124" spans="1:6" x14ac:dyDescent="0.35">
      <c r="A124" t="s">
        <v>1937</v>
      </c>
      <c r="B124" t="s">
        <v>9</v>
      </c>
      <c r="C124" s="14">
        <v>816052667698</v>
      </c>
      <c r="D124" s="14">
        <v>653309648431</v>
      </c>
      <c r="E124" s="14">
        <v>540796375653</v>
      </c>
      <c r="F124" s="14">
        <v>480303912175</v>
      </c>
    </row>
    <row r="125" spans="1:6" x14ac:dyDescent="0.35">
      <c r="A125" t="s">
        <v>1937</v>
      </c>
      <c r="B125" t="s">
        <v>10</v>
      </c>
      <c r="C125" s="14">
        <v>87333787579</v>
      </c>
      <c r="D125" s="14">
        <v>390730000000</v>
      </c>
      <c r="E125" s="14">
        <v>88700000000</v>
      </c>
      <c r="F125" s="14">
        <v>276555552808</v>
      </c>
    </row>
    <row r="126" spans="1:6" x14ac:dyDescent="0.35">
      <c r="A126" t="s">
        <v>1937</v>
      </c>
      <c r="B126" t="s">
        <v>11</v>
      </c>
      <c r="C126" s="14">
        <v>593767088890</v>
      </c>
      <c r="D126" s="14">
        <v>1583414128890</v>
      </c>
      <c r="E126" s="14">
        <v>510594134175</v>
      </c>
      <c r="F126" s="14">
        <v>541418592264</v>
      </c>
    </row>
    <row r="127" spans="1:6" x14ac:dyDescent="0.35">
      <c r="A127" t="s">
        <v>1937</v>
      </c>
      <c r="B127" t="s">
        <v>12</v>
      </c>
      <c r="C127" s="14">
        <v>566767088890</v>
      </c>
      <c r="D127" s="14">
        <v>1001401748890</v>
      </c>
      <c r="E127" s="14">
        <v>43541748890</v>
      </c>
      <c r="F127" s="14">
        <v>5012781949</v>
      </c>
    </row>
    <row r="128" spans="1:6" x14ac:dyDescent="0.35">
      <c r="A128" t="s">
        <v>1937</v>
      </c>
      <c r="B128" t="s">
        <v>13</v>
      </c>
      <c r="C128" s="14">
        <v>0</v>
      </c>
      <c r="D128" s="14">
        <v>0</v>
      </c>
      <c r="E128" s="14">
        <v>0</v>
      </c>
      <c r="F128" s="14">
        <v>0</v>
      </c>
    </row>
    <row r="129" spans="1:6" x14ac:dyDescent="0.35">
      <c r="A129" t="s">
        <v>1937</v>
      </c>
      <c r="B129" t="s">
        <v>14</v>
      </c>
      <c r="C129" s="14">
        <v>27000000000</v>
      </c>
      <c r="D129" s="14">
        <v>582012380000</v>
      </c>
      <c r="E129" s="14">
        <v>467052385285</v>
      </c>
      <c r="F129" s="14">
        <v>536405810315</v>
      </c>
    </row>
    <row r="130" spans="1:6" x14ac:dyDescent="0.35">
      <c r="A130" t="s">
        <v>1937</v>
      </c>
      <c r="B130" t="s">
        <v>15</v>
      </c>
      <c r="C130" s="14">
        <v>7083496019552</v>
      </c>
      <c r="D130" s="14">
        <v>10285205921122</v>
      </c>
      <c r="E130" s="14">
        <v>13461025497288</v>
      </c>
      <c r="F130" s="14">
        <v>13941466941737</v>
      </c>
    </row>
    <row r="131" spans="1:6" x14ac:dyDescent="0.35">
      <c r="A131" t="s">
        <v>1937</v>
      </c>
      <c r="B131" t="s">
        <v>16</v>
      </c>
      <c r="C131" s="14">
        <v>901498322187</v>
      </c>
      <c r="D131" s="14">
        <v>520123014077</v>
      </c>
      <c r="E131" s="14">
        <v>805844968489</v>
      </c>
      <c r="F131" s="14">
        <v>1098565555782</v>
      </c>
    </row>
    <row r="132" spans="1:6" x14ac:dyDescent="0.35">
      <c r="A132" t="s">
        <v>1937</v>
      </c>
      <c r="B132" t="s">
        <v>17</v>
      </c>
      <c r="C132" s="14">
        <v>757200946393</v>
      </c>
      <c r="D132" s="14">
        <v>1265926628464</v>
      </c>
      <c r="E132" s="14">
        <v>4156530289385</v>
      </c>
      <c r="F132" s="14">
        <v>4259308576569</v>
      </c>
    </row>
    <row r="133" spans="1:6" x14ac:dyDescent="0.35">
      <c r="A133" t="s">
        <v>1937</v>
      </c>
      <c r="B133" t="s">
        <v>18</v>
      </c>
      <c r="C133" s="14">
        <v>0</v>
      </c>
      <c r="D133" s="14">
        <v>0</v>
      </c>
      <c r="E133" s="14">
        <v>0</v>
      </c>
      <c r="F133" s="14">
        <v>0</v>
      </c>
    </row>
    <row r="134" spans="1:6" x14ac:dyDescent="0.35">
      <c r="A134" t="s">
        <v>1937</v>
      </c>
      <c r="B134" t="s">
        <v>19</v>
      </c>
      <c r="C134" s="14">
        <v>0</v>
      </c>
      <c r="D134" s="14">
        <v>0</v>
      </c>
      <c r="E134" s="14">
        <v>0</v>
      </c>
      <c r="F134" s="14">
        <v>0</v>
      </c>
    </row>
    <row r="135" spans="1:6" x14ac:dyDescent="0.35">
      <c r="A135" t="s">
        <v>1937</v>
      </c>
      <c r="B135" t="s">
        <v>20</v>
      </c>
      <c r="C135" s="14">
        <v>8400000000</v>
      </c>
      <c r="D135" s="14">
        <v>513326232039</v>
      </c>
      <c r="E135" s="14">
        <v>178769483975</v>
      </c>
      <c r="F135" s="14">
        <v>587623443975</v>
      </c>
    </row>
    <row r="136" spans="1:6" x14ac:dyDescent="0.35">
      <c r="A136" t="s">
        <v>1937</v>
      </c>
      <c r="B136" t="s">
        <v>21</v>
      </c>
      <c r="C136" s="14">
        <v>5503703231975</v>
      </c>
      <c r="D136" s="14">
        <v>8216216084455</v>
      </c>
      <c r="E136" s="14">
        <v>8417728411826</v>
      </c>
      <c r="F136" s="14">
        <v>8039667063457</v>
      </c>
    </row>
    <row r="137" spans="1:6" x14ac:dyDescent="0.35">
      <c r="A137" t="s">
        <v>1937</v>
      </c>
      <c r="B137" t="s">
        <v>22</v>
      </c>
      <c r="C137" s="14">
        <v>-87320715940</v>
      </c>
      <c r="D137" s="14">
        <v>-230474595564</v>
      </c>
      <c r="E137" s="14">
        <v>-97936214038</v>
      </c>
      <c r="F137" s="14">
        <v>-43788575674</v>
      </c>
    </row>
    <row r="138" spans="1:6" x14ac:dyDescent="0.35">
      <c r="A138" t="s">
        <v>1937</v>
      </c>
      <c r="B138" t="s">
        <v>23</v>
      </c>
      <c r="C138" s="14">
        <v>14234937</v>
      </c>
      <c r="D138" s="14">
        <v>88557651</v>
      </c>
      <c r="E138" s="14">
        <v>88557651</v>
      </c>
      <c r="F138" s="14">
        <v>90877628</v>
      </c>
    </row>
    <row r="139" spans="1:6" x14ac:dyDescent="0.35">
      <c r="A139" t="s">
        <v>1937</v>
      </c>
      <c r="B139" t="s">
        <v>24</v>
      </c>
      <c r="C139" s="14">
        <v>2276299016968</v>
      </c>
      <c r="D139" s="14">
        <v>2866554053670</v>
      </c>
      <c r="E139" s="14">
        <v>2754762193315</v>
      </c>
      <c r="F139" s="14">
        <v>3775256086691</v>
      </c>
    </row>
    <row r="140" spans="1:6" x14ac:dyDescent="0.35">
      <c r="A140" t="s">
        <v>1937</v>
      </c>
      <c r="B140" t="s">
        <v>25</v>
      </c>
      <c r="C140" s="14">
        <v>2276299016968</v>
      </c>
      <c r="D140" s="14">
        <v>2866554053670</v>
      </c>
      <c r="E140" s="14">
        <v>2793060545800</v>
      </c>
      <c r="F140" s="14">
        <v>3811685047364</v>
      </c>
    </row>
    <row r="141" spans="1:6" x14ac:dyDescent="0.35">
      <c r="A141" t="s">
        <v>1937</v>
      </c>
      <c r="B141" t="s">
        <v>26</v>
      </c>
      <c r="C141" s="14">
        <v>0</v>
      </c>
      <c r="D141" s="14">
        <v>0</v>
      </c>
      <c r="E141" s="14">
        <v>-38298352485</v>
      </c>
      <c r="F141" s="14">
        <v>-36428960673</v>
      </c>
    </row>
    <row r="142" spans="1:6" x14ac:dyDescent="0.35">
      <c r="A142" t="s">
        <v>1937</v>
      </c>
      <c r="B142" t="s">
        <v>27</v>
      </c>
      <c r="C142" s="14">
        <v>481159707266</v>
      </c>
      <c r="D142" s="14">
        <v>459475492364</v>
      </c>
      <c r="E142" s="14">
        <v>405830986544</v>
      </c>
      <c r="F142" s="14">
        <v>463596584215</v>
      </c>
    </row>
    <row r="143" spans="1:6" x14ac:dyDescent="0.35">
      <c r="A143" t="s">
        <v>1937</v>
      </c>
      <c r="B143" t="s">
        <v>28</v>
      </c>
      <c r="C143" s="14">
        <v>19812812899</v>
      </c>
      <c r="D143" s="14">
        <v>37387174879</v>
      </c>
      <c r="E143" s="14">
        <v>59914273264</v>
      </c>
      <c r="F143" s="14">
        <v>283441392588</v>
      </c>
    </row>
    <row r="144" spans="1:6" x14ac:dyDescent="0.35">
      <c r="A144" t="s">
        <v>1937</v>
      </c>
      <c r="B144" t="s">
        <v>29</v>
      </c>
      <c r="C144" s="14">
        <v>449135237299</v>
      </c>
      <c r="D144" s="14">
        <v>420724094059</v>
      </c>
      <c r="E144" s="14">
        <v>342369166568</v>
      </c>
      <c r="F144" s="14">
        <v>173565426157</v>
      </c>
    </row>
    <row r="145" spans="1:6" x14ac:dyDescent="0.35">
      <c r="A145" t="s">
        <v>1937</v>
      </c>
      <c r="B145" t="s">
        <v>30</v>
      </c>
      <c r="C145" s="14">
        <v>12211657068</v>
      </c>
      <c r="D145" s="14">
        <v>1364223426</v>
      </c>
      <c r="E145" s="14">
        <v>3547546712</v>
      </c>
      <c r="F145" s="14">
        <v>6589765470</v>
      </c>
    </row>
    <row r="146" spans="1:6" x14ac:dyDescent="0.35">
      <c r="A146" t="s">
        <v>1937</v>
      </c>
      <c r="B146" t="s">
        <v>31</v>
      </c>
      <c r="C146" s="14">
        <v>0</v>
      </c>
      <c r="D146" s="14">
        <v>0</v>
      </c>
      <c r="E146" s="14">
        <v>0</v>
      </c>
      <c r="F146" s="14">
        <v>0</v>
      </c>
    </row>
    <row r="147" spans="1:6" x14ac:dyDescent="0.35">
      <c r="A147" t="s">
        <v>1937</v>
      </c>
      <c r="B147" t="s">
        <v>32</v>
      </c>
      <c r="C147" s="14">
        <v>0</v>
      </c>
      <c r="D147" s="14">
        <v>0</v>
      </c>
      <c r="E147" s="14">
        <v>0</v>
      </c>
      <c r="F147" s="14">
        <v>0</v>
      </c>
    </row>
    <row r="148" spans="1:6" x14ac:dyDescent="0.35">
      <c r="A148" t="s">
        <v>1937</v>
      </c>
      <c r="B148" t="s">
        <v>33</v>
      </c>
      <c r="C148" s="14">
        <v>12798717405488</v>
      </c>
      <c r="D148" s="14">
        <v>21450636661248</v>
      </c>
      <c r="E148" s="14">
        <v>26058698158301</v>
      </c>
      <c r="F148" s="14">
        <v>22530737452373</v>
      </c>
    </row>
    <row r="149" spans="1:6" x14ac:dyDescent="0.35">
      <c r="A149" t="s">
        <v>1937</v>
      </c>
      <c r="B149" t="s">
        <v>34</v>
      </c>
      <c r="C149" s="14">
        <v>6042279634580</v>
      </c>
      <c r="D149" s="14">
        <v>9771775848219</v>
      </c>
      <c r="E149" s="14">
        <v>11036158545330</v>
      </c>
      <c r="F149" s="14">
        <v>8128982721257</v>
      </c>
    </row>
    <row r="150" spans="1:6" x14ac:dyDescent="0.35">
      <c r="A150" t="s">
        <v>1937</v>
      </c>
      <c r="B150" t="s">
        <v>35</v>
      </c>
      <c r="C150" s="14">
        <v>0</v>
      </c>
      <c r="D150" s="14">
        <v>0</v>
      </c>
      <c r="E150" s="14">
        <v>0</v>
      </c>
      <c r="F150" s="14">
        <v>0</v>
      </c>
    </row>
    <row r="151" spans="1:6" x14ac:dyDescent="0.35">
      <c r="A151" t="s">
        <v>1937</v>
      </c>
      <c r="B151" t="s">
        <v>36</v>
      </c>
      <c r="C151" s="14">
        <v>0</v>
      </c>
      <c r="D151" s="14">
        <v>0</v>
      </c>
      <c r="E151" s="14">
        <v>56400000000</v>
      </c>
      <c r="F151" s="14">
        <v>0</v>
      </c>
    </row>
    <row r="152" spans="1:6" x14ac:dyDescent="0.35">
      <c r="A152" t="s">
        <v>1937</v>
      </c>
      <c r="B152" t="s">
        <v>37</v>
      </c>
      <c r="C152" s="14">
        <v>0</v>
      </c>
      <c r="D152" s="14">
        <v>0</v>
      </c>
      <c r="E152" s="14">
        <v>0</v>
      </c>
      <c r="F152" s="14">
        <v>0</v>
      </c>
    </row>
    <row r="153" spans="1:6" x14ac:dyDescent="0.35">
      <c r="A153" t="s">
        <v>1937</v>
      </c>
      <c r="B153" t="s">
        <v>38</v>
      </c>
      <c r="C153" s="14">
        <v>0</v>
      </c>
      <c r="D153" s="14">
        <v>0</v>
      </c>
      <c r="E153" s="14">
        <v>0</v>
      </c>
      <c r="F153" s="14">
        <v>0</v>
      </c>
    </row>
    <row r="154" spans="1:6" x14ac:dyDescent="0.35">
      <c r="A154" t="s">
        <v>1937</v>
      </c>
      <c r="B154" t="s">
        <v>39</v>
      </c>
      <c r="C154" s="14">
        <v>0</v>
      </c>
      <c r="D154" s="14">
        <v>190000000000</v>
      </c>
      <c r="E154" s="14">
        <v>50000000000</v>
      </c>
      <c r="F154" s="14">
        <v>10698022927</v>
      </c>
    </row>
    <row r="155" spans="1:6" x14ac:dyDescent="0.35">
      <c r="A155" t="s">
        <v>1937</v>
      </c>
      <c r="B155" t="s">
        <v>40</v>
      </c>
      <c r="C155" s="14">
        <v>6042279634580</v>
      </c>
      <c r="D155" s="14">
        <v>9581775848219</v>
      </c>
      <c r="E155" s="14">
        <v>10929758545330</v>
      </c>
      <c r="F155" s="14">
        <v>8118284698330</v>
      </c>
    </row>
    <row r="156" spans="1:6" x14ac:dyDescent="0.35">
      <c r="A156" t="s">
        <v>1937</v>
      </c>
      <c r="B156" t="s">
        <v>41</v>
      </c>
      <c r="C156" s="14">
        <v>0</v>
      </c>
      <c r="D156" s="14">
        <v>0</v>
      </c>
      <c r="E156" s="14">
        <v>0</v>
      </c>
      <c r="F156" s="14">
        <v>0</v>
      </c>
    </row>
    <row r="157" spans="1:6" x14ac:dyDescent="0.35">
      <c r="A157" t="s">
        <v>1937</v>
      </c>
      <c r="B157" t="s">
        <v>42</v>
      </c>
      <c r="C157" s="14">
        <v>365145105741</v>
      </c>
      <c r="D157" s="14">
        <v>5832109332974</v>
      </c>
      <c r="E157" s="14">
        <v>8112831678532</v>
      </c>
      <c r="F157" s="14">
        <v>9604768756873</v>
      </c>
    </row>
    <row r="158" spans="1:6" x14ac:dyDescent="0.35">
      <c r="A158" t="s">
        <v>1937</v>
      </c>
      <c r="B158" t="s">
        <v>43</v>
      </c>
      <c r="C158" s="14">
        <v>358998799018</v>
      </c>
      <c r="D158" s="14">
        <v>5818528552748</v>
      </c>
      <c r="E158" s="14">
        <v>7706358008785</v>
      </c>
      <c r="F158" s="14">
        <v>9173465133196</v>
      </c>
    </row>
    <row r="159" spans="1:6" x14ac:dyDescent="0.35">
      <c r="A159" t="s">
        <v>1937</v>
      </c>
      <c r="B159" t="s">
        <v>44</v>
      </c>
      <c r="C159" s="14">
        <v>529839615007</v>
      </c>
      <c r="D159" s="14">
        <v>6292017516316</v>
      </c>
      <c r="E159" s="14">
        <v>8899057038021</v>
      </c>
      <c r="F159" s="14">
        <v>10935307193271</v>
      </c>
    </row>
    <row r="160" spans="1:6" x14ac:dyDescent="0.35">
      <c r="A160" t="s">
        <v>1937</v>
      </c>
      <c r="B160" t="s">
        <v>45</v>
      </c>
      <c r="C160" s="14">
        <v>-170840815989</v>
      </c>
      <c r="D160" s="14">
        <v>-473488963568</v>
      </c>
      <c r="E160" s="14">
        <v>-1192699029236</v>
      </c>
      <c r="F160" s="14">
        <v>-1761842060075</v>
      </c>
    </row>
    <row r="161" spans="1:6" x14ac:dyDescent="0.35">
      <c r="A161" t="s">
        <v>1937</v>
      </c>
      <c r="B161" t="s">
        <v>46</v>
      </c>
      <c r="C161" s="14">
        <v>3911082302</v>
      </c>
      <c r="D161" s="14">
        <v>11117573462</v>
      </c>
      <c r="E161" s="14">
        <v>11043524438</v>
      </c>
      <c r="F161" s="14">
        <v>23690883955</v>
      </c>
    </row>
    <row r="162" spans="1:6" x14ac:dyDescent="0.35">
      <c r="A162" t="s">
        <v>1937</v>
      </c>
      <c r="B162" t="s">
        <v>44</v>
      </c>
      <c r="C162" s="14">
        <v>5986068212</v>
      </c>
      <c r="D162" s="14">
        <v>14440036237</v>
      </c>
      <c r="E162" s="14">
        <v>17888753803</v>
      </c>
      <c r="F162" s="14">
        <v>31617115020</v>
      </c>
    </row>
    <row r="163" spans="1:6" x14ac:dyDescent="0.35">
      <c r="A163" t="s">
        <v>1937</v>
      </c>
      <c r="B163" t="s">
        <v>45</v>
      </c>
      <c r="C163" s="14">
        <v>-2074985910</v>
      </c>
      <c r="D163" s="14">
        <v>-3322462775</v>
      </c>
      <c r="E163" s="14">
        <v>-6845229365</v>
      </c>
      <c r="F163" s="14">
        <v>-7926231065</v>
      </c>
    </row>
    <row r="164" spans="1:6" x14ac:dyDescent="0.35">
      <c r="A164" t="s">
        <v>1937</v>
      </c>
      <c r="B164" t="s">
        <v>47</v>
      </c>
      <c r="C164" s="14">
        <v>2235224421</v>
      </c>
      <c r="D164" s="14">
        <v>2463206764</v>
      </c>
      <c r="E164" s="14">
        <v>395430145309</v>
      </c>
      <c r="F164" s="14">
        <v>407612739722</v>
      </c>
    </row>
    <row r="165" spans="1:6" x14ac:dyDescent="0.35">
      <c r="A165" t="s">
        <v>1937</v>
      </c>
      <c r="B165" t="s">
        <v>44</v>
      </c>
      <c r="C165" s="14">
        <v>3215021046</v>
      </c>
      <c r="D165" s="14">
        <v>44529603435</v>
      </c>
      <c r="E165" s="14">
        <v>446657218165</v>
      </c>
      <c r="F165" s="14">
        <v>468651373837</v>
      </c>
    </row>
    <row r="166" spans="1:6" x14ac:dyDescent="0.35">
      <c r="A166" t="s">
        <v>1937</v>
      </c>
      <c r="B166" t="s">
        <v>45</v>
      </c>
      <c r="C166" s="14">
        <v>-979796625</v>
      </c>
      <c r="D166" s="14">
        <v>-42066396671</v>
      </c>
      <c r="E166" s="14">
        <v>-51227072856</v>
      </c>
      <c r="F166" s="14">
        <v>-61038634115</v>
      </c>
    </row>
    <row r="167" spans="1:6" x14ac:dyDescent="0.35">
      <c r="A167" t="s">
        <v>1937</v>
      </c>
      <c r="B167" t="s">
        <v>48</v>
      </c>
      <c r="C167" s="14">
        <v>0</v>
      </c>
      <c r="D167" s="14">
        <v>0</v>
      </c>
      <c r="E167" s="14">
        <v>0</v>
      </c>
      <c r="F167" s="14">
        <v>0</v>
      </c>
    </row>
    <row r="168" spans="1:6" x14ac:dyDescent="0.35">
      <c r="A168" t="s">
        <v>1937</v>
      </c>
      <c r="B168" t="s">
        <v>44</v>
      </c>
      <c r="C168" s="14">
        <v>0</v>
      </c>
      <c r="D168" s="14">
        <v>0</v>
      </c>
      <c r="E168" s="14">
        <v>0</v>
      </c>
      <c r="F168" s="14">
        <v>0</v>
      </c>
    </row>
    <row r="169" spans="1:6" x14ac:dyDescent="0.35">
      <c r="A169" t="s">
        <v>1937</v>
      </c>
      <c r="B169" t="s">
        <v>45</v>
      </c>
      <c r="C169" s="14">
        <v>0</v>
      </c>
      <c r="D169" s="14">
        <v>0</v>
      </c>
      <c r="E169" s="14">
        <v>0</v>
      </c>
      <c r="F169" s="14">
        <v>0</v>
      </c>
    </row>
    <row r="170" spans="1:6" x14ac:dyDescent="0.35">
      <c r="A170" t="s">
        <v>1937</v>
      </c>
      <c r="B170" t="s">
        <v>49</v>
      </c>
      <c r="C170" s="14">
        <v>4033615584636</v>
      </c>
      <c r="D170" s="14">
        <v>3320674728246</v>
      </c>
      <c r="E170" s="14">
        <v>2617616475893</v>
      </c>
      <c r="F170" s="14">
        <v>1609462496210</v>
      </c>
    </row>
    <row r="171" spans="1:6" x14ac:dyDescent="0.35">
      <c r="A171" t="s">
        <v>1937</v>
      </c>
      <c r="B171" t="s">
        <v>50</v>
      </c>
      <c r="C171" s="14">
        <v>9045000000</v>
      </c>
      <c r="D171" s="14">
        <v>1233246917941</v>
      </c>
      <c r="E171" s="14">
        <v>41300000000</v>
      </c>
      <c r="F171" s="14">
        <v>0</v>
      </c>
    </row>
    <row r="172" spans="1:6" x14ac:dyDescent="0.35">
      <c r="A172" t="s">
        <v>1937</v>
      </c>
      <c r="B172" t="s">
        <v>51</v>
      </c>
      <c r="C172" s="14">
        <v>4024570584636</v>
      </c>
      <c r="D172" s="14">
        <v>2087427810305</v>
      </c>
      <c r="E172" s="14">
        <v>2576316475893</v>
      </c>
      <c r="F172" s="14">
        <v>1609462496210</v>
      </c>
    </row>
    <row r="173" spans="1:6" x14ac:dyDescent="0.35">
      <c r="A173" t="s">
        <v>1937</v>
      </c>
      <c r="B173" t="s">
        <v>52</v>
      </c>
      <c r="C173" s="14">
        <v>1290612950320</v>
      </c>
      <c r="D173" s="14">
        <v>1631136383061</v>
      </c>
      <c r="E173" s="14">
        <v>3694273964370</v>
      </c>
      <c r="F173" s="14">
        <v>2666265777922</v>
      </c>
    </row>
    <row r="174" spans="1:6" x14ac:dyDescent="0.35">
      <c r="A174" t="s">
        <v>1937</v>
      </c>
      <c r="B174" t="s">
        <v>53</v>
      </c>
      <c r="C174" s="14">
        <v>0</v>
      </c>
      <c r="D174" s="14">
        <v>0</v>
      </c>
      <c r="E174" s="14">
        <v>0</v>
      </c>
      <c r="F174" s="14">
        <v>0</v>
      </c>
    </row>
    <row r="175" spans="1:6" x14ac:dyDescent="0.35">
      <c r="A175" t="s">
        <v>1937</v>
      </c>
      <c r="B175" t="s">
        <v>54</v>
      </c>
      <c r="C175" s="14">
        <v>1036857794027</v>
      </c>
      <c r="D175" s="14">
        <v>1500659371036</v>
      </c>
      <c r="E175" s="14">
        <v>3452319693819</v>
      </c>
      <c r="F175" s="14">
        <v>2264659695553</v>
      </c>
    </row>
    <row r="176" spans="1:6" x14ac:dyDescent="0.35">
      <c r="A176" t="s">
        <v>1937</v>
      </c>
      <c r="B176" t="s">
        <v>55</v>
      </c>
      <c r="C176" s="14">
        <v>151755156293</v>
      </c>
      <c r="D176" s="14">
        <v>20119156293</v>
      </c>
      <c r="E176" s="14">
        <v>126119156293</v>
      </c>
      <c r="F176" s="14">
        <v>387879156293</v>
      </c>
    </row>
    <row r="177" spans="1:6" x14ac:dyDescent="0.35">
      <c r="A177" t="s">
        <v>1937</v>
      </c>
      <c r="B177" t="s">
        <v>56</v>
      </c>
      <c r="C177" s="14">
        <v>0</v>
      </c>
      <c r="D177" s="14">
        <v>-522144268</v>
      </c>
      <c r="E177" s="14">
        <v>-1144885742</v>
      </c>
      <c r="F177" s="14">
        <v>-3259783513</v>
      </c>
    </row>
    <row r="178" spans="1:6" x14ac:dyDescent="0.35">
      <c r="A178" t="s">
        <v>1937</v>
      </c>
      <c r="B178" t="s">
        <v>57</v>
      </c>
      <c r="C178" s="14">
        <v>102000000000</v>
      </c>
      <c r="D178" s="14">
        <v>110880000000</v>
      </c>
      <c r="E178" s="14">
        <v>116980000000</v>
      </c>
      <c r="F178" s="14">
        <v>16986709589</v>
      </c>
    </row>
    <row r="179" spans="1:6" x14ac:dyDescent="0.35">
      <c r="A179" t="s">
        <v>1937</v>
      </c>
      <c r="B179" t="s">
        <v>58</v>
      </c>
      <c r="C179" s="14">
        <v>1067064130211</v>
      </c>
      <c r="D179" s="14">
        <v>894940368748</v>
      </c>
      <c r="E179" s="14">
        <v>597817494176</v>
      </c>
      <c r="F179" s="14">
        <v>521257700111</v>
      </c>
    </row>
    <row r="180" spans="1:6" x14ac:dyDescent="0.35">
      <c r="A180" t="s">
        <v>1937</v>
      </c>
      <c r="B180" t="s">
        <v>59</v>
      </c>
      <c r="C180" s="14">
        <v>264807077902</v>
      </c>
      <c r="D180" s="14">
        <v>311214809552</v>
      </c>
      <c r="E180" s="14">
        <v>210679868799</v>
      </c>
      <c r="F180" s="14">
        <v>172450221088</v>
      </c>
    </row>
    <row r="181" spans="1:6" x14ac:dyDescent="0.35">
      <c r="A181" t="s">
        <v>1937</v>
      </c>
      <c r="B181" t="s">
        <v>60</v>
      </c>
      <c r="C181" s="14">
        <v>44503712630</v>
      </c>
      <c r="D181" s="14">
        <v>70054964575</v>
      </c>
      <c r="E181" s="14">
        <v>140781838981</v>
      </c>
      <c r="F181" s="14">
        <v>150092226045</v>
      </c>
    </row>
    <row r="182" spans="1:6" x14ac:dyDescent="0.35">
      <c r="A182" t="s">
        <v>1937</v>
      </c>
      <c r="B182" t="s">
        <v>61</v>
      </c>
      <c r="C182" s="14">
        <v>0</v>
      </c>
      <c r="D182" s="14">
        <v>0</v>
      </c>
      <c r="E182" s="14">
        <v>0</v>
      </c>
      <c r="F182" s="14">
        <v>0</v>
      </c>
    </row>
    <row r="183" spans="1:6" x14ac:dyDescent="0.35">
      <c r="A183" t="s">
        <v>1937</v>
      </c>
      <c r="B183" t="s">
        <v>62</v>
      </c>
      <c r="C183" s="14">
        <v>0</v>
      </c>
      <c r="D183" s="14">
        <v>0</v>
      </c>
      <c r="E183" s="14">
        <v>0</v>
      </c>
      <c r="F183" s="14">
        <v>0</v>
      </c>
    </row>
    <row r="184" spans="1:6" x14ac:dyDescent="0.35">
      <c r="A184" t="s">
        <v>1937</v>
      </c>
      <c r="B184" t="s">
        <v>63</v>
      </c>
      <c r="C184" s="14">
        <v>757753339679</v>
      </c>
      <c r="D184" s="14">
        <v>513670594621</v>
      </c>
      <c r="E184" s="14">
        <v>246355786396</v>
      </c>
      <c r="F184" s="14">
        <v>198715252978</v>
      </c>
    </row>
    <row r="185" spans="1:6" x14ac:dyDescent="0.35">
      <c r="A185" t="s">
        <v>1937</v>
      </c>
      <c r="B185" t="s">
        <v>64</v>
      </c>
      <c r="C185" s="14">
        <v>24136825693441</v>
      </c>
      <c r="D185" s="14">
        <v>37689325905725</v>
      </c>
      <c r="E185" s="14">
        <v>43820407345276</v>
      </c>
      <c r="F185" s="14">
        <v>42009335122263</v>
      </c>
    </row>
    <row r="186" spans="1:6" x14ac:dyDescent="0.35">
      <c r="A186" t="s">
        <v>1937</v>
      </c>
      <c r="B186" t="s">
        <v>65</v>
      </c>
      <c r="C186" s="14">
        <v>0</v>
      </c>
      <c r="D186" s="14">
        <v>0</v>
      </c>
      <c r="E186" s="14">
        <v>0</v>
      </c>
      <c r="F186" s="14">
        <v>0</v>
      </c>
    </row>
    <row r="187" spans="1:6" x14ac:dyDescent="0.35">
      <c r="A187" t="s">
        <v>1937</v>
      </c>
      <c r="B187" t="s">
        <v>66</v>
      </c>
      <c r="C187" s="14">
        <v>21173517662549</v>
      </c>
      <c r="D187" s="14">
        <v>29339761323132</v>
      </c>
      <c r="E187" s="14">
        <v>30021280555256</v>
      </c>
      <c r="F187" s="14">
        <v>24541590941015</v>
      </c>
    </row>
    <row r="188" spans="1:6" x14ac:dyDescent="0.35">
      <c r="A188" t="s">
        <v>1937</v>
      </c>
      <c r="B188" t="s">
        <v>67</v>
      </c>
      <c r="C188" s="14">
        <v>10609458384565</v>
      </c>
      <c r="D188" s="14">
        <v>10197137592712</v>
      </c>
      <c r="E188" s="14">
        <v>11380169032120</v>
      </c>
      <c r="F188" s="14">
        <v>12090231559815</v>
      </c>
    </row>
    <row r="189" spans="1:6" x14ac:dyDescent="0.35">
      <c r="A189" t="s">
        <v>1937</v>
      </c>
      <c r="B189" t="s">
        <v>68</v>
      </c>
      <c r="C189" s="14">
        <v>4780665000177</v>
      </c>
      <c r="D189" s="14">
        <v>1300912821941</v>
      </c>
      <c r="E189" s="14">
        <v>1981773747641</v>
      </c>
      <c r="F189" s="14">
        <v>1823813876939</v>
      </c>
    </row>
    <row r="190" spans="1:6" x14ac:dyDescent="0.35">
      <c r="A190" t="s">
        <v>1937</v>
      </c>
      <c r="B190" t="s">
        <v>69</v>
      </c>
      <c r="C190" s="14">
        <v>1689338591783</v>
      </c>
      <c r="D190" s="14">
        <v>2168725582720</v>
      </c>
      <c r="E190" s="14">
        <v>3259131147761</v>
      </c>
      <c r="F190" s="14">
        <v>3207551986728</v>
      </c>
    </row>
    <row r="191" spans="1:6" x14ac:dyDescent="0.35">
      <c r="A191" t="s">
        <v>1937</v>
      </c>
      <c r="B191" t="s">
        <v>70</v>
      </c>
      <c r="C191" s="14">
        <v>120653116029</v>
      </c>
      <c r="D191" s="14">
        <v>291604195632</v>
      </c>
      <c r="E191" s="14">
        <v>265277761505</v>
      </c>
      <c r="F191" s="14">
        <v>251395640294</v>
      </c>
    </row>
    <row r="192" spans="1:6" x14ac:dyDescent="0.35">
      <c r="A192" t="s">
        <v>1937</v>
      </c>
      <c r="B192" t="s">
        <v>71</v>
      </c>
      <c r="C192" s="14">
        <v>12974021808</v>
      </c>
      <c r="D192" s="14">
        <v>28154675762</v>
      </c>
      <c r="E192" s="14">
        <v>32150747905</v>
      </c>
      <c r="F192" s="14">
        <v>29183778159</v>
      </c>
    </row>
    <row r="193" spans="1:6" x14ac:dyDescent="0.35">
      <c r="A193" t="s">
        <v>1937</v>
      </c>
      <c r="B193" t="s">
        <v>72</v>
      </c>
      <c r="C193" s="14">
        <v>91507897206</v>
      </c>
      <c r="D193" s="14">
        <v>265990760280</v>
      </c>
      <c r="E193" s="14">
        <v>542831418466</v>
      </c>
      <c r="F193" s="14">
        <v>489905768696</v>
      </c>
    </row>
    <row r="194" spans="1:6" x14ac:dyDescent="0.35">
      <c r="A194" t="s">
        <v>1937</v>
      </c>
      <c r="B194" t="s">
        <v>73</v>
      </c>
      <c r="C194" s="14">
        <v>0</v>
      </c>
      <c r="D194" s="14">
        <v>0</v>
      </c>
      <c r="E194" s="14">
        <v>0</v>
      </c>
      <c r="F194" s="14">
        <v>0</v>
      </c>
    </row>
    <row r="195" spans="1:6" x14ac:dyDescent="0.35">
      <c r="A195" t="s">
        <v>1937</v>
      </c>
      <c r="B195" t="s">
        <v>74</v>
      </c>
      <c r="C195" s="14">
        <v>0</v>
      </c>
      <c r="D195" s="14">
        <v>0</v>
      </c>
      <c r="E195" s="14">
        <v>0</v>
      </c>
      <c r="F195" s="14">
        <v>0</v>
      </c>
    </row>
    <row r="196" spans="1:6" x14ac:dyDescent="0.35">
      <c r="A196" t="s">
        <v>1937</v>
      </c>
      <c r="B196" t="s">
        <v>75</v>
      </c>
      <c r="C196" s="14">
        <v>12333333336</v>
      </c>
      <c r="D196" s="14">
        <v>6494791812</v>
      </c>
      <c r="E196" s="14">
        <v>10127380682</v>
      </c>
      <c r="F196" s="14">
        <v>11588951901</v>
      </c>
    </row>
    <row r="197" spans="1:6" x14ac:dyDescent="0.35">
      <c r="A197" t="s">
        <v>1937</v>
      </c>
      <c r="B197" t="s">
        <v>76</v>
      </c>
      <c r="C197" s="14">
        <v>1863759945048</v>
      </c>
      <c r="D197" s="14">
        <v>3152519316049</v>
      </c>
      <c r="E197" s="14">
        <v>1916981921631</v>
      </c>
      <c r="F197" s="14">
        <v>2678959630975</v>
      </c>
    </row>
    <row r="198" spans="1:6" x14ac:dyDescent="0.35">
      <c r="A198" t="s">
        <v>1937</v>
      </c>
      <c r="B198" t="s">
        <v>77</v>
      </c>
      <c r="C198" s="14">
        <v>2030728831719</v>
      </c>
      <c r="D198" s="14">
        <v>2798470330553</v>
      </c>
      <c r="E198" s="14">
        <v>3035520410292</v>
      </c>
      <c r="F198" s="14">
        <v>3149435193643</v>
      </c>
    </row>
    <row r="199" spans="1:6" x14ac:dyDescent="0.35">
      <c r="A199" t="s">
        <v>1937</v>
      </c>
      <c r="B199" t="s">
        <v>78</v>
      </c>
      <c r="C199" s="14">
        <v>0</v>
      </c>
      <c r="D199" s="14">
        <v>177865988145</v>
      </c>
      <c r="E199" s="14">
        <v>330545000866</v>
      </c>
      <c r="F199" s="14">
        <v>439871998269</v>
      </c>
    </row>
    <row r="200" spans="1:6" x14ac:dyDescent="0.35">
      <c r="A200" t="s">
        <v>1937</v>
      </c>
      <c r="B200" t="s">
        <v>79</v>
      </c>
      <c r="C200" s="14">
        <v>7497647459</v>
      </c>
      <c r="D200" s="14">
        <v>6399129818</v>
      </c>
      <c r="E200" s="14">
        <v>5829495371</v>
      </c>
      <c r="F200" s="14">
        <v>8524734211</v>
      </c>
    </row>
    <row r="201" spans="1:6" x14ac:dyDescent="0.35">
      <c r="A201" t="s">
        <v>1937</v>
      </c>
      <c r="B201" t="s">
        <v>80</v>
      </c>
      <c r="C201" s="14">
        <v>0</v>
      </c>
      <c r="D201" s="14">
        <v>0</v>
      </c>
      <c r="E201" s="14">
        <v>0</v>
      </c>
      <c r="F201" s="14">
        <v>0</v>
      </c>
    </row>
    <row r="202" spans="1:6" x14ac:dyDescent="0.35">
      <c r="A202" t="s">
        <v>1937</v>
      </c>
      <c r="B202" t="s">
        <v>81</v>
      </c>
      <c r="C202" s="14">
        <v>0</v>
      </c>
      <c r="D202" s="14">
        <v>0</v>
      </c>
      <c r="E202" s="14">
        <v>0</v>
      </c>
      <c r="F202" s="14">
        <v>0</v>
      </c>
    </row>
    <row r="203" spans="1:6" x14ac:dyDescent="0.35">
      <c r="A203" t="s">
        <v>1937</v>
      </c>
      <c r="B203" t="s">
        <v>82</v>
      </c>
      <c r="C203" s="14">
        <v>10564059277984</v>
      </c>
      <c r="D203" s="14">
        <v>19142623730420</v>
      </c>
      <c r="E203" s="14">
        <v>18641111523136</v>
      </c>
      <c r="F203" s="14">
        <v>12451359381200</v>
      </c>
    </row>
    <row r="204" spans="1:6" x14ac:dyDescent="0.35">
      <c r="A204" t="s">
        <v>1937</v>
      </c>
      <c r="B204" t="s">
        <v>83</v>
      </c>
      <c r="C204" s="14">
        <v>688310000000</v>
      </c>
      <c r="D204" s="14">
        <v>2577764790902</v>
      </c>
      <c r="E204" s="14">
        <v>191037276046</v>
      </c>
      <c r="F204" s="14">
        <v>105627982231</v>
      </c>
    </row>
    <row r="205" spans="1:6" x14ac:dyDescent="0.35">
      <c r="A205" t="s">
        <v>1937</v>
      </c>
      <c r="B205" t="s">
        <v>84</v>
      </c>
      <c r="C205" s="14">
        <v>40000000000</v>
      </c>
      <c r="D205" s="14">
        <v>40000000000</v>
      </c>
      <c r="E205" s="14">
        <v>0</v>
      </c>
      <c r="F205" s="14">
        <v>0</v>
      </c>
    </row>
    <row r="206" spans="1:6" x14ac:dyDescent="0.35">
      <c r="A206" t="s">
        <v>1937</v>
      </c>
      <c r="B206" t="s">
        <v>85</v>
      </c>
      <c r="C206" s="14">
        <v>0</v>
      </c>
      <c r="D206" s="14">
        <v>0</v>
      </c>
      <c r="E206" s="14">
        <v>0</v>
      </c>
      <c r="F206" s="14">
        <v>0</v>
      </c>
    </row>
    <row r="207" spans="1:6" x14ac:dyDescent="0.35">
      <c r="A207" t="s">
        <v>1937</v>
      </c>
      <c r="B207" t="s">
        <v>86</v>
      </c>
      <c r="C207" s="14">
        <v>0</v>
      </c>
      <c r="D207" s="14">
        <v>0</v>
      </c>
      <c r="E207" s="14">
        <v>0</v>
      </c>
      <c r="F207" s="14">
        <v>0</v>
      </c>
    </row>
    <row r="208" spans="1:6" x14ac:dyDescent="0.35">
      <c r="A208" t="s">
        <v>1937</v>
      </c>
      <c r="B208" t="s">
        <v>87</v>
      </c>
      <c r="C208" s="14">
        <v>0</v>
      </c>
      <c r="D208" s="14">
        <v>0</v>
      </c>
      <c r="E208" s="14">
        <v>0</v>
      </c>
      <c r="F208" s="14">
        <v>0</v>
      </c>
    </row>
    <row r="209" spans="1:6" x14ac:dyDescent="0.35">
      <c r="A209" t="s">
        <v>1937</v>
      </c>
      <c r="B209" t="s">
        <v>88</v>
      </c>
      <c r="C209" s="14">
        <v>0</v>
      </c>
      <c r="D209" s="14">
        <v>0</v>
      </c>
      <c r="E209" s="14">
        <v>18454994</v>
      </c>
      <c r="F209" s="14">
        <v>13640642</v>
      </c>
    </row>
    <row r="210" spans="1:6" x14ac:dyDescent="0.35">
      <c r="A210" t="s">
        <v>1937</v>
      </c>
      <c r="B210" t="s">
        <v>89</v>
      </c>
      <c r="C210" s="14">
        <v>5264977995848</v>
      </c>
      <c r="D210" s="14">
        <v>5159205072090</v>
      </c>
      <c r="E210" s="14">
        <v>6547555089529</v>
      </c>
      <c r="F210" s="14">
        <v>2962815808780</v>
      </c>
    </row>
    <row r="211" spans="1:6" x14ac:dyDescent="0.35">
      <c r="A211" t="s">
        <v>1937</v>
      </c>
      <c r="B211" t="s">
        <v>90</v>
      </c>
      <c r="C211" s="14">
        <v>2549399230688</v>
      </c>
      <c r="D211" s="14">
        <v>10883983426593</v>
      </c>
      <c r="E211" s="14">
        <v>11687767651941</v>
      </c>
      <c r="F211" s="14">
        <v>9014925610537</v>
      </c>
    </row>
    <row r="212" spans="1:6" x14ac:dyDescent="0.35">
      <c r="A212" t="s">
        <v>1937</v>
      </c>
      <c r="B212" t="s">
        <v>91</v>
      </c>
      <c r="C212" s="14">
        <v>2020300000000</v>
      </c>
      <c r="D212" s="14">
        <v>365750000000</v>
      </c>
      <c r="E212" s="14">
        <v>0</v>
      </c>
      <c r="F212" s="14">
        <v>0</v>
      </c>
    </row>
    <row r="213" spans="1:6" x14ac:dyDescent="0.35">
      <c r="A213" t="s">
        <v>1937</v>
      </c>
      <c r="B213" t="s">
        <v>92</v>
      </c>
      <c r="C213" s="14">
        <v>0</v>
      </c>
      <c r="D213" s="14">
        <v>0</v>
      </c>
      <c r="E213" s="14">
        <v>0</v>
      </c>
      <c r="F213" s="14">
        <v>0</v>
      </c>
    </row>
    <row r="214" spans="1:6" x14ac:dyDescent="0.35">
      <c r="A214" t="s">
        <v>1937</v>
      </c>
      <c r="B214" t="s">
        <v>93</v>
      </c>
      <c r="C214" s="14">
        <v>1072051448</v>
      </c>
      <c r="D214" s="14">
        <v>114555550620</v>
      </c>
      <c r="E214" s="14">
        <v>213008644651</v>
      </c>
      <c r="F214" s="14">
        <v>365692903941</v>
      </c>
    </row>
    <row r="215" spans="1:6" x14ac:dyDescent="0.35">
      <c r="A215" t="s">
        <v>1937</v>
      </c>
      <c r="B215" t="s">
        <v>94</v>
      </c>
      <c r="C215" s="14">
        <v>0</v>
      </c>
      <c r="D215" s="14">
        <v>1364890215</v>
      </c>
      <c r="E215" s="14">
        <v>1724405975</v>
      </c>
      <c r="F215" s="14">
        <v>2283435069</v>
      </c>
    </row>
    <row r="216" spans="1:6" x14ac:dyDescent="0.35">
      <c r="A216" t="s">
        <v>1937</v>
      </c>
      <c r="B216" t="s">
        <v>95</v>
      </c>
      <c r="C216" s="14">
        <v>0</v>
      </c>
      <c r="D216" s="14">
        <v>0</v>
      </c>
      <c r="E216" s="14">
        <v>0</v>
      </c>
      <c r="F216" s="14">
        <v>0</v>
      </c>
    </row>
    <row r="217" spans="1:6" x14ac:dyDescent="0.35">
      <c r="A217" t="s">
        <v>1937</v>
      </c>
      <c r="B217" t="s">
        <v>96</v>
      </c>
      <c r="C217" s="14">
        <v>2963308030892</v>
      </c>
      <c r="D217" s="14">
        <v>8349564582593</v>
      </c>
      <c r="E217" s="14">
        <v>13799126790020</v>
      </c>
      <c r="F217" s="14">
        <v>17241697538577</v>
      </c>
    </row>
    <row r="218" spans="1:6" x14ac:dyDescent="0.35">
      <c r="A218" t="s">
        <v>1937</v>
      </c>
      <c r="B218" t="s">
        <v>97</v>
      </c>
      <c r="C218" s="14">
        <v>2963308030892</v>
      </c>
      <c r="D218" s="14">
        <v>8349564582593</v>
      </c>
      <c r="E218" s="14">
        <v>13799126790020</v>
      </c>
      <c r="F218" s="14">
        <v>17241697538577</v>
      </c>
    </row>
    <row r="219" spans="1:6" x14ac:dyDescent="0.35">
      <c r="A219" t="s">
        <v>1937</v>
      </c>
      <c r="B219" t="s">
        <v>98</v>
      </c>
      <c r="C219" s="14">
        <v>1360057600000</v>
      </c>
      <c r="D219" s="14">
        <v>2975371740000</v>
      </c>
      <c r="E219" s="14">
        <v>5334676220000</v>
      </c>
      <c r="F219" s="14">
        <v>5334676220000</v>
      </c>
    </row>
    <row r="220" spans="1:6" x14ac:dyDescent="0.35">
      <c r="A220" t="s">
        <v>1937</v>
      </c>
      <c r="B220" t="s">
        <v>99</v>
      </c>
      <c r="C220" s="14">
        <v>1360057600000</v>
      </c>
      <c r="D220" s="14">
        <v>0</v>
      </c>
      <c r="E220" s="14">
        <v>5334676220000</v>
      </c>
      <c r="F220" s="14">
        <v>5334676220000</v>
      </c>
    </row>
    <row r="221" spans="1:6" x14ac:dyDescent="0.35">
      <c r="A221" t="s">
        <v>1937</v>
      </c>
      <c r="B221" t="s">
        <v>100</v>
      </c>
      <c r="C221" s="14">
        <v>0</v>
      </c>
      <c r="D221" s="14">
        <v>0</v>
      </c>
      <c r="E221" s="14">
        <v>0</v>
      </c>
      <c r="F221" s="14">
        <v>0</v>
      </c>
    </row>
    <row r="222" spans="1:6" x14ac:dyDescent="0.35">
      <c r="A222" t="s">
        <v>1937</v>
      </c>
      <c r="B222" t="s">
        <v>101</v>
      </c>
      <c r="C222" s="14">
        <v>-165000000</v>
      </c>
      <c r="D222" s="14">
        <v>-233004000</v>
      </c>
      <c r="E222" s="14">
        <v>866926422000</v>
      </c>
      <c r="F222" s="14">
        <v>866926422000</v>
      </c>
    </row>
    <row r="223" spans="1:6" x14ac:dyDescent="0.35">
      <c r="A223" t="s">
        <v>1937</v>
      </c>
      <c r="B223" t="s">
        <v>102</v>
      </c>
      <c r="C223" s="14">
        <v>0</v>
      </c>
      <c r="D223" s="14">
        <v>0</v>
      </c>
      <c r="E223" s="14">
        <v>0</v>
      </c>
      <c r="F223" s="14">
        <v>0</v>
      </c>
    </row>
    <row r="224" spans="1:6" x14ac:dyDescent="0.35">
      <c r="A224" t="s">
        <v>1937</v>
      </c>
      <c r="B224" t="s">
        <v>103</v>
      </c>
      <c r="C224" s="14">
        <v>0</v>
      </c>
      <c r="D224" s="14">
        <v>21404860000</v>
      </c>
      <c r="E224" s="14">
        <v>21404860000</v>
      </c>
      <c r="F224" s="14">
        <v>210705510000</v>
      </c>
    </row>
    <row r="225" spans="1:6" x14ac:dyDescent="0.35">
      <c r="A225" t="s">
        <v>1937</v>
      </c>
      <c r="B225" t="s">
        <v>104</v>
      </c>
      <c r="C225" s="14">
        <v>0</v>
      </c>
      <c r="D225" s="14">
        <v>0</v>
      </c>
      <c r="E225" s="14">
        <v>0</v>
      </c>
      <c r="F225" s="14">
        <v>0</v>
      </c>
    </row>
    <row r="226" spans="1:6" x14ac:dyDescent="0.35">
      <c r="A226" t="s">
        <v>1937</v>
      </c>
      <c r="B226" t="s">
        <v>105</v>
      </c>
      <c r="C226" s="14">
        <v>0</v>
      </c>
      <c r="D226" s="14">
        <v>0</v>
      </c>
      <c r="E226" s="14">
        <v>0</v>
      </c>
      <c r="F226" s="14">
        <v>0</v>
      </c>
    </row>
    <row r="227" spans="1:6" x14ac:dyDescent="0.35">
      <c r="A227" t="s">
        <v>1937</v>
      </c>
      <c r="B227" t="s">
        <v>106</v>
      </c>
      <c r="C227" s="14">
        <v>0</v>
      </c>
      <c r="D227" s="14">
        <v>0</v>
      </c>
      <c r="E227" s="14">
        <v>0</v>
      </c>
      <c r="F227" s="14">
        <v>0</v>
      </c>
    </row>
    <row r="228" spans="1:6" x14ac:dyDescent="0.35">
      <c r="A228" t="s">
        <v>1937</v>
      </c>
      <c r="B228" t="s">
        <v>107</v>
      </c>
      <c r="C228" s="14">
        <v>306707661</v>
      </c>
      <c r="D228" s="14">
        <v>3908270221</v>
      </c>
      <c r="E228" s="14">
        <v>3908796261</v>
      </c>
      <c r="F228" s="14">
        <v>3908796261</v>
      </c>
    </row>
    <row r="229" spans="1:6" x14ac:dyDescent="0.35">
      <c r="A229" t="s">
        <v>1937</v>
      </c>
      <c r="B229" t="s">
        <v>108</v>
      </c>
      <c r="C229" s="14">
        <v>0</v>
      </c>
      <c r="D229" s="14">
        <v>0</v>
      </c>
      <c r="E229" s="14">
        <v>0</v>
      </c>
      <c r="F229" s="14">
        <v>0</v>
      </c>
    </row>
    <row r="230" spans="1:6" x14ac:dyDescent="0.35">
      <c r="A230" t="s">
        <v>1937</v>
      </c>
      <c r="B230" t="s">
        <v>109</v>
      </c>
      <c r="C230" s="14">
        <v>481158791</v>
      </c>
      <c r="D230" s="14">
        <v>463478572</v>
      </c>
      <c r="E230" s="14">
        <v>464287634</v>
      </c>
      <c r="F230" s="14">
        <v>464287634</v>
      </c>
    </row>
    <row r="231" spans="1:6" x14ac:dyDescent="0.35">
      <c r="A231" t="s">
        <v>1937</v>
      </c>
      <c r="B231" t="s">
        <v>110</v>
      </c>
      <c r="C231" s="14">
        <v>215211939444</v>
      </c>
      <c r="D231" s="14">
        <v>571767743807</v>
      </c>
      <c r="E231" s="14">
        <v>426546946425</v>
      </c>
      <c r="F231" s="14">
        <v>430511107232</v>
      </c>
    </row>
    <row r="232" spans="1:6" x14ac:dyDescent="0.35">
      <c r="A232" t="s">
        <v>1937</v>
      </c>
      <c r="B232" t="s">
        <v>111</v>
      </c>
      <c r="C232" s="14">
        <v>211326903012</v>
      </c>
      <c r="D232" s="14">
        <v>0</v>
      </c>
      <c r="E232" s="14">
        <v>17252315476</v>
      </c>
      <c r="F232" s="14">
        <v>251162936301</v>
      </c>
    </row>
    <row r="233" spans="1:6" x14ac:dyDescent="0.35">
      <c r="A233" t="s">
        <v>1937</v>
      </c>
      <c r="B233" t="s">
        <v>112</v>
      </c>
      <c r="C233" s="14">
        <v>3885036432</v>
      </c>
      <c r="D233" s="14">
        <v>0</v>
      </c>
      <c r="E233" s="14">
        <v>409294630949</v>
      </c>
      <c r="F233" s="14">
        <v>179348170931</v>
      </c>
    </row>
    <row r="234" spans="1:6" x14ac:dyDescent="0.35">
      <c r="A234" t="s">
        <v>1937</v>
      </c>
      <c r="B234" t="s">
        <v>113</v>
      </c>
      <c r="C234" s="14">
        <v>0</v>
      </c>
      <c r="D234" s="14">
        <v>0</v>
      </c>
      <c r="E234" s="14">
        <v>0</v>
      </c>
      <c r="F234" s="14">
        <v>0</v>
      </c>
    </row>
    <row r="235" spans="1:6" x14ac:dyDescent="0.35">
      <c r="A235" t="s">
        <v>1937</v>
      </c>
      <c r="B235" t="s">
        <v>114</v>
      </c>
      <c r="C235" s="14">
        <v>1387415624996</v>
      </c>
      <c r="D235" s="14">
        <v>4776881493993</v>
      </c>
      <c r="E235" s="14">
        <v>7145199257700</v>
      </c>
      <c r="F235" s="14">
        <v>10620551838121</v>
      </c>
    </row>
    <row r="236" spans="1:6" x14ac:dyDescent="0.35">
      <c r="A236" t="s">
        <v>1937</v>
      </c>
      <c r="B236" t="s">
        <v>115</v>
      </c>
      <c r="C236" s="14">
        <v>0</v>
      </c>
      <c r="D236" s="14">
        <v>0</v>
      </c>
      <c r="E236" s="14">
        <v>0</v>
      </c>
      <c r="F236" s="14">
        <v>0</v>
      </c>
    </row>
    <row r="237" spans="1:6" x14ac:dyDescent="0.35">
      <c r="A237" t="s">
        <v>1937</v>
      </c>
      <c r="B237" t="s">
        <v>116</v>
      </c>
      <c r="C237" s="14">
        <v>0</v>
      </c>
      <c r="D237" s="14">
        <v>0</v>
      </c>
      <c r="E237" s="14">
        <v>0</v>
      </c>
      <c r="F237" s="14">
        <v>0</v>
      </c>
    </row>
    <row r="238" spans="1:6" x14ac:dyDescent="0.35">
      <c r="A238" t="s">
        <v>1937</v>
      </c>
      <c r="B238" t="s">
        <v>117</v>
      </c>
      <c r="C238" s="14">
        <v>0</v>
      </c>
      <c r="D238" s="14">
        <v>0</v>
      </c>
      <c r="E238" s="14">
        <v>0</v>
      </c>
      <c r="F238" s="14">
        <v>0</v>
      </c>
    </row>
    <row r="239" spans="1:6" x14ac:dyDescent="0.35">
      <c r="A239" t="s">
        <v>1937</v>
      </c>
      <c r="B239" t="s">
        <v>118</v>
      </c>
      <c r="C239" s="14">
        <v>24136825693441</v>
      </c>
      <c r="D239" s="14">
        <v>37689325905725</v>
      </c>
      <c r="E239" s="14">
        <v>43820407345276</v>
      </c>
      <c r="F239" s="14">
        <v>41783288479592</v>
      </c>
    </row>
    <row r="240" spans="1:6" x14ac:dyDescent="0.35">
      <c r="A240" t="s">
        <v>1938</v>
      </c>
      <c r="B240" t="s">
        <v>6</v>
      </c>
      <c r="C240" s="14">
        <v>0</v>
      </c>
      <c r="D240" s="14">
        <v>0</v>
      </c>
      <c r="E240" s="14">
        <v>0</v>
      </c>
      <c r="F240" s="14">
        <v>0</v>
      </c>
    </row>
    <row r="241" spans="1:6" x14ac:dyDescent="0.35">
      <c r="A241" t="s">
        <v>1938</v>
      </c>
      <c r="B241" t="s">
        <v>7</v>
      </c>
      <c r="C241" s="14">
        <v>5557412775682</v>
      </c>
      <c r="D241" s="14">
        <v>5062620383406</v>
      </c>
      <c r="E241" s="14">
        <v>5235382974606</v>
      </c>
      <c r="F241" s="14">
        <v>6136596079496</v>
      </c>
    </row>
    <row r="242" spans="1:6" x14ac:dyDescent="0.35">
      <c r="A242" t="s">
        <v>1938</v>
      </c>
      <c r="B242" t="s">
        <v>8</v>
      </c>
      <c r="C242" s="14">
        <v>358353732799</v>
      </c>
      <c r="D242" s="14">
        <v>312430239372</v>
      </c>
      <c r="E242" s="14">
        <v>174638758149</v>
      </c>
      <c r="F242" s="14">
        <v>701731891550</v>
      </c>
    </row>
    <row r="243" spans="1:6" x14ac:dyDescent="0.35">
      <c r="A243" t="s">
        <v>1938</v>
      </c>
      <c r="B243" t="s">
        <v>9</v>
      </c>
      <c r="C243" s="14">
        <v>302718732799</v>
      </c>
      <c r="D243" s="14">
        <v>172755595009</v>
      </c>
      <c r="E243" s="14">
        <v>112906623636</v>
      </c>
      <c r="F243" s="14">
        <v>542225987848</v>
      </c>
    </row>
    <row r="244" spans="1:6" x14ac:dyDescent="0.35">
      <c r="A244" t="s">
        <v>1938</v>
      </c>
      <c r="B244" t="s">
        <v>10</v>
      </c>
      <c r="C244" s="14">
        <v>55635000000</v>
      </c>
      <c r="D244" s="14">
        <v>139674644363</v>
      </c>
      <c r="E244" s="14">
        <v>61732134513</v>
      </c>
      <c r="F244" s="14">
        <v>159505903702</v>
      </c>
    </row>
    <row r="245" spans="1:6" x14ac:dyDescent="0.35">
      <c r="A245" t="s">
        <v>1938</v>
      </c>
      <c r="B245" t="s">
        <v>11</v>
      </c>
      <c r="C245" s="14">
        <v>35358143989</v>
      </c>
      <c r="D245" s="14">
        <v>49148587209</v>
      </c>
      <c r="E245" s="14">
        <v>28560627146</v>
      </c>
      <c r="F245" s="14">
        <v>24655423033</v>
      </c>
    </row>
    <row r="246" spans="1:6" x14ac:dyDescent="0.35">
      <c r="A246" t="s">
        <v>1938</v>
      </c>
      <c r="B246" t="s">
        <v>12</v>
      </c>
      <c r="C246" s="14">
        <v>0</v>
      </c>
      <c r="D246" s="14">
        <v>0</v>
      </c>
      <c r="E246" s="14">
        <v>0</v>
      </c>
      <c r="F246" s="14">
        <v>0</v>
      </c>
    </row>
    <row r="247" spans="1:6" x14ac:dyDescent="0.35">
      <c r="A247" t="s">
        <v>1938</v>
      </c>
      <c r="B247" t="s">
        <v>13</v>
      </c>
      <c r="C247" s="14">
        <v>0</v>
      </c>
      <c r="D247" s="14">
        <v>0</v>
      </c>
      <c r="E247" s="14">
        <v>0</v>
      </c>
      <c r="F247" s="14">
        <v>0</v>
      </c>
    </row>
    <row r="248" spans="1:6" x14ac:dyDescent="0.35">
      <c r="A248" t="s">
        <v>1938</v>
      </c>
      <c r="B248" t="s">
        <v>14</v>
      </c>
      <c r="C248" s="14">
        <v>35358143989</v>
      </c>
      <c r="D248" s="14">
        <v>49148587209</v>
      </c>
      <c r="E248" s="14">
        <v>28560627146</v>
      </c>
      <c r="F248" s="14">
        <v>24655423033</v>
      </c>
    </row>
    <row r="249" spans="1:6" x14ac:dyDescent="0.35">
      <c r="A249" t="s">
        <v>1938</v>
      </c>
      <c r="B249" t="s">
        <v>15</v>
      </c>
      <c r="C249" s="14">
        <v>3969341050922</v>
      </c>
      <c r="D249" s="14">
        <v>2821445306296</v>
      </c>
      <c r="E249" s="14">
        <v>3229997090874</v>
      </c>
      <c r="F249" s="14">
        <v>3632110730533</v>
      </c>
    </row>
    <row r="250" spans="1:6" x14ac:dyDescent="0.35">
      <c r="A250" t="s">
        <v>1938</v>
      </c>
      <c r="B250" t="s">
        <v>16</v>
      </c>
      <c r="C250" s="14">
        <v>2663910912631</v>
      </c>
      <c r="D250" s="14">
        <v>2057456007585</v>
      </c>
      <c r="E250" s="14">
        <v>1981715704484</v>
      </c>
      <c r="F250" s="14">
        <v>1889554794645</v>
      </c>
    </row>
    <row r="251" spans="1:6" x14ac:dyDescent="0.35">
      <c r="A251" t="s">
        <v>1938</v>
      </c>
      <c r="B251" t="s">
        <v>17</v>
      </c>
      <c r="C251" s="14">
        <v>621272475826</v>
      </c>
      <c r="D251" s="14">
        <v>173861796618</v>
      </c>
      <c r="E251" s="14">
        <v>235619508387</v>
      </c>
      <c r="F251" s="14">
        <v>692867910134</v>
      </c>
    </row>
    <row r="252" spans="1:6" x14ac:dyDescent="0.35">
      <c r="A252" t="s">
        <v>1938</v>
      </c>
      <c r="B252" t="s">
        <v>18</v>
      </c>
      <c r="C252" s="14">
        <v>0</v>
      </c>
      <c r="D252" s="14">
        <v>0</v>
      </c>
      <c r="E252" s="14">
        <v>0</v>
      </c>
      <c r="F252" s="14">
        <v>0</v>
      </c>
    </row>
    <row r="253" spans="1:6" x14ac:dyDescent="0.35">
      <c r="A253" t="s">
        <v>1938</v>
      </c>
      <c r="B253" t="s">
        <v>19</v>
      </c>
      <c r="C253" s="14">
        <v>0</v>
      </c>
      <c r="D253" s="14">
        <v>0</v>
      </c>
      <c r="E253" s="14">
        <v>0</v>
      </c>
      <c r="F253" s="14">
        <v>0</v>
      </c>
    </row>
    <row r="254" spans="1:6" x14ac:dyDescent="0.35">
      <c r="A254" t="s">
        <v>1938</v>
      </c>
      <c r="B254" t="s">
        <v>20</v>
      </c>
      <c r="C254" s="14">
        <v>44405044167</v>
      </c>
      <c r="D254" s="14">
        <v>62062540000</v>
      </c>
      <c r="E254" s="14">
        <v>37095020000</v>
      </c>
      <c r="F254" s="14">
        <v>8284060000</v>
      </c>
    </row>
    <row r="255" spans="1:6" x14ac:dyDescent="0.35">
      <c r="A255" t="s">
        <v>1938</v>
      </c>
      <c r="B255" t="s">
        <v>21</v>
      </c>
      <c r="C255" s="14">
        <v>643009282033</v>
      </c>
      <c r="D255" s="14">
        <v>531326076549</v>
      </c>
      <c r="E255" s="14">
        <v>978197568639</v>
      </c>
      <c r="F255" s="14">
        <v>1044034676390</v>
      </c>
    </row>
    <row r="256" spans="1:6" x14ac:dyDescent="0.35">
      <c r="A256" t="s">
        <v>1938</v>
      </c>
      <c r="B256" t="s">
        <v>22</v>
      </c>
      <c r="C256" s="14">
        <v>-4185497150</v>
      </c>
      <c r="D256" s="14">
        <v>-4197690370</v>
      </c>
      <c r="E256" s="14">
        <v>-3878109747</v>
      </c>
      <c r="F256" s="14">
        <v>-3878109747</v>
      </c>
    </row>
    <row r="257" spans="1:6" x14ac:dyDescent="0.35">
      <c r="A257" t="s">
        <v>1938</v>
      </c>
      <c r="B257" t="s">
        <v>23</v>
      </c>
      <c r="C257" s="14">
        <v>928833415</v>
      </c>
      <c r="D257" s="14">
        <v>936575914</v>
      </c>
      <c r="E257" s="14">
        <v>1247399111</v>
      </c>
      <c r="F257" s="14">
        <v>1247399111</v>
      </c>
    </row>
    <row r="258" spans="1:6" x14ac:dyDescent="0.35">
      <c r="A258" t="s">
        <v>1938</v>
      </c>
      <c r="B258" t="s">
        <v>24</v>
      </c>
      <c r="C258" s="14">
        <v>1028107365982</v>
      </c>
      <c r="D258" s="14">
        <v>1662011105914</v>
      </c>
      <c r="E258" s="14">
        <v>1669258655738</v>
      </c>
      <c r="F258" s="14">
        <v>1680601634602</v>
      </c>
    </row>
    <row r="259" spans="1:6" x14ac:dyDescent="0.35">
      <c r="A259" t="s">
        <v>1938</v>
      </c>
      <c r="B259" t="s">
        <v>25</v>
      </c>
      <c r="C259" s="14">
        <v>1028107365982</v>
      </c>
      <c r="D259" s="14">
        <v>1662011105914</v>
      </c>
      <c r="E259" s="14">
        <v>1669258655738</v>
      </c>
      <c r="F259" s="14">
        <v>1680601634602</v>
      </c>
    </row>
    <row r="260" spans="1:6" x14ac:dyDescent="0.35">
      <c r="A260" t="s">
        <v>1938</v>
      </c>
      <c r="B260" t="s">
        <v>26</v>
      </c>
      <c r="C260" s="14">
        <v>0</v>
      </c>
      <c r="D260" s="14">
        <v>0</v>
      </c>
      <c r="E260" s="14">
        <v>0</v>
      </c>
      <c r="F260" s="14">
        <v>0</v>
      </c>
    </row>
    <row r="261" spans="1:6" x14ac:dyDescent="0.35">
      <c r="A261" t="s">
        <v>1938</v>
      </c>
      <c r="B261" t="s">
        <v>27</v>
      </c>
      <c r="C261" s="14">
        <v>166252481990</v>
      </c>
      <c r="D261" s="14">
        <v>217585144615</v>
      </c>
      <c r="E261" s="14">
        <v>132927842699</v>
      </c>
      <c r="F261" s="14">
        <v>97496399778</v>
      </c>
    </row>
    <row r="262" spans="1:6" x14ac:dyDescent="0.35">
      <c r="A262" t="s">
        <v>1938</v>
      </c>
      <c r="B262" t="s">
        <v>28</v>
      </c>
      <c r="C262" s="14">
        <v>10268884294</v>
      </c>
      <c r="D262" s="14">
        <v>31912874669</v>
      </c>
      <c r="E262" s="14">
        <v>42412551500</v>
      </c>
      <c r="F262" s="14">
        <v>45923029209</v>
      </c>
    </row>
    <row r="263" spans="1:6" x14ac:dyDescent="0.35">
      <c r="A263" t="s">
        <v>1938</v>
      </c>
      <c r="B263" t="s">
        <v>29</v>
      </c>
      <c r="C263" s="14">
        <v>8860704520</v>
      </c>
      <c r="D263" s="14">
        <v>59377573349</v>
      </c>
      <c r="E263" s="14">
        <v>85175473475</v>
      </c>
      <c r="F263" s="14">
        <v>50414494826</v>
      </c>
    </row>
    <row r="264" spans="1:6" x14ac:dyDescent="0.35">
      <c r="A264" t="s">
        <v>1938</v>
      </c>
      <c r="B264" t="s">
        <v>30</v>
      </c>
      <c r="C264" s="14">
        <v>3365933176</v>
      </c>
      <c r="D264" s="14">
        <v>2294696597</v>
      </c>
      <c r="E264" s="14">
        <v>5339817724</v>
      </c>
      <c r="F264" s="14">
        <v>1158875743</v>
      </c>
    </row>
    <row r="265" spans="1:6" x14ac:dyDescent="0.35">
      <c r="A265" t="s">
        <v>1938</v>
      </c>
      <c r="B265" t="s">
        <v>31</v>
      </c>
      <c r="C265" s="14">
        <v>0</v>
      </c>
      <c r="D265" s="14">
        <v>0</v>
      </c>
      <c r="E265" s="14">
        <v>0</v>
      </c>
      <c r="F265" s="14">
        <v>0</v>
      </c>
    </row>
    <row r="266" spans="1:6" x14ac:dyDescent="0.35">
      <c r="A266" t="s">
        <v>1938</v>
      </c>
      <c r="B266" t="s">
        <v>32</v>
      </c>
      <c r="C266" s="14">
        <v>143756960000</v>
      </c>
      <c r="D266" s="14">
        <v>124000000000</v>
      </c>
      <c r="E266" s="14">
        <v>0</v>
      </c>
      <c r="F266" s="14">
        <v>0</v>
      </c>
    </row>
    <row r="267" spans="1:6" x14ac:dyDescent="0.35">
      <c r="A267" t="s">
        <v>1938</v>
      </c>
      <c r="B267" t="s">
        <v>33</v>
      </c>
      <c r="C267" s="14">
        <v>1222701947188</v>
      </c>
      <c r="D267" s="14">
        <v>2433084195177</v>
      </c>
      <c r="E267" s="14">
        <v>2345591035453</v>
      </c>
      <c r="F267" s="14">
        <v>2444854548545</v>
      </c>
    </row>
    <row r="268" spans="1:6" x14ac:dyDescent="0.35">
      <c r="A268" t="s">
        <v>1938</v>
      </c>
      <c r="B268" t="s">
        <v>34</v>
      </c>
      <c r="C268" s="14">
        <v>70291521583</v>
      </c>
      <c r="D268" s="14">
        <v>57423776151</v>
      </c>
      <c r="E268" s="14">
        <v>127242158796</v>
      </c>
      <c r="F268" s="14">
        <v>120155328362</v>
      </c>
    </row>
    <row r="269" spans="1:6" x14ac:dyDescent="0.35">
      <c r="A269" t="s">
        <v>1938</v>
      </c>
      <c r="B269" t="s">
        <v>35</v>
      </c>
      <c r="C269" s="14">
        <v>6333390000</v>
      </c>
      <c r="D269" s="14">
        <v>2602610000</v>
      </c>
      <c r="E269" s="14">
        <v>2602610000</v>
      </c>
      <c r="F269" s="14">
        <v>0</v>
      </c>
    </row>
    <row r="270" spans="1:6" x14ac:dyDescent="0.35">
      <c r="A270" t="s">
        <v>1938</v>
      </c>
      <c r="B270" t="s">
        <v>36</v>
      </c>
      <c r="C270" s="14">
        <v>0</v>
      </c>
      <c r="D270" s="14">
        <v>0</v>
      </c>
      <c r="E270" s="14">
        <v>0</v>
      </c>
      <c r="F270" s="14">
        <v>0</v>
      </c>
    </row>
    <row r="271" spans="1:6" x14ac:dyDescent="0.35">
      <c r="A271" t="s">
        <v>1938</v>
      </c>
      <c r="B271" t="s">
        <v>37</v>
      </c>
      <c r="C271" s="14">
        <v>0</v>
      </c>
      <c r="D271" s="14">
        <v>0</v>
      </c>
      <c r="E271" s="14">
        <v>0</v>
      </c>
      <c r="F271" s="14">
        <v>0</v>
      </c>
    </row>
    <row r="272" spans="1:6" x14ac:dyDescent="0.35">
      <c r="A272" t="s">
        <v>1938</v>
      </c>
      <c r="B272" t="s">
        <v>38</v>
      </c>
      <c r="C272" s="14">
        <v>0</v>
      </c>
      <c r="D272" s="14">
        <v>0</v>
      </c>
      <c r="E272" s="14">
        <v>0</v>
      </c>
      <c r="F272" s="14">
        <v>0</v>
      </c>
    </row>
    <row r="273" spans="1:6" x14ac:dyDescent="0.35">
      <c r="A273" t="s">
        <v>1938</v>
      </c>
      <c r="B273" t="s">
        <v>39</v>
      </c>
      <c r="C273" s="14">
        <v>23300000000</v>
      </c>
      <c r="D273" s="14">
        <v>0</v>
      </c>
      <c r="E273" s="14">
        <v>99534466986</v>
      </c>
      <c r="F273" s="14">
        <v>99534466986</v>
      </c>
    </row>
    <row r="274" spans="1:6" x14ac:dyDescent="0.35">
      <c r="A274" t="s">
        <v>1938</v>
      </c>
      <c r="B274" t="s">
        <v>40</v>
      </c>
      <c r="C274" s="14">
        <v>40658131583</v>
      </c>
      <c r="D274" s="14">
        <v>54821166151</v>
      </c>
      <c r="E274" s="14">
        <v>25105081810</v>
      </c>
      <c r="F274" s="14">
        <v>20620861376</v>
      </c>
    </row>
    <row r="275" spans="1:6" x14ac:dyDescent="0.35">
      <c r="A275" t="s">
        <v>1938</v>
      </c>
      <c r="B275" t="s">
        <v>41</v>
      </c>
      <c r="C275" s="14">
        <v>0</v>
      </c>
      <c r="D275" s="14">
        <v>0</v>
      </c>
      <c r="E275" s="14">
        <v>0</v>
      </c>
      <c r="F275" s="14">
        <v>0</v>
      </c>
    </row>
    <row r="276" spans="1:6" x14ac:dyDescent="0.35">
      <c r="A276" t="s">
        <v>1938</v>
      </c>
      <c r="B276" t="s">
        <v>42</v>
      </c>
      <c r="C276" s="14">
        <v>673036229036</v>
      </c>
      <c r="D276" s="14">
        <v>1886312740786</v>
      </c>
      <c r="E276" s="14">
        <v>1796666790712</v>
      </c>
      <c r="F276" s="14">
        <v>1716276085056</v>
      </c>
    </row>
    <row r="277" spans="1:6" x14ac:dyDescent="0.35">
      <c r="A277" t="s">
        <v>1938</v>
      </c>
      <c r="B277" t="s">
        <v>43</v>
      </c>
      <c r="C277" s="14">
        <v>434424987981</v>
      </c>
      <c r="D277" s="14">
        <v>1631823344094</v>
      </c>
      <c r="E277" s="14">
        <v>1552750680596</v>
      </c>
      <c r="F277" s="14">
        <v>1543790736883</v>
      </c>
    </row>
    <row r="278" spans="1:6" x14ac:dyDescent="0.35">
      <c r="A278" t="s">
        <v>1938</v>
      </c>
      <c r="B278" t="s">
        <v>44</v>
      </c>
      <c r="C278" s="14">
        <v>801271684320</v>
      </c>
      <c r="D278" s="14">
        <v>2037531474573</v>
      </c>
      <c r="E278" s="14">
        <v>2021088456407</v>
      </c>
      <c r="F278" s="14">
        <v>2178786544887</v>
      </c>
    </row>
    <row r="279" spans="1:6" x14ac:dyDescent="0.35">
      <c r="A279" t="s">
        <v>1938</v>
      </c>
      <c r="B279" t="s">
        <v>45</v>
      </c>
      <c r="C279" s="14">
        <v>-366846696339</v>
      </c>
      <c r="D279" s="14">
        <v>-405708130479</v>
      </c>
      <c r="E279" s="14">
        <v>-468337775811</v>
      </c>
      <c r="F279" s="14">
        <v>-634995808004</v>
      </c>
    </row>
    <row r="280" spans="1:6" x14ac:dyDescent="0.35">
      <c r="A280" t="s">
        <v>1938</v>
      </c>
      <c r="B280" t="s">
        <v>46</v>
      </c>
      <c r="C280" s="14">
        <v>185783319516</v>
      </c>
      <c r="D280" s="14">
        <v>228314685631</v>
      </c>
      <c r="E280" s="14">
        <v>214376785317</v>
      </c>
      <c r="F280" s="14">
        <v>147226189085</v>
      </c>
    </row>
    <row r="281" spans="1:6" x14ac:dyDescent="0.35">
      <c r="A281" t="s">
        <v>1938</v>
      </c>
      <c r="B281" t="s">
        <v>44</v>
      </c>
      <c r="C281" s="14">
        <v>213661288028</v>
      </c>
      <c r="D281" s="14">
        <v>262507159627</v>
      </c>
      <c r="E281" s="14">
        <v>259091987190</v>
      </c>
      <c r="F281" s="14">
        <v>196098527379</v>
      </c>
    </row>
    <row r="282" spans="1:6" x14ac:dyDescent="0.35">
      <c r="A282" t="s">
        <v>1938</v>
      </c>
      <c r="B282" t="s">
        <v>45</v>
      </c>
      <c r="C282" s="14">
        <v>-27877968512</v>
      </c>
      <c r="D282" s="14">
        <v>-34192473996</v>
      </c>
      <c r="E282" s="14">
        <v>-44715201873</v>
      </c>
      <c r="F282" s="14">
        <v>-48872338294</v>
      </c>
    </row>
    <row r="283" spans="1:6" x14ac:dyDescent="0.35">
      <c r="A283" t="s">
        <v>1938</v>
      </c>
      <c r="B283" t="s">
        <v>47</v>
      </c>
      <c r="C283" s="14">
        <v>52827921539</v>
      </c>
      <c r="D283" s="14">
        <v>26174711061</v>
      </c>
      <c r="E283" s="14">
        <v>29539324799</v>
      </c>
      <c r="F283" s="14">
        <v>25259159088</v>
      </c>
    </row>
    <row r="284" spans="1:6" x14ac:dyDescent="0.35">
      <c r="A284" t="s">
        <v>1938</v>
      </c>
      <c r="B284" t="s">
        <v>44</v>
      </c>
      <c r="C284" s="14">
        <v>71997793875</v>
      </c>
      <c r="D284" s="14">
        <v>48459475815</v>
      </c>
      <c r="E284" s="14">
        <v>56938438542</v>
      </c>
      <c r="F284" s="14">
        <v>58030438542</v>
      </c>
    </row>
    <row r="285" spans="1:6" x14ac:dyDescent="0.35">
      <c r="A285" t="s">
        <v>1938</v>
      </c>
      <c r="B285" t="s">
        <v>45</v>
      </c>
      <c r="C285" s="14">
        <v>-19169872336</v>
      </c>
      <c r="D285" s="14">
        <v>-22284764754</v>
      </c>
      <c r="E285" s="14">
        <v>-27399113743</v>
      </c>
      <c r="F285" s="14">
        <v>-32771279454</v>
      </c>
    </row>
    <row r="286" spans="1:6" x14ac:dyDescent="0.35">
      <c r="A286" t="s">
        <v>1938</v>
      </c>
      <c r="B286" t="s">
        <v>48</v>
      </c>
      <c r="C286" s="14">
        <v>0</v>
      </c>
      <c r="D286" s="14">
        <v>0</v>
      </c>
      <c r="E286" s="14">
        <v>0</v>
      </c>
      <c r="F286" s="14">
        <v>0</v>
      </c>
    </row>
    <row r="287" spans="1:6" x14ac:dyDescent="0.35">
      <c r="A287" t="s">
        <v>1938</v>
      </c>
      <c r="B287" t="s">
        <v>44</v>
      </c>
      <c r="C287" s="14">
        <v>0</v>
      </c>
      <c r="D287" s="14">
        <v>0</v>
      </c>
      <c r="E287" s="14">
        <v>0</v>
      </c>
      <c r="F287" s="14">
        <v>0</v>
      </c>
    </row>
    <row r="288" spans="1:6" x14ac:dyDescent="0.35">
      <c r="A288" t="s">
        <v>1938</v>
      </c>
      <c r="B288" t="s">
        <v>45</v>
      </c>
      <c r="C288" s="14">
        <v>0</v>
      </c>
      <c r="D288" s="14">
        <v>0</v>
      </c>
      <c r="E288" s="14">
        <v>0</v>
      </c>
      <c r="F288" s="14">
        <v>0</v>
      </c>
    </row>
    <row r="289" spans="1:6" x14ac:dyDescent="0.35">
      <c r="A289" t="s">
        <v>1938</v>
      </c>
      <c r="B289" t="s">
        <v>49</v>
      </c>
      <c r="C289" s="14">
        <v>46226126647</v>
      </c>
      <c r="D289" s="14">
        <v>26965662452</v>
      </c>
      <c r="E289" s="14">
        <v>36931509509</v>
      </c>
      <c r="F289" s="14">
        <v>54852362297</v>
      </c>
    </row>
    <row r="290" spans="1:6" x14ac:dyDescent="0.35">
      <c r="A290" t="s">
        <v>1938</v>
      </c>
      <c r="B290" t="s">
        <v>50</v>
      </c>
      <c r="C290" s="14">
        <v>0</v>
      </c>
      <c r="D290" s="14">
        <v>0</v>
      </c>
      <c r="E290" s="14">
        <v>9265434881</v>
      </c>
      <c r="F290" s="14">
        <v>24148330045</v>
      </c>
    </row>
    <row r="291" spans="1:6" x14ac:dyDescent="0.35">
      <c r="A291" t="s">
        <v>1938</v>
      </c>
      <c r="B291" t="s">
        <v>51</v>
      </c>
      <c r="C291" s="14">
        <v>46226126647</v>
      </c>
      <c r="D291" s="14">
        <v>26965662452</v>
      </c>
      <c r="E291" s="14">
        <v>27666074628</v>
      </c>
      <c r="F291" s="14">
        <v>30704032252</v>
      </c>
    </row>
    <row r="292" spans="1:6" x14ac:dyDescent="0.35">
      <c r="A292" t="s">
        <v>1938</v>
      </c>
      <c r="B292" t="s">
        <v>52</v>
      </c>
      <c r="C292" s="14">
        <v>304763816009</v>
      </c>
      <c r="D292" s="14">
        <v>292205863439</v>
      </c>
      <c r="E292" s="14">
        <v>222086444649</v>
      </c>
      <c r="F292" s="14">
        <v>414211405648</v>
      </c>
    </row>
    <row r="293" spans="1:6" x14ac:dyDescent="0.35">
      <c r="A293" t="s">
        <v>1938</v>
      </c>
      <c r="B293" t="s">
        <v>53</v>
      </c>
      <c r="C293" s="14">
        <v>0</v>
      </c>
      <c r="D293" s="14">
        <v>0</v>
      </c>
      <c r="E293" s="14">
        <v>0</v>
      </c>
      <c r="F293" s="14">
        <v>0</v>
      </c>
    </row>
    <row r="294" spans="1:6" x14ac:dyDescent="0.35">
      <c r="A294" t="s">
        <v>1938</v>
      </c>
      <c r="B294" t="s">
        <v>54</v>
      </c>
      <c r="C294" s="14">
        <v>188633242500</v>
      </c>
      <c r="D294" s="14">
        <v>188633242500</v>
      </c>
      <c r="E294" s="14">
        <v>157141403202</v>
      </c>
      <c r="F294" s="14">
        <v>329176403201</v>
      </c>
    </row>
    <row r="295" spans="1:6" x14ac:dyDescent="0.35">
      <c r="A295" t="s">
        <v>1938</v>
      </c>
      <c r="B295" t="s">
        <v>55</v>
      </c>
      <c r="C295" s="14">
        <v>114630573509</v>
      </c>
      <c r="D295" s="14">
        <v>102072620939</v>
      </c>
      <c r="E295" s="14">
        <v>60810027447</v>
      </c>
      <c r="F295" s="14">
        <v>80810027447</v>
      </c>
    </row>
    <row r="296" spans="1:6" x14ac:dyDescent="0.35">
      <c r="A296" t="s">
        <v>1938</v>
      </c>
      <c r="B296" t="s">
        <v>56</v>
      </c>
      <c r="C296" s="14">
        <v>0</v>
      </c>
      <c r="D296" s="14">
        <v>0</v>
      </c>
      <c r="E296" s="14">
        <v>0</v>
      </c>
      <c r="F296" s="14">
        <v>0</v>
      </c>
    </row>
    <row r="297" spans="1:6" x14ac:dyDescent="0.35">
      <c r="A297" t="s">
        <v>1938</v>
      </c>
      <c r="B297" t="s">
        <v>57</v>
      </c>
      <c r="C297" s="14">
        <v>1500000000</v>
      </c>
      <c r="D297" s="14">
        <v>1500000000</v>
      </c>
      <c r="E297" s="14">
        <v>4135014000</v>
      </c>
      <c r="F297" s="14">
        <v>4224975000</v>
      </c>
    </row>
    <row r="298" spans="1:6" x14ac:dyDescent="0.35">
      <c r="A298" t="s">
        <v>1938</v>
      </c>
      <c r="B298" t="s">
        <v>58</v>
      </c>
      <c r="C298" s="14">
        <v>128384253913</v>
      </c>
      <c r="D298" s="14">
        <v>170176152349</v>
      </c>
      <c r="E298" s="14">
        <v>162664131787</v>
      </c>
      <c r="F298" s="14">
        <v>139359367182</v>
      </c>
    </row>
    <row r="299" spans="1:6" x14ac:dyDescent="0.35">
      <c r="A299" t="s">
        <v>1938</v>
      </c>
      <c r="B299" t="s">
        <v>59</v>
      </c>
      <c r="C299" s="14">
        <v>75753175787</v>
      </c>
      <c r="D299" s="14">
        <v>110253641667</v>
      </c>
      <c r="E299" s="14">
        <v>106013439576</v>
      </c>
      <c r="F299" s="14">
        <v>90304495462</v>
      </c>
    </row>
    <row r="300" spans="1:6" x14ac:dyDescent="0.35">
      <c r="A300" t="s">
        <v>1938</v>
      </c>
      <c r="B300" t="s">
        <v>60</v>
      </c>
      <c r="C300" s="14">
        <v>316390008</v>
      </c>
      <c r="D300" s="14">
        <v>207450700</v>
      </c>
      <c r="E300" s="14">
        <v>1792709465</v>
      </c>
      <c r="F300" s="14">
        <v>1696473727</v>
      </c>
    </row>
    <row r="301" spans="1:6" x14ac:dyDescent="0.35">
      <c r="A301" t="s">
        <v>1938</v>
      </c>
      <c r="B301" t="s">
        <v>61</v>
      </c>
      <c r="C301" s="14">
        <v>0</v>
      </c>
      <c r="D301" s="14">
        <v>0</v>
      </c>
      <c r="E301" s="14">
        <v>0</v>
      </c>
      <c r="F301" s="14">
        <v>0</v>
      </c>
    </row>
    <row r="302" spans="1:6" x14ac:dyDescent="0.35">
      <c r="A302" t="s">
        <v>1938</v>
      </c>
      <c r="B302" t="s">
        <v>62</v>
      </c>
      <c r="C302" s="14">
        <v>0</v>
      </c>
      <c r="D302" s="14">
        <v>0</v>
      </c>
      <c r="E302" s="14">
        <v>0</v>
      </c>
      <c r="F302" s="14">
        <v>0</v>
      </c>
    </row>
    <row r="303" spans="1:6" x14ac:dyDescent="0.35">
      <c r="A303" t="s">
        <v>1938</v>
      </c>
      <c r="B303" t="s">
        <v>63</v>
      </c>
      <c r="C303" s="14">
        <v>52314688118</v>
      </c>
      <c r="D303" s="14">
        <v>59715059982</v>
      </c>
      <c r="E303" s="14">
        <v>54857982746</v>
      </c>
      <c r="F303" s="14">
        <v>47358397993</v>
      </c>
    </row>
    <row r="304" spans="1:6" x14ac:dyDescent="0.35">
      <c r="A304" t="s">
        <v>1938</v>
      </c>
      <c r="B304" t="s">
        <v>64</v>
      </c>
      <c r="C304" s="14">
        <v>6780114722870</v>
      </c>
      <c r="D304" s="14">
        <v>7495704578583</v>
      </c>
      <c r="E304" s="14">
        <v>7580974010059</v>
      </c>
      <c r="F304" s="14">
        <v>8581450628041</v>
      </c>
    </row>
    <row r="305" spans="1:6" x14ac:dyDescent="0.35">
      <c r="A305" t="s">
        <v>1938</v>
      </c>
      <c r="B305" t="s">
        <v>65</v>
      </c>
      <c r="C305" s="14">
        <v>0</v>
      </c>
      <c r="D305" s="14">
        <v>0</v>
      </c>
      <c r="E305" s="14">
        <v>0</v>
      </c>
      <c r="F305" s="14">
        <v>0</v>
      </c>
    </row>
    <row r="306" spans="1:6" x14ac:dyDescent="0.35">
      <c r="A306" t="s">
        <v>1938</v>
      </c>
      <c r="B306" t="s">
        <v>66</v>
      </c>
      <c r="C306" s="14">
        <v>4277200229024</v>
      </c>
      <c r="D306" s="14">
        <v>4566523278536</v>
      </c>
      <c r="E306" s="14">
        <v>4097649577189</v>
      </c>
      <c r="F306" s="14">
        <v>5219658470260</v>
      </c>
    </row>
    <row r="307" spans="1:6" x14ac:dyDescent="0.35">
      <c r="A307" t="s">
        <v>1938</v>
      </c>
      <c r="B307" t="s">
        <v>67</v>
      </c>
      <c r="C307" s="14">
        <v>3896088221242</v>
      </c>
      <c r="D307" s="14">
        <v>3365479978631</v>
      </c>
      <c r="E307" s="14">
        <v>3152094491474</v>
      </c>
      <c r="F307" s="14">
        <v>4319113180277</v>
      </c>
    </row>
    <row r="308" spans="1:6" x14ac:dyDescent="0.35">
      <c r="A308" t="s">
        <v>1938</v>
      </c>
      <c r="B308" t="s">
        <v>68</v>
      </c>
      <c r="C308" s="14">
        <v>1038767308824</v>
      </c>
      <c r="D308" s="14">
        <v>1048908369492</v>
      </c>
      <c r="E308" s="14">
        <v>709797462112</v>
      </c>
      <c r="F308" s="14">
        <v>873889742949</v>
      </c>
    </row>
    <row r="309" spans="1:6" x14ac:dyDescent="0.35">
      <c r="A309" t="s">
        <v>1938</v>
      </c>
      <c r="B309" t="s">
        <v>69</v>
      </c>
      <c r="C309" s="14">
        <v>326382710526</v>
      </c>
      <c r="D309" s="14">
        <v>354059702076</v>
      </c>
      <c r="E309" s="14">
        <v>286769356420</v>
      </c>
      <c r="F309" s="14">
        <v>986763840993</v>
      </c>
    </row>
    <row r="310" spans="1:6" x14ac:dyDescent="0.35">
      <c r="A310" t="s">
        <v>1938</v>
      </c>
      <c r="B310" t="s">
        <v>70</v>
      </c>
      <c r="C310" s="14">
        <v>130978504065</v>
      </c>
      <c r="D310" s="14">
        <v>44150876373</v>
      </c>
      <c r="E310" s="14">
        <v>58874060313</v>
      </c>
      <c r="F310" s="14">
        <v>58362689189</v>
      </c>
    </row>
    <row r="311" spans="1:6" x14ac:dyDescent="0.35">
      <c r="A311" t="s">
        <v>1938</v>
      </c>
      <c r="B311" t="s">
        <v>71</v>
      </c>
      <c r="C311" s="14">
        <v>29457007708</v>
      </c>
      <c r="D311" s="14">
        <v>39140847087</v>
      </c>
      <c r="E311" s="14">
        <v>40425059546</v>
      </c>
      <c r="F311" s="14">
        <v>35342030144</v>
      </c>
    </row>
    <row r="312" spans="1:6" x14ac:dyDescent="0.35">
      <c r="A312" t="s">
        <v>1938</v>
      </c>
      <c r="B312" t="s">
        <v>72</v>
      </c>
      <c r="C312" s="14">
        <v>999301740342</v>
      </c>
      <c r="D312" s="14">
        <v>466586353729</v>
      </c>
      <c r="E312" s="14">
        <v>158394891906</v>
      </c>
      <c r="F312" s="14">
        <v>169715341118</v>
      </c>
    </row>
    <row r="313" spans="1:6" x14ac:dyDescent="0.35">
      <c r="A313" t="s">
        <v>1938</v>
      </c>
      <c r="B313" t="s">
        <v>73</v>
      </c>
      <c r="C313" s="14">
        <v>0</v>
      </c>
      <c r="D313" s="14">
        <v>0</v>
      </c>
      <c r="E313" s="14">
        <v>0</v>
      </c>
      <c r="F313" s="14">
        <v>0</v>
      </c>
    </row>
    <row r="314" spans="1:6" x14ac:dyDescent="0.35">
      <c r="A314" t="s">
        <v>1938</v>
      </c>
      <c r="B314" t="s">
        <v>74</v>
      </c>
      <c r="C314" s="14">
        <v>0</v>
      </c>
      <c r="D314" s="14">
        <v>0</v>
      </c>
      <c r="E314" s="14">
        <v>0</v>
      </c>
      <c r="F314" s="14">
        <v>0</v>
      </c>
    </row>
    <row r="315" spans="1:6" x14ac:dyDescent="0.35">
      <c r="A315" t="s">
        <v>1938</v>
      </c>
      <c r="B315" t="s">
        <v>75</v>
      </c>
      <c r="C315" s="14">
        <v>52785719</v>
      </c>
      <c r="D315" s="14">
        <v>35190479</v>
      </c>
      <c r="E315" s="14">
        <v>17595239</v>
      </c>
      <c r="F315" s="14">
        <v>0</v>
      </c>
    </row>
    <row r="316" spans="1:6" x14ac:dyDescent="0.35">
      <c r="A316" t="s">
        <v>1938</v>
      </c>
      <c r="B316" t="s">
        <v>76</v>
      </c>
      <c r="C316" s="14">
        <v>143419299268</v>
      </c>
      <c r="D316" s="14">
        <v>72440223420</v>
      </c>
      <c r="E316" s="14">
        <v>123266047838</v>
      </c>
      <c r="F316" s="14">
        <v>119270212589</v>
      </c>
    </row>
    <row r="317" spans="1:6" x14ac:dyDescent="0.35">
      <c r="A317" t="s">
        <v>1938</v>
      </c>
      <c r="B317" t="s">
        <v>77</v>
      </c>
      <c r="C317" s="14">
        <v>1220446974519</v>
      </c>
      <c r="D317" s="14">
        <v>1331632444581</v>
      </c>
      <c r="E317" s="14">
        <v>1766741053406</v>
      </c>
      <c r="F317" s="14">
        <v>2066715367800</v>
      </c>
    </row>
    <row r="318" spans="1:6" x14ac:dyDescent="0.35">
      <c r="A318" t="s">
        <v>1938</v>
      </c>
      <c r="B318" t="s">
        <v>78</v>
      </c>
      <c r="C318" s="14">
        <v>0</v>
      </c>
      <c r="D318" s="14">
        <v>0</v>
      </c>
      <c r="E318" s="14">
        <v>0</v>
      </c>
      <c r="F318" s="14">
        <v>0</v>
      </c>
    </row>
    <row r="319" spans="1:6" x14ac:dyDescent="0.35">
      <c r="A319" t="s">
        <v>1938</v>
      </c>
      <c r="B319" t="s">
        <v>79</v>
      </c>
      <c r="C319" s="14">
        <v>7281890271</v>
      </c>
      <c r="D319" s="14">
        <v>8525971394</v>
      </c>
      <c r="E319" s="14">
        <v>7808964694</v>
      </c>
      <c r="F319" s="14">
        <v>9053955495</v>
      </c>
    </row>
    <row r="320" spans="1:6" x14ac:dyDescent="0.35">
      <c r="A320" t="s">
        <v>1938</v>
      </c>
      <c r="B320" t="s">
        <v>80</v>
      </c>
      <c r="C320" s="14">
        <v>0</v>
      </c>
      <c r="D320" s="14">
        <v>0</v>
      </c>
      <c r="E320" s="14">
        <v>0</v>
      </c>
      <c r="F320" s="14">
        <v>0</v>
      </c>
    </row>
    <row r="321" spans="1:6" x14ac:dyDescent="0.35">
      <c r="A321" t="s">
        <v>1938</v>
      </c>
      <c r="B321" t="s">
        <v>81</v>
      </c>
      <c r="C321" s="14">
        <v>0</v>
      </c>
      <c r="D321" s="14">
        <v>0</v>
      </c>
      <c r="E321" s="14">
        <v>0</v>
      </c>
      <c r="F321" s="14">
        <v>0</v>
      </c>
    </row>
    <row r="322" spans="1:6" x14ac:dyDescent="0.35">
      <c r="A322" t="s">
        <v>1938</v>
      </c>
      <c r="B322" t="s">
        <v>82</v>
      </c>
      <c r="C322" s="14">
        <v>381112007782</v>
      </c>
      <c r="D322" s="14">
        <v>1201043299905</v>
      </c>
      <c r="E322" s="14">
        <v>945555085715</v>
      </c>
      <c r="F322" s="14">
        <v>900545289983</v>
      </c>
    </row>
    <row r="323" spans="1:6" x14ac:dyDescent="0.35">
      <c r="A323" t="s">
        <v>1938</v>
      </c>
      <c r="B323" t="s">
        <v>83</v>
      </c>
      <c r="C323" s="14">
        <v>0</v>
      </c>
      <c r="D323" s="14">
        <v>0</v>
      </c>
      <c r="E323" s="14">
        <v>0</v>
      </c>
      <c r="F323" s="14">
        <v>18651420827</v>
      </c>
    </row>
    <row r="324" spans="1:6" x14ac:dyDescent="0.35">
      <c r="A324" t="s">
        <v>1938</v>
      </c>
      <c r="B324" t="s">
        <v>84</v>
      </c>
      <c r="C324" s="14">
        <v>0</v>
      </c>
      <c r="D324" s="14">
        <v>0</v>
      </c>
      <c r="E324" s="14">
        <v>0</v>
      </c>
      <c r="F324" s="14">
        <v>0</v>
      </c>
    </row>
    <row r="325" spans="1:6" x14ac:dyDescent="0.35">
      <c r="A325" t="s">
        <v>1938</v>
      </c>
      <c r="B325" t="s">
        <v>85</v>
      </c>
      <c r="C325" s="14">
        <v>0</v>
      </c>
      <c r="D325" s="14">
        <v>0</v>
      </c>
      <c r="E325" s="14">
        <v>0</v>
      </c>
      <c r="F325" s="14">
        <v>0</v>
      </c>
    </row>
    <row r="326" spans="1:6" x14ac:dyDescent="0.35">
      <c r="A326" t="s">
        <v>1938</v>
      </c>
      <c r="B326" t="s">
        <v>86</v>
      </c>
      <c r="C326" s="14">
        <v>0</v>
      </c>
      <c r="D326" s="14">
        <v>0</v>
      </c>
      <c r="E326" s="14">
        <v>0</v>
      </c>
      <c r="F326" s="14">
        <v>0</v>
      </c>
    </row>
    <row r="327" spans="1:6" x14ac:dyDescent="0.35">
      <c r="A327" t="s">
        <v>1938</v>
      </c>
      <c r="B327" t="s">
        <v>87</v>
      </c>
      <c r="C327" s="14">
        <v>0</v>
      </c>
      <c r="D327" s="14">
        <v>0</v>
      </c>
      <c r="E327" s="14">
        <v>0</v>
      </c>
      <c r="F327" s="14">
        <v>0</v>
      </c>
    </row>
    <row r="328" spans="1:6" x14ac:dyDescent="0.35">
      <c r="A328" t="s">
        <v>1938</v>
      </c>
      <c r="B328" t="s">
        <v>88</v>
      </c>
      <c r="C328" s="14">
        <v>2941774132</v>
      </c>
      <c r="D328" s="14">
        <v>2778828591</v>
      </c>
      <c r="E328" s="14">
        <v>4286662860</v>
      </c>
      <c r="F328" s="14">
        <v>2972316086</v>
      </c>
    </row>
    <row r="329" spans="1:6" x14ac:dyDescent="0.35">
      <c r="A329" t="s">
        <v>1938</v>
      </c>
      <c r="B329" t="s">
        <v>89</v>
      </c>
      <c r="C329" s="14">
        <v>0</v>
      </c>
      <c r="D329" s="14">
        <v>54000000000</v>
      </c>
      <c r="E329" s="14">
        <v>0</v>
      </c>
      <c r="F329" s="14">
        <v>0</v>
      </c>
    </row>
    <row r="330" spans="1:6" x14ac:dyDescent="0.35">
      <c r="A330" t="s">
        <v>1938</v>
      </c>
      <c r="B330" t="s">
        <v>90</v>
      </c>
      <c r="C330" s="14">
        <v>374528865452</v>
      </c>
      <c r="D330" s="14">
        <v>1140623103116</v>
      </c>
      <c r="E330" s="14">
        <v>941268422855</v>
      </c>
      <c r="F330" s="14">
        <v>878921553070</v>
      </c>
    </row>
    <row r="331" spans="1:6" x14ac:dyDescent="0.35">
      <c r="A331" t="s">
        <v>1938</v>
      </c>
      <c r="B331" t="s">
        <v>91</v>
      </c>
      <c r="C331" s="14">
        <v>0</v>
      </c>
      <c r="D331" s="14">
        <v>0</v>
      </c>
      <c r="E331" s="14">
        <v>0</v>
      </c>
      <c r="F331" s="14">
        <v>0</v>
      </c>
    </row>
    <row r="332" spans="1:6" x14ac:dyDescent="0.35">
      <c r="A332" t="s">
        <v>1938</v>
      </c>
      <c r="B332" t="s">
        <v>92</v>
      </c>
      <c r="C332" s="14">
        <v>0</v>
      </c>
      <c r="D332" s="14">
        <v>0</v>
      </c>
      <c r="E332" s="14">
        <v>0</v>
      </c>
      <c r="F332" s="14">
        <v>0</v>
      </c>
    </row>
    <row r="333" spans="1:6" x14ac:dyDescent="0.35">
      <c r="A333" t="s">
        <v>1938</v>
      </c>
      <c r="B333" t="s">
        <v>93</v>
      </c>
      <c r="C333" s="14">
        <v>3641368198</v>
      </c>
      <c r="D333" s="14">
        <v>3641368198</v>
      </c>
      <c r="E333" s="14">
        <v>0</v>
      </c>
      <c r="F333" s="14">
        <v>0</v>
      </c>
    </row>
    <row r="334" spans="1:6" x14ac:dyDescent="0.35">
      <c r="A334" t="s">
        <v>1938</v>
      </c>
      <c r="B334" t="s">
        <v>94</v>
      </c>
      <c r="C334" s="14">
        <v>0</v>
      </c>
      <c r="D334" s="14">
        <v>0</v>
      </c>
      <c r="E334" s="14">
        <v>0</v>
      </c>
      <c r="F334" s="14">
        <v>0</v>
      </c>
    </row>
    <row r="335" spans="1:6" x14ac:dyDescent="0.35">
      <c r="A335" t="s">
        <v>1938</v>
      </c>
      <c r="B335" t="s">
        <v>95</v>
      </c>
      <c r="C335" s="14">
        <v>0</v>
      </c>
      <c r="D335" s="14">
        <v>0</v>
      </c>
      <c r="E335" s="14">
        <v>0</v>
      </c>
      <c r="F335" s="14">
        <v>0</v>
      </c>
    </row>
    <row r="336" spans="1:6" x14ac:dyDescent="0.35">
      <c r="A336" t="s">
        <v>1938</v>
      </c>
      <c r="B336" t="s">
        <v>96</v>
      </c>
      <c r="C336" s="14">
        <v>2502914493846</v>
      </c>
      <c r="D336" s="14">
        <v>2929181300047</v>
      </c>
      <c r="E336" s="14">
        <v>3483324432870</v>
      </c>
      <c r="F336" s="14">
        <v>3361792157781</v>
      </c>
    </row>
    <row r="337" spans="1:6" x14ac:dyDescent="0.35">
      <c r="A337" t="s">
        <v>1938</v>
      </c>
      <c r="B337" t="s">
        <v>97</v>
      </c>
      <c r="C337" s="14">
        <v>2502914493846</v>
      </c>
      <c r="D337" s="14">
        <v>2929181300047</v>
      </c>
      <c r="E337" s="14">
        <v>3483324432870</v>
      </c>
      <c r="F337" s="14">
        <v>3361792157781</v>
      </c>
    </row>
    <row r="338" spans="1:6" x14ac:dyDescent="0.35">
      <c r="A338" t="s">
        <v>1938</v>
      </c>
      <c r="B338" t="s">
        <v>98</v>
      </c>
      <c r="C338" s="14">
        <v>1254390050000</v>
      </c>
      <c r="D338" s="14">
        <v>1574390050000</v>
      </c>
      <c r="E338" s="14">
        <v>1574390050000</v>
      </c>
      <c r="F338" s="14">
        <v>1574390050000</v>
      </c>
    </row>
    <row r="339" spans="1:6" x14ac:dyDescent="0.35">
      <c r="A339" t="s">
        <v>1938</v>
      </c>
      <c r="B339" t="s">
        <v>99</v>
      </c>
      <c r="C339" s="14">
        <v>1254390050000</v>
      </c>
      <c r="D339" s="14">
        <v>1574390050000</v>
      </c>
      <c r="E339" s="14">
        <v>1574390050000</v>
      </c>
      <c r="F339" s="14">
        <v>1574390050000</v>
      </c>
    </row>
    <row r="340" spans="1:6" x14ac:dyDescent="0.35">
      <c r="A340" t="s">
        <v>1938</v>
      </c>
      <c r="B340" t="s">
        <v>100</v>
      </c>
      <c r="C340" s="14">
        <v>0</v>
      </c>
      <c r="D340" s="14">
        <v>0</v>
      </c>
      <c r="E340" s="14">
        <v>0</v>
      </c>
      <c r="F340" s="14">
        <v>0</v>
      </c>
    </row>
    <row r="341" spans="1:6" x14ac:dyDescent="0.35">
      <c r="A341" t="s">
        <v>1938</v>
      </c>
      <c r="B341" t="s">
        <v>101</v>
      </c>
      <c r="C341" s="14">
        <v>418206069395</v>
      </c>
      <c r="D341" s="14">
        <v>517556564217</v>
      </c>
      <c r="E341" s="14">
        <v>517556564217</v>
      </c>
      <c r="F341" s="14">
        <v>517556564217</v>
      </c>
    </row>
    <row r="342" spans="1:6" x14ac:dyDescent="0.35">
      <c r="A342" t="s">
        <v>1938</v>
      </c>
      <c r="B342" t="s">
        <v>102</v>
      </c>
      <c r="C342" s="14">
        <v>0</v>
      </c>
      <c r="D342" s="14">
        <v>0</v>
      </c>
      <c r="E342" s="14">
        <v>0</v>
      </c>
      <c r="F342" s="14">
        <v>0</v>
      </c>
    </row>
    <row r="343" spans="1:6" x14ac:dyDescent="0.35">
      <c r="A343" t="s">
        <v>1938</v>
      </c>
      <c r="B343" t="s">
        <v>103</v>
      </c>
      <c r="C343" s="14">
        <v>10039280000</v>
      </c>
      <c r="D343" s="14">
        <v>10039280000</v>
      </c>
      <c r="E343" s="14">
        <v>10039280000</v>
      </c>
      <c r="F343" s="14">
        <v>10039280000</v>
      </c>
    </row>
    <row r="344" spans="1:6" x14ac:dyDescent="0.35">
      <c r="A344" t="s">
        <v>1938</v>
      </c>
      <c r="B344" t="s">
        <v>104</v>
      </c>
      <c r="C344" s="14">
        <v>-13935465178</v>
      </c>
      <c r="D344" s="14">
        <v>0</v>
      </c>
      <c r="E344" s="14">
        <v>0</v>
      </c>
      <c r="F344" s="14">
        <v>0</v>
      </c>
    </row>
    <row r="345" spans="1:6" x14ac:dyDescent="0.35">
      <c r="A345" t="s">
        <v>1938</v>
      </c>
      <c r="B345" t="s">
        <v>105</v>
      </c>
      <c r="C345" s="14">
        <v>0</v>
      </c>
      <c r="D345" s="14">
        <v>0</v>
      </c>
      <c r="E345" s="14">
        <v>0</v>
      </c>
      <c r="F345" s="14">
        <v>0</v>
      </c>
    </row>
    <row r="346" spans="1:6" x14ac:dyDescent="0.35">
      <c r="A346" t="s">
        <v>1938</v>
      </c>
      <c r="B346" t="s">
        <v>106</v>
      </c>
      <c r="C346" s="14">
        <v>0</v>
      </c>
      <c r="D346" s="14">
        <v>0</v>
      </c>
      <c r="E346" s="14">
        <v>0</v>
      </c>
      <c r="F346" s="14">
        <v>8387459</v>
      </c>
    </row>
    <row r="347" spans="1:6" x14ac:dyDescent="0.35">
      <c r="A347" t="s">
        <v>1938</v>
      </c>
      <c r="B347" t="s">
        <v>107</v>
      </c>
      <c r="C347" s="14">
        <v>334081396957</v>
      </c>
      <c r="D347" s="14">
        <v>333791372072</v>
      </c>
      <c r="E347" s="14">
        <v>337163604401</v>
      </c>
      <c r="F347" s="14">
        <v>347341874996</v>
      </c>
    </row>
    <row r="348" spans="1:6" x14ac:dyDescent="0.35">
      <c r="A348" t="s">
        <v>1938</v>
      </c>
      <c r="B348" t="s">
        <v>108</v>
      </c>
      <c r="C348" s="14">
        <v>0</v>
      </c>
      <c r="D348" s="14">
        <v>0</v>
      </c>
      <c r="E348" s="14">
        <v>0</v>
      </c>
      <c r="F348" s="14">
        <v>0</v>
      </c>
    </row>
    <row r="349" spans="1:6" x14ac:dyDescent="0.35">
      <c r="A349" t="s">
        <v>1938</v>
      </c>
      <c r="B349" t="s">
        <v>109</v>
      </c>
      <c r="C349" s="14">
        <v>254161637</v>
      </c>
      <c r="D349" s="14">
        <v>254161637</v>
      </c>
      <c r="E349" s="14">
        <v>263830171</v>
      </c>
      <c r="F349" s="14">
        <v>232406012</v>
      </c>
    </row>
    <row r="350" spans="1:6" x14ac:dyDescent="0.35">
      <c r="A350" t="s">
        <v>1938</v>
      </c>
      <c r="B350" t="s">
        <v>110</v>
      </c>
      <c r="C350" s="14">
        <v>212288658729</v>
      </c>
      <c r="D350" s="14">
        <v>218438279112</v>
      </c>
      <c r="E350" s="14">
        <v>207271473900</v>
      </c>
      <c r="F350" s="14">
        <v>51175948576</v>
      </c>
    </row>
    <row r="351" spans="1:6" x14ac:dyDescent="0.35">
      <c r="A351" t="s">
        <v>1938</v>
      </c>
      <c r="B351" t="s">
        <v>111</v>
      </c>
      <c r="C351" s="14">
        <v>118696444300</v>
      </c>
      <c r="D351" s="14">
        <v>68374412603</v>
      </c>
      <c r="E351" s="14">
        <v>167662438943</v>
      </c>
      <c r="F351" s="14">
        <v>83272265613</v>
      </c>
    </row>
    <row r="352" spans="1:6" x14ac:dyDescent="0.35">
      <c r="A352" t="s">
        <v>1938</v>
      </c>
      <c r="B352" t="s">
        <v>112</v>
      </c>
      <c r="C352" s="14">
        <v>93592214429</v>
      </c>
      <c r="D352" s="14">
        <v>150063866509</v>
      </c>
      <c r="E352" s="14">
        <v>39609034957</v>
      </c>
      <c r="F352" s="14">
        <v>-32096317037</v>
      </c>
    </row>
    <row r="353" spans="1:6" x14ac:dyDescent="0.35">
      <c r="A353" t="s">
        <v>1938</v>
      </c>
      <c r="B353" t="s">
        <v>113</v>
      </c>
      <c r="C353" s="14">
        <v>0</v>
      </c>
      <c r="D353" s="14">
        <v>0</v>
      </c>
      <c r="E353" s="14">
        <v>0</v>
      </c>
      <c r="F353" s="14">
        <v>0</v>
      </c>
    </row>
    <row r="354" spans="1:6" x14ac:dyDescent="0.35">
      <c r="A354" t="s">
        <v>1938</v>
      </c>
      <c r="B354" t="s">
        <v>114</v>
      </c>
      <c r="C354" s="14">
        <v>287590342306</v>
      </c>
      <c r="D354" s="14">
        <v>274711593009</v>
      </c>
      <c r="E354" s="14">
        <v>836639630181</v>
      </c>
      <c r="F354" s="14">
        <v>861047646521</v>
      </c>
    </row>
    <row r="355" spans="1:6" x14ac:dyDescent="0.35">
      <c r="A355" t="s">
        <v>1938</v>
      </c>
      <c r="B355" t="s">
        <v>115</v>
      </c>
      <c r="C355" s="14">
        <v>0</v>
      </c>
      <c r="D355" s="14">
        <v>0</v>
      </c>
      <c r="E355" s="14">
        <v>0</v>
      </c>
      <c r="F355" s="14">
        <v>0</v>
      </c>
    </row>
    <row r="356" spans="1:6" x14ac:dyDescent="0.35">
      <c r="A356" t="s">
        <v>1938</v>
      </c>
      <c r="B356" t="s">
        <v>116</v>
      </c>
      <c r="C356" s="14">
        <v>0</v>
      </c>
      <c r="D356" s="14">
        <v>0</v>
      </c>
      <c r="E356" s="14">
        <v>0</v>
      </c>
      <c r="F356" s="14">
        <v>0</v>
      </c>
    </row>
    <row r="357" spans="1:6" x14ac:dyDescent="0.35">
      <c r="A357" t="s">
        <v>1938</v>
      </c>
      <c r="B357" t="s">
        <v>117</v>
      </c>
      <c r="C357" s="14">
        <v>0</v>
      </c>
      <c r="D357" s="14">
        <v>0</v>
      </c>
      <c r="E357" s="14">
        <v>0</v>
      </c>
      <c r="F357" s="14">
        <v>0</v>
      </c>
    </row>
    <row r="358" spans="1:6" x14ac:dyDescent="0.35">
      <c r="A358" t="s">
        <v>1938</v>
      </c>
      <c r="B358" t="s">
        <v>118</v>
      </c>
      <c r="C358" s="14">
        <v>6780114722870</v>
      </c>
      <c r="D358" s="14">
        <v>7495704578583</v>
      </c>
      <c r="E358" s="14">
        <v>7580974010059</v>
      </c>
      <c r="F358" s="14">
        <v>8581450628041</v>
      </c>
    </row>
    <row r="359" spans="1:6" x14ac:dyDescent="0.35">
      <c r="A359" t="s">
        <v>1939</v>
      </c>
      <c r="B359" t="s">
        <v>6</v>
      </c>
      <c r="C359" s="14">
        <v>0</v>
      </c>
      <c r="D359" s="14">
        <v>0</v>
      </c>
      <c r="E359" s="14">
        <v>0</v>
      </c>
      <c r="F359" s="14">
        <v>0</v>
      </c>
    </row>
    <row r="360" spans="1:6" x14ac:dyDescent="0.35">
      <c r="A360" t="s">
        <v>1939</v>
      </c>
      <c r="B360" t="s">
        <v>7</v>
      </c>
      <c r="C360" s="14">
        <v>1779276110911</v>
      </c>
      <c r="D360" s="14">
        <v>1316250208851</v>
      </c>
      <c r="E360" s="14">
        <v>2118417280510</v>
      </c>
      <c r="F360" s="14">
        <v>1458483967428</v>
      </c>
    </row>
    <row r="361" spans="1:6" x14ac:dyDescent="0.35">
      <c r="A361" t="s">
        <v>1939</v>
      </c>
      <c r="B361" t="s">
        <v>8</v>
      </c>
      <c r="C361" s="14">
        <v>135405178447</v>
      </c>
      <c r="D361" s="14">
        <v>250041671907</v>
      </c>
      <c r="E361" s="14">
        <v>333840180277</v>
      </c>
      <c r="F361" s="14">
        <v>229105088949</v>
      </c>
    </row>
    <row r="362" spans="1:6" x14ac:dyDescent="0.35">
      <c r="A362" t="s">
        <v>1939</v>
      </c>
      <c r="B362" t="s">
        <v>9</v>
      </c>
      <c r="C362" s="14">
        <v>69739178447</v>
      </c>
      <c r="D362" s="14">
        <v>147441671907</v>
      </c>
      <c r="E362" s="14">
        <v>201808925482</v>
      </c>
      <c r="F362" s="14">
        <v>71899510569</v>
      </c>
    </row>
    <row r="363" spans="1:6" x14ac:dyDescent="0.35">
      <c r="A363" t="s">
        <v>1939</v>
      </c>
      <c r="B363" t="s">
        <v>10</v>
      </c>
      <c r="C363" s="14">
        <v>65666000000</v>
      </c>
      <c r="D363" s="14">
        <v>102600000000</v>
      </c>
      <c r="E363" s="14">
        <v>132031254795</v>
      </c>
      <c r="F363" s="14">
        <v>157205578380</v>
      </c>
    </row>
    <row r="364" spans="1:6" x14ac:dyDescent="0.35">
      <c r="A364" t="s">
        <v>1939</v>
      </c>
      <c r="B364" t="s">
        <v>11</v>
      </c>
      <c r="C364" s="14">
        <v>0</v>
      </c>
      <c r="D364" s="14">
        <v>5775000000</v>
      </c>
      <c r="E364" s="14">
        <v>490780000000</v>
      </c>
      <c r="F364" s="14">
        <v>233227700000</v>
      </c>
    </row>
    <row r="365" spans="1:6" x14ac:dyDescent="0.35">
      <c r="A365" t="s">
        <v>1939</v>
      </c>
      <c r="B365" t="s">
        <v>12</v>
      </c>
      <c r="C365" s="14">
        <v>0</v>
      </c>
      <c r="D365" s="14">
        <v>0</v>
      </c>
      <c r="E365" s="14">
        <v>0</v>
      </c>
      <c r="F365" s="14">
        <v>0</v>
      </c>
    </row>
    <row r="366" spans="1:6" x14ac:dyDescent="0.35">
      <c r="A366" t="s">
        <v>1939</v>
      </c>
      <c r="B366" t="s">
        <v>13</v>
      </c>
      <c r="C366" s="14">
        <v>0</v>
      </c>
      <c r="D366" s="14">
        <v>0</v>
      </c>
      <c r="E366" s="14">
        <v>0</v>
      </c>
      <c r="F366" s="14">
        <v>0</v>
      </c>
    </row>
    <row r="367" spans="1:6" x14ac:dyDescent="0.35">
      <c r="A367" t="s">
        <v>1939</v>
      </c>
      <c r="B367" t="s">
        <v>14</v>
      </c>
      <c r="C367" s="14">
        <v>0</v>
      </c>
      <c r="D367" s="14">
        <v>5775000000</v>
      </c>
      <c r="E367" s="14">
        <v>490780000000</v>
      </c>
      <c r="F367" s="14">
        <v>233227700000</v>
      </c>
    </row>
    <row r="368" spans="1:6" x14ac:dyDescent="0.35">
      <c r="A368" t="s">
        <v>1939</v>
      </c>
      <c r="B368" t="s">
        <v>15</v>
      </c>
      <c r="C368" s="14">
        <v>1434320814289</v>
      </c>
      <c r="D368" s="14">
        <v>772078395035</v>
      </c>
      <c r="E368" s="14">
        <v>749953495381</v>
      </c>
      <c r="F368" s="14">
        <v>829253577813</v>
      </c>
    </row>
    <row r="369" spans="1:6" x14ac:dyDescent="0.35">
      <c r="A369" t="s">
        <v>1939</v>
      </c>
      <c r="B369" t="s">
        <v>16</v>
      </c>
      <c r="C369" s="14">
        <v>321098794534</v>
      </c>
      <c r="D369" s="14">
        <v>314406390017</v>
      </c>
      <c r="E369" s="14">
        <v>359179377155</v>
      </c>
      <c r="F369" s="14">
        <v>473901746212</v>
      </c>
    </row>
    <row r="370" spans="1:6" x14ac:dyDescent="0.35">
      <c r="A370" t="s">
        <v>1939</v>
      </c>
      <c r="B370" t="s">
        <v>17</v>
      </c>
      <c r="C370" s="14">
        <v>466162375770</v>
      </c>
      <c r="D370" s="14">
        <v>33448346000</v>
      </c>
      <c r="E370" s="14">
        <v>74565045169</v>
      </c>
      <c r="F370" s="14">
        <v>15966266230</v>
      </c>
    </row>
    <row r="371" spans="1:6" x14ac:dyDescent="0.35">
      <c r="A371" t="s">
        <v>1939</v>
      </c>
      <c r="B371" t="s">
        <v>18</v>
      </c>
      <c r="C371" s="14">
        <v>0</v>
      </c>
      <c r="D371" s="14">
        <v>0</v>
      </c>
      <c r="E371" s="14">
        <v>0</v>
      </c>
      <c r="F371" s="14">
        <v>0</v>
      </c>
    </row>
    <row r="372" spans="1:6" x14ac:dyDescent="0.35">
      <c r="A372" t="s">
        <v>1939</v>
      </c>
      <c r="B372" t="s">
        <v>19</v>
      </c>
      <c r="C372" s="14">
        <v>0</v>
      </c>
      <c r="D372" s="14">
        <v>0</v>
      </c>
      <c r="E372" s="14">
        <v>0</v>
      </c>
      <c r="F372" s="14">
        <v>0</v>
      </c>
    </row>
    <row r="373" spans="1:6" x14ac:dyDescent="0.35">
      <c r="A373" t="s">
        <v>1939</v>
      </c>
      <c r="B373" t="s">
        <v>20</v>
      </c>
      <c r="C373" s="14">
        <v>144200397839</v>
      </c>
      <c r="D373" s="14">
        <v>253175900000</v>
      </c>
      <c r="E373" s="14">
        <v>256147376270</v>
      </c>
      <c r="F373" s="14">
        <v>229320000000</v>
      </c>
    </row>
    <row r="374" spans="1:6" x14ac:dyDescent="0.35">
      <c r="A374" t="s">
        <v>1939</v>
      </c>
      <c r="B374" t="s">
        <v>21</v>
      </c>
      <c r="C374" s="14">
        <v>503133564435</v>
      </c>
      <c r="D374" s="14">
        <v>171671121171</v>
      </c>
      <c r="E374" s="14">
        <v>60498169418</v>
      </c>
      <c r="F374" s="14">
        <v>110774766053</v>
      </c>
    </row>
    <row r="375" spans="1:6" x14ac:dyDescent="0.35">
      <c r="A375" t="s">
        <v>1939</v>
      </c>
      <c r="B375" t="s">
        <v>22</v>
      </c>
      <c r="C375" s="14">
        <v>-280028312</v>
      </c>
      <c r="D375" s="14">
        <v>-629072176</v>
      </c>
      <c r="E375" s="14">
        <v>-436472631</v>
      </c>
      <c r="F375" s="14">
        <v>-709200682</v>
      </c>
    </row>
    <row r="376" spans="1:6" x14ac:dyDescent="0.35">
      <c r="A376" t="s">
        <v>1939</v>
      </c>
      <c r="B376" t="s">
        <v>23</v>
      </c>
      <c r="C376" s="14">
        <v>5710023</v>
      </c>
      <c r="D376" s="14">
        <v>5710023</v>
      </c>
      <c r="E376" s="14">
        <v>0</v>
      </c>
      <c r="F376" s="14">
        <v>0</v>
      </c>
    </row>
    <row r="377" spans="1:6" x14ac:dyDescent="0.35">
      <c r="A377" t="s">
        <v>1939</v>
      </c>
      <c r="B377" t="s">
        <v>24</v>
      </c>
      <c r="C377" s="14">
        <v>151972986314</v>
      </c>
      <c r="D377" s="14">
        <v>146323773855</v>
      </c>
      <c r="E377" s="14">
        <v>155076019138</v>
      </c>
      <c r="F377" s="14">
        <v>126615321929</v>
      </c>
    </row>
    <row r="378" spans="1:6" x14ac:dyDescent="0.35">
      <c r="A378" t="s">
        <v>1939</v>
      </c>
      <c r="B378" t="s">
        <v>25</v>
      </c>
      <c r="C378" s="14">
        <v>151972986314</v>
      </c>
      <c r="D378" s="14">
        <v>146323773855</v>
      </c>
      <c r="E378" s="14">
        <v>155076019138</v>
      </c>
      <c r="F378" s="14">
        <v>126615321929</v>
      </c>
    </row>
    <row r="379" spans="1:6" x14ac:dyDescent="0.35">
      <c r="A379" t="s">
        <v>1939</v>
      </c>
      <c r="B379" t="s">
        <v>26</v>
      </c>
      <c r="C379" s="14">
        <v>0</v>
      </c>
      <c r="D379" s="14">
        <v>0</v>
      </c>
      <c r="E379" s="14">
        <v>0</v>
      </c>
      <c r="F379" s="14">
        <v>0</v>
      </c>
    </row>
    <row r="380" spans="1:6" x14ac:dyDescent="0.35">
      <c r="A380" t="s">
        <v>1939</v>
      </c>
      <c r="B380" t="s">
        <v>27</v>
      </c>
      <c r="C380" s="14">
        <v>57577131861</v>
      </c>
      <c r="D380" s="14">
        <v>142031368054</v>
      </c>
      <c r="E380" s="14">
        <v>388767585714</v>
      </c>
      <c r="F380" s="14">
        <v>40282278737</v>
      </c>
    </row>
    <row r="381" spans="1:6" x14ac:dyDescent="0.35">
      <c r="A381" t="s">
        <v>1939</v>
      </c>
      <c r="B381" t="s">
        <v>28</v>
      </c>
      <c r="C381" s="14">
        <v>7107451871</v>
      </c>
      <c r="D381" s="14">
        <v>9966624419</v>
      </c>
      <c r="E381" s="14">
        <v>9579623250</v>
      </c>
      <c r="F381" s="14">
        <v>10892515079</v>
      </c>
    </row>
    <row r="382" spans="1:6" x14ac:dyDescent="0.35">
      <c r="A382" t="s">
        <v>1939</v>
      </c>
      <c r="B382" t="s">
        <v>29</v>
      </c>
      <c r="C382" s="14">
        <v>49814446416</v>
      </c>
      <c r="D382" s="14">
        <v>130411552403</v>
      </c>
      <c r="E382" s="14">
        <v>378359473622</v>
      </c>
      <c r="F382" s="14">
        <v>28788627746</v>
      </c>
    </row>
    <row r="383" spans="1:6" x14ac:dyDescent="0.35">
      <c r="A383" t="s">
        <v>1939</v>
      </c>
      <c r="B383" t="s">
        <v>30</v>
      </c>
      <c r="C383" s="14">
        <v>640233574</v>
      </c>
      <c r="D383" s="14">
        <v>1232653996</v>
      </c>
      <c r="E383" s="14">
        <v>828488842</v>
      </c>
      <c r="F383" s="14">
        <v>601135912</v>
      </c>
    </row>
    <row r="384" spans="1:6" x14ac:dyDescent="0.35">
      <c r="A384" t="s">
        <v>1939</v>
      </c>
      <c r="B384" t="s">
        <v>31</v>
      </c>
      <c r="C384" s="14">
        <v>0</v>
      </c>
      <c r="D384" s="14">
        <v>0</v>
      </c>
      <c r="E384" s="14">
        <v>0</v>
      </c>
      <c r="F384" s="14">
        <v>0</v>
      </c>
    </row>
    <row r="385" spans="1:6" x14ac:dyDescent="0.35">
      <c r="A385" t="s">
        <v>1939</v>
      </c>
      <c r="B385" t="s">
        <v>32</v>
      </c>
      <c r="C385" s="14">
        <v>15000000</v>
      </c>
      <c r="D385" s="14">
        <v>420537236</v>
      </c>
      <c r="E385" s="14">
        <v>0</v>
      </c>
      <c r="F385" s="14">
        <v>0</v>
      </c>
    </row>
    <row r="386" spans="1:6" x14ac:dyDescent="0.35">
      <c r="A386" t="s">
        <v>1939</v>
      </c>
      <c r="B386" t="s">
        <v>33</v>
      </c>
      <c r="C386" s="14">
        <v>5993832023391</v>
      </c>
      <c r="D386" s="14">
        <v>11156428286368</v>
      </c>
      <c r="E386" s="14">
        <v>14999737166715</v>
      </c>
      <c r="F386" s="14">
        <v>14673886939540</v>
      </c>
    </row>
    <row r="387" spans="1:6" x14ac:dyDescent="0.35">
      <c r="A387" t="s">
        <v>1939</v>
      </c>
      <c r="B387" t="s">
        <v>34</v>
      </c>
      <c r="C387" s="14">
        <v>25783175551</v>
      </c>
      <c r="D387" s="14">
        <v>9125131969</v>
      </c>
      <c r="E387" s="14">
        <v>2241627622</v>
      </c>
      <c r="F387" s="14">
        <v>40706085155</v>
      </c>
    </row>
    <row r="388" spans="1:6" x14ac:dyDescent="0.35">
      <c r="A388" t="s">
        <v>1939</v>
      </c>
      <c r="B388" t="s">
        <v>35</v>
      </c>
      <c r="C388" s="14">
        <v>0</v>
      </c>
      <c r="D388" s="14">
        <v>0</v>
      </c>
      <c r="E388" s="14">
        <v>0</v>
      </c>
      <c r="F388" s="14">
        <v>0</v>
      </c>
    </row>
    <row r="389" spans="1:6" x14ac:dyDescent="0.35">
      <c r="A389" t="s">
        <v>1939</v>
      </c>
      <c r="B389" t="s">
        <v>36</v>
      </c>
      <c r="C389" s="14">
        <v>0</v>
      </c>
      <c r="D389" s="14">
        <v>0</v>
      </c>
      <c r="E389" s="14">
        <v>0</v>
      </c>
      <c r="F389" s="14">
        <v>0</v>
      </c>
    </row>
    <row r="390" spans="1:6" x14ac:dyDescent="0.35">
      <c r="A390" t="s">
        <v>1939</v>
      </c>
      <c r="B390" t="s">
        <v>37</v>
      </c>
      <c r="C390" s="14">
        <v>0</v>
      </c>
      <c r="D390" s="14">
        <v>0</v>
      </c>
      <c r="E390" s="14">
        <v>0</v>
      </c>
      <c r="F390" s="14">
        <v>0</v>
      </c>
    </row>
    <row r="391" spans="1:6" x14ac:dyDescent="0.35">
      <c r="A391" t="s">
        <v>1939</v>
      </c>
      <c r="B391" t="s">
        <v>38</v>
      </c>
      <c r="C391" s="14">
        <v>0</v>
      </c>
      <c r="D391" s="14">
        <v>0</v>
      </c>
      <c r="E391" s="14">
        <v>0</v>
      </c>
      <c r="F391" s="14">
        <v>0</v>
      </c>
    </row>
    <row r="392" spans="1:6" x14ac:dyDescent="0.35">
      <c r="A392" t="s">
        <v>1939</v>
      </c>
      <c r="B392" t="s">
        <v>39</v>
      </c>
      <c r="C392" s="14">
        <v>0</v>
      </c>
      <c r="D392" s="14">
        <v>0</v>
      </c>
      <c r="E392" s="14">
        <v>0</v>
      </c>
      <c r="F392" s="14">
        <v>20000000000</v>
      </c>
    </row>
    <row r="393" spans="1:6" x14ac:dyDescent="0.35">
      <c r="A393" t="s">
        <v>1939</v>
      </c>
      <c r="B393" t="s">
        <v>40</v>
      </c>
      <c r="C393" s="14">
        <v>26511459351</v>
      </c>
      <c r="D393" s="14">
        <v>9276841811</v>
      </c>
      <c r="E393" s="14">
        <v>2393337464</v>
      </c>
      <c r="F393" s="14">
        <v>20857794997</v>
      </c>
    </row>
    <row r="394" spans="1:6" x14ac:dyDescent="0.35">
      <c r="A394" t="s">
        <v>1939</v>
      </c>
      <c r="B394" t="s">
        <v>41</v>
      </c>
      <c r="C394" s="14">
        <v>-728283800</v>
      </c>
      <c r="D394" s="14">
        <v>-151709842</v>
      </c>
      <c r="E394" s="14">
        <v>-151709842</v>
      </c>
      <c r="F394" s="14">
        <v>-151709842</v>
      </c>
    </row>
    <row r="395" spans="1:6" x14ac:dyDescent="0.35">
      <c r="A395" t="s">
        <v>1939</v>
      </c>
      <c r="B395" t="s">
        <v>42</v>
      </c>
      <c r="C395" s="14">
        <v>5374793361158</v>
      </c>
      <c r="D395" s="14">
        <v>10494509806340</v>
      </c>
      <c r="E395" s="14">
        <v>9965494395685</v>
      </c>
      <c r="F395" s="14">
        <v>14067796955275</v>
      </c>
    </row>
    <row r="396" spans="1:6" x14ac:dyDescent="0.35">
      <c r="A396" t="s">
        <v>1939</v>
      </c>
      <c r="B396" t="s">
        <v>43</v>
      </c>
      <c r="C396" s="14">
        <v>5330215557752</v>
      </c>
      <c r="D396" s="14">
        <v>10447071564394</v>
      </c>
      <c r="E396" s="14">
        <v>9911888108505</v>
      </c>
      <c r="F396" s="14">
        <v>14019492297141</v>
      </c>
    </row>
    <row r="397" spans="1:6" x14ac:dyDescent="0.35">
      <c r="A397" t="s">
        <v>1939</v>
      </c>
      <c r="B397" t="s">
        <v>44</v>
      </c>
      <c r="C397" s="14">
        <v>6564361478067</v>
      </c>
      <c r="D397" s="14">
        <v>12022073471333</v>
      </c>
      <c r="E397" s="14">
        <v>12129938166697</v>
      </c>
      <c r="F397" s="14">
        <v>16908639318236</v>
      </c>
    </row>
    <row r="398" spans="1:6" x14ac:dyDescent="0.35">
      <c r="A398" t="s">
        <v>1939</v>
      </c>
      <c r="B398" t="s">
        <v>45</v>
      </c>
      <c r="C398" s="14">
        <v>-1234145920315</v>
      </c>
      <c r="D398" s="14">
        <v>-1575001906939</v>
      </c>
      <c r="E398" s="14">
        <v>-2218050058192</v>
      </c>
      <c r="F398" s="14">
        <v>-2889147021095</v>
      </c>
    </row>
    <row r="399" spans="1:6" x14ac:dyDescent="0.35">
      <c r="A399" t="s">
        <v>1939</v>
      </c>
      <c r="B399" t="s">
        <v>46</v>
      </c>
      <c r="C399" s="14">
        <v>27831887192</v>
      </c>
      <c r="D399" s="14">
        <v>26255988848</v>
      </c>
      <c r="E399" s="14">
        <v>24680870368</v>
      </c>
      <c r="F399" s="14">
        <v>23106531676</v>
      </c>
    </row>
    <row r="400" spans="1:6" x14ac:dyDescent="0.35">
      <c r="A400" t="s">
        <v>1939</v>
      </c>
      <c r="B400" t="s">
        <v>44</v>
      </c>
      <c r="C400" s="14">
        <v>28086588959</v>
      </c>
      <c r="D400" s="14">
        <v>28086588959</v>
      </c>
      <c r="E400" s="14">
        <v>28086588959</v>
      </c>
      <c r="F400" s="14">
        <v>28086588959</v>
      </c>
    </row>
    <row r="401" spans="1:6" x14ac:dyDescent="0.35">
      <c r="A401" t="s">
        <v>1939</v>
      </c>
      <c r="B401" t="s">
        <v>45</v>
      </c>
      <c r="C401" s="14">
        <v>-254701767</v>
      </c>
      <c r="D401" s="14">
        <v>-1830600111</v>
      </c>
      <c r="E401" s="14">
        <v>-3405718591</v>
      </c>
      <c r="F401" s="14">
        <v>-4980057283</v>
      </c>
    </row>
    <row r="402" spans="1:6" x14ac:dyDescent="0.35">
      <c r="A402" t="s">
        <v>1939</v>
      </c>
      <c r="B402" t="s">
        <v>47</v>
      </c>
      <c r="C402" s="14">
        <v>16745916214</v>
      </c>
      <c r="D402" s="14">
        <v>21182253098</v>
      </c>
      <c r="E402" s="14">
        <v>28925416812</v>
      </c>
      <c r="F402" s="14">
        <v>25198126458</v>
      </c>
    </row>
    <row r="403" spans="1:6" x14ac:dyDescent="0.35">
      <c r="A403" t="s">
        <v>1939</v>
      </c>
      <c r="B403" t="s">
        <v>44</v>
      </c>
      <c r="C403" s="14">
        <v>21320599372</v>
      </c>
      <c r="D403" s="14">
        <v>28463708932</v>
      </c>
      <c r="E403" s="14">
        <v>39266555527</v>
      </c>
      <c r="F403" s="14">
        <v>39366555527</v>
      </c>
    </row>
    <row r="404" spans="1:6" x14ac:dyDescent="0.35">
      <c r="A404" t="s">
        <v>1939</v>
      </c>
      <c r="B404" t="s">
        <v>45</v>
      </c>
      <c r="C404" s="14">
        <v>-4574683158</v>
      </c>
      <c r="D404" s="14">
        <v>-7281455834</v>
      </c>
      <c r="E404" s="14">
        <v>-10341138715</v>
      </c>
      <c r="F404" s="14">
        <v>-14168429069</v>
      </c>
    </row>
    <row r="405" spans="1:6" x14ac:dyDescent="0.35">
      <c r="A405" t="s">
        <v>1939</v>
      </c>
      <c r="B405" t="s">
        <v>48</v>
      </c>
      <c r="C405" s="14">
        <v>0</v>
      </c>
      <c r="D405" s="14">
        <v>0</v>
      </c>
      <c r="E405" s="14">
        <v>0</v>
      </c>
      <c r="F405" s="14">
        <v>0</v>
      </c>
    </row>
    <row r="406" spans="1:6" x14ac:dyDescent="0.35">
      <c r="A406" t="s">
        <v>1939</v>
      </c>
      <c r="B406" t="s">
        <v>44</v>
      </c>
      <c r="C406" s="14">
        <v>0</v>
      </c>
      <c r="D406" s="14">
        <v>0</v>
      </c>
      <c r="E406" s="14">
        <v>0</v>
      </c>
      <c r="F406" s="14">
        <v>0</v>
      </c>
    </row>
    <row r="407" spans="1:6" x14ac:dyDescent="0.35">
      <c r="A407" t="s">
        <v>1939</v>
      </c>
      <c r="B407" t="s">
        <v>45</v>
      </c>
      <c r="C407" s="14">
        <v>0</v>
      </c>
      <c r="D407" s="14">
        <v>0</v>
      </c>
      <c r="E407" s="14">
        <v>0</v>
      </c>
      <c r="F407" s="14">
        <v>0</v>
      </c>
    </row>
    <row r="408" spans="1:6" x14ac:dyDescent="0.35">
      <c r="A408" t="s">
        <v>1939</v>
      </c>
      <c r="B408" t="s">
        <v>49</v>
      </c>
      <c r="C408" s="14">
        <v>541416894763</v>
      </c>
      <c r="D408" s="14">
        <v>499096880254</v>
      </c>
      <c r="E408" s="14">
        <v>4876665739511</v>
      </c>
      <c r="F408" s="14">
        <v>358893849428</v>
      </c>
    </row>
    <row r="409" spans="1:6" x14ac:dyDescent="0.35">
      <c r="A409" t="s">
        <v>1939</v>
      </c>
      <c r="B409" t="s">
        <v>50</v>
      </c>
      <c r="C409" s="14">
        <v>0</v>
      </c>
      <c r="D409" s="14">
        <v>0</v>
      </c>
      <c r="E409" s="14">
        <v>0</v>
      </c>
      <c r="F409" s="14">
        <v>0</v>
      </c>
    </row>
    <row r="410" spans="1:6" x14ac:dyDescent="0.35">
      <c r="A410" t="s">
        <v>1939</v>
      </c>
      <c r="B410" t="s">
        <v>51</v>
      </c>
      <c r="C410" s="14">
        <v>541416894763</v>
      </c>
      <c r="D410" s="14">
        <v>499096880254</v>
      </c>
      <c r="E410" s="14">
        <v>4876665739511</v>
      </c>
      <c r="F410" s="14">
        <v>358893849428</v>
      </c>
    </row>
    <row r="411" spans="1:6" x14ac:dyDescent="0.35">
      <c r="A411" t="s">
        <v>1939</v>
      </c>
      <c r="B411" t="s">
        <v>52</v>
      </c>
      <c r="C411" s="14">
        <v>0</v>
      </c>
      <c r="D411" s="14">
        <v>100121996924</v>
      </c>
      <c r="E411" s="14">
        <v>112949964187</v>
      </c>
      <c r="F411" s="14">
        <v>168150343624</v>
      </c>
    </row>
    <row r="412" spans="1:6" x14ac:dyDescent="0.35">
      <c r="A412" t="s">
        <v>1939</v>
      </c>
      <c r="B412" t="s">
        <v>53</v>
      </c>
      <c r="C412" s="14">
        <v>0</v>
      </c>
      <c r="D412" s="14">
        <v>0</v>
      </c>
      <c r="E412" s="14">
        <v>0</v>
      </c>
      <c r="F412" s="14">
        <v>0</v>
      </c>
    </row>
    <row r="413" spans="1:6" x14ac:dyDescent="0.35">
      <c r="A413" t="s">
        <v>1939</v>
      </c>
      <c r="B413" t="s">
        <v>54</v>
      </c>
      <c r="C413" s="14">
        <v>0</v>
      </c>
      <c r="D413" s="14">
        <v>100121996924</v>
      </c>
      <c r="E413" s="14">
        <v>112949964187</v>
      </c>
      <c r="F413" s="14">
        <v>168150343624</v>
      </c>
    </row>
    <row r="414" spans="1:6" x14ac:dyDescent="0.35">
      <c r="A414" t="s">
        <v>1939</v>
      </c>
      <c r="B414" t="s">
        <v>55</v>
      </c>
      <c r="C414" s="14">
        <v>0</v>
      </c>
      <c r="D414" s="14">
        <v>0</v>
      </c>
      <c r="E414" s="14">
        <v>0</v>
      </c>
      <c r="F414" s="14">
        <v>0</v>
      </c>
    </row>
    <row r="415" spans="1:6" x14ac:dyDescent="0.35">
      <c r="A415" t="s">
        <v>1939</v>
      </c>
      <c r="B415" t="s">
        <v>56</v>
      </c>
      <c r="C415" s="14">
        <v>0</v>
      </c>
      <c r="D415" s="14">
        <v>0</v>
      </c>
      <c r="E415" s="14">
        <v>0</v>
      </c>
      <c r="F415" s="14">
        <v>0</v>
      </c>
    </row>
    <row r="416" spans="1:6" x14ac:dyDescent="0.35">
      <c r="A416" t="s">
        <v>1939</v>
      </c>
      <c r="B416" t="s">
        <v>57</v>
      </c>
      <c r="C416" s="14">
        <v>0</v>
      </c>
      <c r="D416" s="14">
        <v>0</v>
      </c>
      <c r="E416" s="14">
        <v>0</v>
      </c>
      <c r="F416" s="14">
        <v>0</v>
      </c>
    </row>
    <row r="417" spans="1:6" x14ac:dyDescent="0.35">
      <c r="A417" t="s">
        <v>1939</v>
      </c>
      <c r="B417" t="s">
        <v>58</v>
      </c>
      <c r="C417" s="14">
        <v>51838591919</v>
      </c>
      <c r="D417" s="14">
        <v>53574470881</v>
      </c>
      <c r="E417" s="14">
        <v>42385439710</v>
      </c>
      <c r="F417" s="14">
        <v>38339706058</v>
      </c>
    </row>
    <row r="418" spans="1:6" x14ac:dyDescent="0.35">
      <c r="A418" t="s">
        <v>1939</v>
      </c>
      <c r="B418" t="s">
        <v>59</v>
      </c>
      <c r="C418" s="14">
        <v>40515271615</v>
      </c>
      <c r="D418" s="14">
        <v>42661278636</v>
      </c>
      <c r="E418" s="14">
        <v>28311557184</v>
      </c>
      <c r="F418" s="14">
        <v>29859287242</v>
      </c>
    </row>
    <row r="419" spans="1:6" x14ac:dyDescent="0.35">
      <c r="A419" t="s">
        <v>1939</v>
      </c>
      <c r="B419" t="s">
        <v>60</v>
      </c>
      <c r="C419" s="14">
        <v>6994352293</v>
      </c>
      <c r="D419" s="14">
        <v>8364690959</v>
      </c>
      <c r="E419" s="14">
        <v>13305847965</v>
      </c>
      <c r="F419" s="14">
        <v>8480418816</v>
      </c>
    </row>
    <row r="420" spans="1:6" x14ac:dyDescent="0.35">
      <c r="A420" t="s">
        <v>1939</v>
      </c>
      <c r="B420" t="s">
        <v>61</v>
      </c>
      <c r="C420" s="14">
        <v>0</v>
      </c>
      <c r="D420" s="14">
        <v>0</v>
      </c>
      <c r="E420" s="14">
        <v>0</v>
      </c>
      <c r="F420" s="14">
        <v>0</v>
      </c>
    </row>
    <row r="421" spans="1:6" x14ac:dyDescent="0.35">
      <c r="A421" t="s">
        <v>1939</v>
      </c>
      <c r="B421" t="s">
        <v>62</v>
      </c>
      <c r="C421" s="14">
        <v>0</v>
      </c>
      <c r="D421" s="14">
        <v>0</v>
      </c>
      <c r="E421" s="14">
        <v>0</v>
      </c>
      <c r="F421" s="14">
        <v>0</v>
      </c>
    </row>
    <row r="422" spans="1:6" x14ac:dyDescent="0.35">
      <c r="A422" t="s">
        <v>1939</v>
      </c>
      <c r="B422" t="s">
        <v>63</v>
      </c>
      <c r="C422" s="14">
        <v>4328968011</v>
      </c>
      <c r="D422" s="14">
        <v>2548501286</v>
      </c>
      <c r="E422" s="14">
        <v>768034561</v>
      </c>
      <c r="F422" s="14">
        <v>0</v>
      </c>
    </row>
    <row r="423" spans="1:6" x14ac:dyDescent="0.35">
      <c r="A423" t="s">
        <v>1939</v>
      </c>
      <c r="B423" t="s">
        <v>64</v>
      </c>
      <c r="C423" s="14">
        <v>7773108134302</v>
      </c>
      <c r="D423" s="14">
        <v>12472678495219</v>
      </c>
      <c r="E423" s="14">
        <v>17118154447225</v>
      </c>
      <c r="F423" s="14">
        <v>16132370906968</v>
      </c>
    </row>
    <row r="424" spans="1:6" x14ac:dyDescent="0.35">
      <c r="A424" t="s">
        <v>1939</v>
      </c>
      <c r="B424" t="s">
        <v>65</v>
      </c>
      <c r="C424" s="14">
        <v>0</v>
      </c>
      <c r="D424" s="14">
        <v>0</v>
      </c>
      <c r="E424" s="14">
        <v>0</v>
      </c>
      <c r="F424" s="14">
        <v>0</v>
      </c>
    </row>
    <row r="425" spans="1:6" x14ac:dyDescent="0.35">
      <c r="A425" t="s">
        <v>1939</v>
      </c>
      <c r="B425" t="s">
        <v>66</v>
      </c>
      <c r="C425" s="14">
        <v>4305192356027</v>
      </c>
      <c r="D425" s="14">
        <v>8734985031041</v>
      </c>
      <c r="E425" s="14">
        <v>11488419175269</v>
      </c>
      <c r="F425" s="14">
        <v>10365048514986</v>
      </c>
    </row>
    <row r="426" spans="1:6" x14ac:dyDescent="0.35">
      <c r="A426" t="s">
        <v>1939</v>
      </c>
      <c r="B426" t="s">
        <v>67</v>
      </c>
      <c r="C426" s="14">
        <v>1101060622205</v>
      </c>
      <c r="D426" s="14">
        <v>877776314058</v>
      </c>
      <c r="E426" s="14">
        <v>2070603380359</v>
      </c>
      <c r="F426" s="14">
        <v>1679163688421</v>
      </c>
    </row>
    <row r="427" spans="1:6" x14ac:dyDescent="0.35">
      <c r="A427" t="s">
        <v>1939</v>
      </c>
      <c r="B427" t="s">
        <v>68</v>
      </c>
      <c r="C427" s="14">
        <v>375696287279</v>
      </c>
      <c r="D427" s="14">
        <v>314711791641</v>
      </c>
      <c r="E427" s="14">
        <v>1224607420026</v>
      </c>
      <c r="F427" s="14">
        <v>74935697190</v>
      </c>
    </row>
    <row r="428" spans="1:6" x14ac:dyDescent="0.35">
      <c r="A428" t="s">
        <v>1939</v>
      </c>
      <c r="B428" t="s">
        <v>69</v>
      </c>
      <c r="C428" s="14">
        <v>3427489507</v>
      </c>
      <c r="D428" s="14">
        <v>2866006194</v>
      </c>
      <c r="E428" s="14">
        <v>2367202447</v>
      </c>
      <c r="F428" s="14">
        <v>1930007663</v>
      </c>
    </row>
    <row r="429" spans="1:6" x14ac:dyDescent="0.35">
      <c r="A429" t="s">
        <v>1939</v>
      </c>
      <c r="B429" t="s">
        <v>70</v>
      </c>
      <c r="C429" s="14">
        <v>37688208417</v>
      </c>
      <c r="D429" s="14">
        <v>65532053995</v>
      </c>
      <c r="E429" s="14">
        <v>47192516863</v>
      </c>
      <c r="F429" s="14">
        <v>58180592288</v>
      </c>
    </row>
    <row r="430" spans="1:6" x14ac:dyDescent="0.35">
      <c r="A430" t="s">
        <v>1939</v>
      </c>
      <c r="B430" t="s">
        <v>71</v>
      </c>
      <c r="C430" s="14">
        <v>942072351</v>
      </c>
      <c r="D430" s="14">
        <v>342164130</v>
      </c>
      <c r="E430" s="14">
        <v>940875532</v>
      </c>
      <c r="F430" s="14">
        <v>637738211</v>
      </c>
    </row>
    <row r="431" spans="1:6" x14ac:dyDescent="0.35">
      <c r="A431" t="s">
        <v>1939</v>
      </c>
      <c r="B431" t="s">
        <v>72</v>
      </c>
      <c r="C431" s="14">
        <v>34311373812</v>
      </c>
      <c r="D431" s="14">
        <v>31770419492</v>
      </c>
      <c r="E431" s="14">
        <v>62576739763</v>
      </c>
      <c r="F431" s="14">
        <v>50007562902</v>
      </c>
    </row>
    <row r="432" spans="1:6" x14ac:dyDescent="0.35">
      <c r="A432" t="s">
        <v>1939</v>
      </c>
      <c r="B432" t="s">
        <v>73</v>
      </c>
      <c r="C432" s="14">
        <v>0</v>
      </c>
      <c r="D432" s="14">
        <v>0</v>
      </c>
      <c r="E432" s="14">
        <v>0</v>
      </c>
      <c r="F432" s="14">
        <v>0</v>
      </c>
    </row>
    <row r="433" spans="1:6" x14ac:dyDescent="0.35">
      <c r="A433" t="s">
        <v>1939</v>
      </c>
      <c r="B433" t="s">
        <v>74</v>
      </c>
      <c r="C433" s="14">
        <v>0</v>
      </c>
      <c r="D433" s="14">
        <v>0</v>
      </c>
      <c r="E433" s="14">
        <v>0</v>
      </c>
      <c r="F433" s="14">
        <v>0</v>
      </c>
    </row>
    <row r="434" spans="1:6" x14ac:dyDescent="0.35">
      <c r="A434" t="s">
        <v>1939</v>
      </c>
      <c r="B434" t="s">
        <v>75</v>
      </c>
      <c r="C434" s="14">
        <v>245510991</v>
      </c>
      <c r="D434" s="14">
        <v>211935870</v>
      </c>
      <c r="E434" s="14">
        <v>260178925</v>
      </c>
      <c r="F434" s="14">
        <v>117512892</v>
      </c>
    </row>
    <row r="435" spans="1:6" x14ac:dyDescent="0.35">
      <c r="A435" t="s">
        <v>1939</v>
      </c>
      <c r="B435" t="s">
        <v>76</v>
      </c>
      <c r="C435" s="14">
        <v>12151024381</v>
      </c>
      <c r="D435" s="14">
        <v>14174867466</v>
      </c>
      <c r="E435" s="14">
        <v>8649795774</v>
      </c>
      <c r="F435" s="14">
        <v>9956056446</v>
      </c>
    </row>
    <row r="436" spans="1:6" x14ac:dyDescent="0.35">
      <c r="A436" t="s">
        <v>1939</v>
      </c>
      <c r="B436" t="s">
        <v>77</v>
      </c>
      <c r="C436" s="14">
        <v>600884827153</v>
      </c>
      <c r="D436" s="14">
        <v>407690961028</v>
      </c>
      <c r="E436" s="14">
        <v>662987640328</v>
      </c>
      <c r="F436" s="14">
        <v>1414512464303</v>
      </c>
    </row>
    <row r="437" spans="1:6" x14ac:dyDescent="0.35">
      <c r="A437" t="s">
        <v>1939</v>
      </c>
      <c r="B437" t="s">
        <v>78</v>
      </c>
      <c r="C437" s="14">
        <v>0</v>
      </c>
      <c r="D437" s="14">
        <v>0</v>
      </c>
      <c r="E437" s="14">
        <v>0</v>
      </c>
      <c r="F437" s="14">
        <v>0</v>
      </c>
    </row>
    <row r="438" spans="1:6" x14ac:dyDescent="0.35">
      <c r="A438" t="s">
        <v>1939</v>
      </c>
      <c r="B438" t="s">
        <v>79</v>
      </c>
      <c r="C438" s="14">
        <v>35713828314</v>
      </c>
      <c r="D438" s="14">
        <v>40476114242</v>
      </c>
      <c r="E438" s="14">
        <v>61021010701</v>
      </c>
      <c r="F438" s="14">
        <v>68886056526</v>
      </c>
    </row>
    <row r="439" spans="1:6" x14ac:dyDescent="0.35">
      <c r="A439" t="s">
        <v>1939</v>
      </c>
      <c r="B439" t="s">
        <v>80</v>
      </c>
      <c r="C439" s="14">
        <v>0</v>
      </c>
      <c r="D439" s="14">
        <v>0</v>
      </c>
      <c r="E439" s="14">
        <v>0</v>
      </c>
      <c r="F439" s="14">
        <v>0</v>
      </c>
    </row>
    <row r="440" spans="1:6" x14ac:dyDescent="0.35">
      <c r="A440" t="s">
        <v>1939</v>
      </c>
      <c r="B440" t="s">
        <v>81</v>
      </c>
      <c r="C440" s="14">
        <v>0</v>
      </c>
      <c r="D440" s="14">
        <v>0</v>
      </c>
      <c r="E440" s="14">
        <v>0</v>
      </c>
      <c r="F440" s="14">
        <v>0</v>
      </c>
    </row>
    <row r="441" spans="1:6" x14ac:dyDescent="0.35">
      <c r="A441" t="s">
        <v>1939</v>
      </c>
      <c r="B441" t="s">
        <v>82</v>
      </c>
      <c r="C441" s="14">
        <v>3204131733822</v>
      </c>
      <c r="D441" s="14">
        <v>7857208716983</v>
      </c>
      <c r="E441" s="14">
        <v>9417815794910</v>
      </c>
      <c r="F441" s="14">
        <v>8685884826565</v>
      </c>
    </row>
    <row r="442" spans="1:6" x14ac:dyDescent="0.35">
      <c r="A442" t="s">
        <v>1939</v>
      </c>
      <c r="B442" t="s">
        <v>83</v>
      </c>
      <c r="C442" s="14">
        <v>0</v>
      </c>
      <c r="D442" s="14">
        <v>1158644135385</v>
      </c>
      <c r="E442" s="14">
        <v>151309883176</v>
      </c>
      <c r="F442" s="14">
        <v>0</v>
      </c>
    </row>
    <row r="443" spans="1:6" x14ac:dyDescent="0.35">
      <c r="A443" t="s">
        <v>1939</v>
      </c>
      <c r="B443" t="s">
        <v>84</v>
      </c>
      <c r="C443" s="14">
        <v>0</v>
      </c>
      <c r="D443" s="14">
        <v>0</v>
      </c>
      <c r="E443" s="14">
        <v>0</v>
      </c>
      <c r="F443" s="14">
        <v>0</v>
      </c>
    </row>
    <row r="444" spans="1:6" x14ac:dyDescent="0.35">
      <c r="A444" t="s">
        <v>1939</v>
      </c>
      <c r="B444" t="s">
        <v>85</v>
      </c>
      <c r="C444" s="14">
        <v>0</v>
      </c>
      <c r="D444" s="14">
        <v>0</v>
      </c>
      <c r="E444" s="14">
        <v>0</v>
      </c>
      <c r="F444" s="14">
        <v>0</v>
      </c>
    </row>
    <row r="445" spans="1:6" x14ac:dyDescent="0.35">
      <c r="A445" t="s">
        <v>1939</v>
      </c>
      <c r="B445" t="s">
        <v>86</v>
      </c>
      <c r="C445" s="14">
        <v>0</v>
      </c>
      <c r="D445" s="14">
        <v>0</v>
      </c>
      <c r="E445" s="14">
        <v>0</v>
      </c>
      <c r="F445" s="14">
        <v>0</v>
      </c>
    </row>
    <row r="446" spans="1:6" x14ac:dyDescent="0.35">
      <c r="A446" t="s">
        <v>1939</v>
      </c>
      <c r="B446" t="s">
        <v>87</v>
      </c>
      <c r="C446" s="14">
        <v>0</v>
      </c>
      <c r="D446" s="14">
        <v>0</v>
      </c>
      <c r="E446" s="14">
        <v>0</v>
      </c>
      <c r="F446" s="14">
        <v>0</v>
      </c>
    </row>
    <row r="447" spans="1:6" x14ac:dyDescent="0.35">
      <c r="A447" t="s">
        <v>1939</v>
      </c>
      <c r="B447" t="s">
        <v>88</v>
      </c>
      <c r="C447" s="14">
        <v>46238198</v>
      </c>
      <c r="D447" s="14">
        <v>36990556</v>
      </c>
      <c r="E447" s="14">
        <v>273197457</v>
      </c>
      <c r="F447" s="14">
        <v>423040722</v>
      </c>
    </row>
    <row r="448" spans="1:6" x14ac:dyDescent="0.35">
      <c r="A448" t="s">
        <v>1939</v>
      </c>
      <c r="B448" t="s">
        <v>89</v>
      </c>
      <c r="C448" s="14">
        <v>0</v>
      </c>
      <c r="D448" s="14">
        <v>0</v>
      </c>
      <c r="E448" s="14">
        <v>0</v>
      </c>
      <c r="F448" s="14">
        <v>1399800000</v>
      </c>
    </row>
    <row r="449" spans="1:6" x14ac:dyDescent="0.35">
      <c r="A449" t="s">
        <v>1939</v>
      </c>
      <c r="B449" t="s">
        <v>90</v>
      </c>
      <c r="C449" s="14">
        <v>3200587035002</v>
      </c>
      <c r="D449" s="14">
        <v>6695140195028</v>
      </c>
      <c r="E449" s="14">
        <v>9264097059149</v>
      </c>
      <c r="F449" s="14">
        <v>8681996151843</v>
      </c>
    </row>
    <row r="450" spans="1:6" x14ac:dyDescent="0.35">
      <c r="A450" t="s">
        <v>1939</v>
      </c>
      <c r="B450" t="s">
        <v>91</v>
      </c>
      <c r="C450" s="14">
        <v>0</v>
      </c>
      <c r="D450" s="14">
        <v>0</v>
      </c>
      <c r="E450" s="14">
        <v>0</v>
      </c>
      <c r="F450" s="14">
        <v>0</v>
      </c>
    </row>
    <row r="451" spans="1:6" x14ac:dyDescent="0.35">
      <c r="A451" t="s">
        <v>1939</v>
      </c>
      <c r="B451" t="s">
        <v>92</v>
      </c>
      <c r="C451" s="14">
        <v>0</v>
      </c>
      <c r="D451" s="14">
        <v>0</v>
      </c>
      <c r="E451" s="14">
        <v>0</v>
      </c>
      <c r="F451" s="14">
        <v>0</v>
      </c>
    </row>
    <row r="452" spans="1:6" x14ac:dyDescent="0.35">
      <c r="A452" t="s">
        <v>1939</v>
      </c>
      <c r="B452" t="s">
        <v>93</v>
      </c>
      <c r="C452" s="14">
        <v>0</v>
      </c>
      <c r="D452" s="14">
        <v>0</v>
      </c>
      <c r="E452" s="14">
        <v>0</v>
      </c>
      <c r="F452" s="14">
        <v>0</v>
      </c>
    </row>
    <row r="453" spans="1:6" x14ac:dyDescent="0.35">
      <c r="A453" t="s">
        <v>1939</v>
      </c>
      <c r="B453" t="s">
        <v>94</v>
      </c>
      <c r="C453" s="14">
        <v>3215584109</v>
      </c>
      <c r="D453" s="14">
        <v>3215584109</v>
      </c>
      <c r="E453" s="14">
        <v>2074900200</v>
      </c>
      <c r="F453" s="14">
        <v>2065834000</v>
      </c>
    </row>
    <row r="454" spans="1:6" x14ac:dyDescent="0.35">
      <c r="A454" t="s">
        <v>1939</v>
      </c>
      <c r="B454" t="s">
        <v>95</v>
      </c>
      <c r="C454" s="14">
        <v>282876513</v>
      </c>
      <c r="D454" s="14">
        <v>171811905</v>
      </c>
      <c r="E454" s="14">
        <v>60754928</v>
      </c>
      <c r="F454" s="14">
        <v>0</v>
      </c>
    </row>
    <row r="455" spans="1:6" x14ac:dyDescent="0.35">
      <c r="A455" t="s">
        <v>1939</v>
      </c>
      <c r="B455" t="s">
        <v>96</v>
      </c>
      <c r="C455" s="14">
        <v>3467915778275</v>
      </c>
      <c r="D455" s="14">
        <v>3737693464178</v>
      </c>
      <c r="E455" s="14">
        <v>5629735271956</v>
      </c>
      <c r="F455" s="14">
        <v>5767322391982</v>
      </c>
    </row>
    <row r="456" spans="1:6" x14ac:dyDescent="0.35">
      <c r="A456" t="s">
        <v>1939</v>
      </c>
      <c r="B456" t="s">
        <v>97</v>
      </c>
      <c r="C456" s="14">
        <v>3467915778275</v>
      </c>
      <c r="D456" s="14">
        <v>3737693464178</v>
      </c>
      <c r="E456" s="14">
        <v>5629735271956</v>
      </c>
      <c r="F456" s="14">
        <v>5767322391982</v>
      </c>
    </row>
    <row r="457" spans="1:6" x14ac:dyDescent="0.35">
      <c r="A457" t="s">
        <v>1939</v>
      </c>
      <c r="B457" t="s">
        <v>98</v>
      </c>
      <c r="C457" s="14">
        <v>2711751880000</v>
      </c>
      <c r="D457" s="14">
        <v>3037155260000</v>
      </c>
      <c r="E457" s="14">
        <v>3861369020000</v>
      </c>
      <c r="F457" s="14">
        <v>4054494010000</v>
      </c>
    </row>
    <row r="458" spans="1:6" x14ac:dyDescent="0.35">
      <c r="A458" t="s">
        <v>1939</v>
      </c>
      <c r="B458" t="s">
        <v>99</v>
      </c>
      <c r="C458" s="14">
        <v>2711751880000</v>
      </c>
      <c r="D458" s="14">
        <v>3037155260000</v>
      </c>
      <c r="E458" s="14">
        <v>3219369020000</v>
      </c>
      <c r="F458" s="14">
        <v>3412494010000</v>
      </c>
    </row>
    <row r="459" spans="1:6" x14ac:dyDescent="0.35">
      <c r="A459" t="s">
        <v>1939</v>
      </c>
      <c r="B459" t="s">
        <v>100</v>
      </c>
      <c r="C459" s="14">
        <v>0</v>
      </c>
      <c r="D459" s="14">
        <v>0</v>
      </c>
      <c r="E459" s="14">
        <v>642000000000</v>
      </c>
      <c r="F459" s="14">
        <v>642000000000</v>
      </c>
    </row>
    <row r="460" spans="1:6" x14ac:dyDescent="0.35">
      <c r="A460" t="s">
        <v>1939</v>
      </c>
      <c r="B460" t="s">
        <v>101</v>
      </c>
      <c r="C460" s="14">
        <v>38206262153</v>
      </c>
      <c r="D460" s="14">
        <v>37852662153</v>
      </c>
      <c r="E460" s="14">
        <v>25866057484</v>
      </c>
      <c r="F460" s="14">
        <v>20700057484</v>
      </c>
    </row>
    <row r="461" spans="1:6" x14ac:dyDescent="0.35">
      <c r="A461" t="s">
        <v>1939</v>
      </c>
      <c r="B461" t="s">
        <v>102</v>
      </c>
      <c r="C461" s="14">
        <v>0</v>
      </c>
      <c r="D461" s="14">
        <v>0</v>
      </c>
      <c r="E461" s="14">
        <v>0</v>
      </c>
      <c r="F461" s="14">
        <v>0</v>
      </c>
    </row>
    <row r="462" spans="1:6" x14ac:dyDescent="0.35">
      <c r="A462" t="s">
        <v>1939</v>
      </c>
      <c r="B462" t="s">
        <v>103</v>
      </c>
      <c r="C462" s="14">
        <v>0</v>
      </c>
      <c r="D462" s="14">
        <v>0</v>
      </c>
      <c r="E462" s="14">
        <v>0</v>
      </c>
      <c r="F462" s="14">
        <v>0</v>
      </c>
    </row>
    <row r="463" spans="1:6" x14ac:dyDescent="0.35">
      <c r="A463" t="s">
        <v>1939</v>
      </c>
      <c r="B463" t="s">
        <v>104</v>
      </c>
      <c r="C463" s="14">
        <v>0</v>
      </c>
      <c r="D463" s="14">
        <v>0</v>
      </c>
      <c r="E463" s="14">
        <v>0</v>
      </c>
      <c r="F463" s="14">
        <v>0</v>
      </c>
    </row>
    <row r="464" spans="1:6" x14ac:dyDescent="0.35">
      <c r="A464" t="s">
        <v>1939</v>
      </c>
      <c r="B464" t="s">
        <v>105</v>
      </c>
      <c r="C464" s="14">
        <v>0</v>
      </c>
      <c r="D464" s="14">
        <v>0</v>
      </c>
      <c r="E464" s="14">
        <v>0</v>
      </c>
      <c r="F464" s="14">
        <v>0</v>
      </c>
    </row>
    <row r="465" spans="1:6" x14ac:dyDescent="0.35">
      <c r="A465" t="s">
        <v>1939</v>
      </c>
      <c r="B465" t="s">
        <v>106</v>
      </c>
      <c r="C465" s="14">
        <v>0</v>
      </c>
      <c r="D465" s="14">
        <v>0</v>
      </c>
      <c r="E465" s="14">
        <v>0</v>
      </c>
      <c r="F465" s="14">
        <v>0</v>
      </c>
    </row>
    <row r="466" spans="1:6" x14ac:dyDescent="0.35">
      <c r="A466" t="s">
        <v>1939</v>
      </c>
      <c r="B466" t="s">
        <v>107</v>
      </c>
      <c r="C466" s="14">
        <v>87318702905</v>
      </c>
      <c r="D466" s="14">
        <v>94241012572</v>
      </c>
      <c r="E466" s="14">
        <v>98024005628</v>
      </c>
      <c r="F466" s="14">
        <v>96354085823</v>
      </c>
    </row>
    <row r="467" spans="1:6" x14ac:dyDescent="0.35">
      <c r="A467" t="s">
        <v>1939</v>
      </c>
      <c r="B467" t="s">
        <v>108</v>
      </c>
      <c r="C467" s="14">
        <v>0</v>
      </c>
      <c r="D467" s="14">
        <v>0</v>
      </c>
      <c r="E467" s="14">
        <v>0</v>
      </c>
      <c r="F467" s="14">
        <v>0</v>
      </c>
    </row>
    <row r="468" spans="1:6" x14ac:dyDescent="0.35">
      <c r="A468" t="s">
        <v>1939</v>
      </c>
      <c r="B468" t="s">
        <v>109</v>
      </c>
      <c r="C468" s="14">
        <v>0</v>
      </c>
      <c r="D468" s="14">
        <v>0</v>
      </c>
      <c r="E468" s="14">
        <v>0</v>
      </c>
      <c r="F468" s="14">
        <v>0</v>
      </c>
    </row>
    <row r="469" spans="1:6" x14ac:dyDescent="0.35">
      <c r="A469" t="s">
        <v>1939</v>
      </c>
      <c r="B469" t="s">
        <v>110</v>
      </c>
      <c r="C469" s="14">
        <v>219977103593</v>
      </c>
      <c r="D469" s="14">
        <v>208327095118</v>
      </c>
      <c r="E469" s="14">
        <v>292430636129</v>
      </c>
      <c r="F469" s="14">
        <v>178508233688</v>
      </c>
    </row>
    <row r="470" spans="1:6" x14ac:dyDescent="0.35">
      <c r="A470" t="s">
        <v>1939</v>
      </c>
      <c r="B470" t="s">
        <v>111</v>
      </c>
      <c r="C470" s="14">
        <v>196738180357</v>
      </c>
      <c r="D470" s="14">
        <v>189833948053</v>
      </c>
      <c r="E470" s="14">
        <v>26113335118</v>
      </c>
      <c r="F470" s="14">
        <v>100847336311</v>
      </c>
    </row>
    <row r="471" spans="1:6" x14ac:dyDescent="0.35">
      <c r="A471" t="s">
        <v>1939</v>
      </c>
      <c r="B471" t="s">
        <v>112</v>
      </c>
      <c r="C471" s="14">
        <v>23238923236</v>
      </c>
      <c r="D471" s="14">
        <v>18493147065</v>
      </c>
      <c r="E471" s="14">
        <v>266317301011</v>
      </c>
      <c r="F471" s="14">
        <v>77660897377</v>
      </c>
    </row>
    <row r="472" spans="1:6" x14ac:dyDescent="0.35">
      <c r="A472" t="s">
        <v>1939</v>
      </c>
      <c r="B472" t="s">
        <v>113</v>
      </c>
      <c r="C472" s="14">
        <v>0</v>
      </c>
      <c r="D472" s="14">
        <v>0</v>
      </c>
      <c r="E472" s="14">
        <v>0</v>
      </c>
      <c r="F472" s="14">
        <v>0</v>
      </c>
    </row>
    <row r="473" spans="1:6" x14ac:dyDescent="0.35">
      <c r="A473" t="s">
        <v>1939</v>
      </c>
      <c r="B473" t="s">
        <v>114</v>
      </c>
      <c r="C473" s="14">
        <v>410661829624</v>
      </c>
      <c r="D473" s="14">
        <v>360117434335</v>
      </c>
      <c r="E473" s="14">
        <v>1352045552715</v>
      </c>
      <c r="F473" s="14">
        <v>1417266004987</v>
      </c>
    </row>
    <row r="474" spans="1:6" x14ac:dyDescent="0.35">
      <c r="A474" t="s">
        <v>1939</v>
      </c>
      <c r="B474" t="s">
        <v>115</v>
      </c>
      <c r="C474" s="14">
        <v>0</v>
      </c>
      <c r="D474" s="14">
        <v>0</v>
      </c>
      <c r="E474" s="14">
        <v>0</v>
      </c>
      <c r="F474" s="14">
        <v>0</v>
      </c>
    </row>
    <row r="475" spans="1:6" x14ac:dyDescent="0.35">
      <c r="A475" t="s">
        <v>1939</v>
      </c>
      <c r="B475" t="s">
        <v>116</v>
      </c>
      <c r="C475" s="14">
        <v>0</v>
      </c>
      <c r="D475" s="14">
        <v>0</v>
      </c>
      <c r="E475" s="14">
        <v>0</v>
      </c>
      <c r="F475" s="14">
        <v>0</v>
      </c>
    </row>
    <row r="476" spans="1:6" x14ac:dyDescent="0.35">
      <c r="A476" t="s">
        <v>1939</v>
      </c>
      <c r="B476" t="s">
        <v>117</v>
      </c>
      <c r="C476" s="14">
        <v>0</v>
      </c>
      <c r="D476" s="14">
        <v>0</v>
      </c>
      <c r="E476" s="14">
        <v>0</v>
      </c>
      <c r="F476" s="14">
        <v>0</v>
      </c>
    </row>
    <row r="477" spans="1:6" x14ac:dyDescent="0.35">
      <c r="A477" t="s">
        <v>1939</v>
      </c>
      <c r="B477" t="s">
        <v>118</v>
      </c>
      <c r="C477" s="14">
        <v>7773108134302</v>
      </c>
      <c r="D477" s="14">
        <v>12472678495219</v>
      </c>
      <c r="E477" s="14">
        <v>17118154447225</v>
      </c>
      <c r="F477" s="14">
        <v>16132370906968</v>
      </c>
    </row>
    <row r="478" spans="1:6" x14ac:dyDescent="0.35">
      <c r="A478" t="s">
        <v>1940</v>
      </c>
      <c r="B478" t="s">
        <v>6</v>
      </c>
      <c r="C478" s="14">
        <v>0</v>
      </c>
      <c r="D478" s="14">
        <v>0</v>
      </c>
      <c r="E478" s="14">
        <v>0</v>
      </c>
      <c r="F478" s="14">
        <v>0</v>
      </c>
    </row>
    <row r="479" spans="1:6" x14ac:dyDescent="0.35">
      <c r="A479" t="s">
        <v>1940</v>
      </c>
      <c r="B479" t="s">
        <v>7</v>
      </c>
      <c r="C479" s="14">
        <v>4187241350048</v>
      </c>
      <c r="D479" s="14">
        <v>4116446813081</v>
      </c>
      <c r="E479" s="14">
        <v>3856213993344</v>
      </c>
      <c r="F479" s="14">
        <v>3353883065245</v>
      </c>
    </row>
    <row r="480" spans="1:6" x14ac:dyDescent="0.35">
      <c r="A480" t="s">
        <v>1940</v>
      </c>
      <c r="B480" t="s">
        <v>8</v>
      </c>
      <c r="C480" s="14">
        <v>437921796024</v>
      </c>
      <c r="D480" s="14">
        <v>230395142669</v>
      </c>
      <c r="E480" s="14">
        <v>694458293386</v>
      </c>
      <c r="F480" s="14">
        <v>245549342427</v>
      </c>
    </row>
    <row r="481" spans="1:6" x14ac:dyDescent="0.35">
      <c r="A481" t="s">
        <v>1940</v>
      </c>
      <c r="B481" t="s">
        <v>9</v>
      </c>
      <c r="C481" s="14">
        <v>343801796024</v>
      </c>
      <c r="D481" s="14">
        <v>196895142669</v>
      </c>
      <c r="E481" s="14">
        <v>297335279688</v>
      </c>
      <c r="F481" s="14">
        <v>213249342427</v>
      </c>
    </row>
    <row r="482" spans="1:6" x14ac:dyDescent="0.35">
      <c r="A482" t="s">
        <v>1940</v>
      </c>
      <c r="B482" t="s">
        <v>10</v>
      </c>
      <c r="C482" s="14">
        <v>94120000000</v>
      </c>
      <c r="D482" s="14">
        <v>33500000000</v>
      </c>
      <c r="E482" s="14">
        <v>397123013698</v>
      </c>
      <c r="F482" s="14">
        <v>32300000000</v>
      </c>
    </row>
    <row r="483" spans="1:6" x14ac:dyDescent="0.35">
      <c r="A483" t="s">
        <v>1940</v>
      </c>
      <c r="B483" t="s">
        <v>11</v>
      </c>
      <c r="C483" s="14">
        <v>69960000000</v>
      </c>
      <c r="D483" s="14">
        <v>679939058916</v>
      </c>
      <c r="E483" s="14">
        <v>1213787671</v>
      </c>
      <c r="F483" s="14">
        <v>392702400459</v>
      </c>
    </row>
    <row r="484" spans="1:6" x14ac:dyDescent="0.35">
      <c r="A484" t="s">
        <v>1940</v>
      </c>
      <c r="B484" t="s">
        <v>12</v>
      </c>
      <c r="C484" s="14">
        <v>0</v>
      </c>
      <c r="D484" s="14">
        <v>340189058916</v>
      </c>
      <c r="E484" s="14">
        <v>1213787671</v>
      </c>
      <c r="F484" s="14">
        <v>386602400459</v>
      </c>
    </row>
    <row r="485" spans="1:6" x14ac:dyDescent="0.35">
      <c r="A485" t="s">
        <v>1940</v>
      </c>
      <c r="B485" t="s">
        <v>13</v>
      </c>
      <c r="C485" s="14">
        <v>0</v>
      </c>
      <c r="D485" s="14">
        <v>0</v>
      </c>
      <c r="E485" s="14">
        <v>0</v>
      </c>
      <c r="F485" s="14">
        <v>0</v>
      </c>
    </row>
    <row r="486" spans="1:6" x14ac:dyDescent="0.35">
      <c r="A486" t="s">
        <v>1940</v>
      </c>
      <c r="B486" t="s">
        <v>14</v>
      </c>
      <c r="C486" s="14">
        <v>69960000000</v>
      </c>
      <c r="D486" s="14">
        <v>339750000000</v>
      </c>
      <c r="E486" s="14">
        <v>0</v>
      </c>
      <c r="F486" s="14">
        <v>6100000000</v>
      </c>
    </row>
    <row r="487" spans="1:6" x14ac:dyDescent="0.35">
      <c r="A487" t="s">
        <v>1940</v>
      </c>
      <c r="B487" t="s">
        <v>15</v>
      </c>
      <c r="C487" s="14">
        <v>1779093988139</v>
      </c>
      <c r="D487" s="14">
        <v>1712708439253</v>
      </c>
      <c r="E487" s="14">
        <v>1710747664625</v>
      </c>
      <c r="F487" s="14">
        <v>1594692113606</v>
      </c>
    </row>
    <row r="488" spans="1:6" x14ac:dyDescent="0.35">
      <c r="A488" t="s">
        <v>1940</v>
      </c>
      <c r="B488" t="s">
        <v>16</v>
      </c>
      <c r="C488" s="14">
        <v>824009421636</v>
      </c>
      <c r="D488" s="14">
        <v>1019824555761</v>
      </c>
      <c r="E488" s="14">
        <v>1097765750186</v>
      </c>
      <c r="F488" s="14">
        <v>1318750126830</v>
      </c>
    </row>
    <row r="489" spans="1:6" x14ac:dyDescent="0.35">
      <c r="A489" t="s">
        <v>1940</v>
      </c>
      <c r="B489" t="s">
        <v>17</v>
      </c>
      <c r="C489" s="14">
        <v>518436244442</v>
      </c>
      <c r="D489" s="14">
        <v>384339394109</v>
      </c>
      <c r="E489" s="14">
        <v>372502766090</v>
      </c>
      <c r="F489" s="14">
        <v>97908956923</v>
      </c>
    </row>
    <row r="490" spans="1:6" x14ac:dyDescent="0.35">
      <c r="A490" t="s">
        <v>1940</v>
      </c>
      <c r="B490" t="s">
        <v>18</v>
      </c>
      <c r="C490" s="14">
        <v>0</v>
      </c>
      <c r="D490" s="14">
        <v>0</v>
      </c>
      <c r="E490" s="14">
        <v>0</v>
      </c>
      <c r="F490" s="14">
        <v>0</v>
      </c>
    </row>
    <row r="491" spans="1:6" x14ac:dyDescent="0.35">
      <c r="A491" t="s">
        <v>1940</v>
      </c>
      <c r="B491" t="s">
        <v>19</v>
      </c>
      <c r="C491" s="14">
        <v>0</v>
      </c>
      <c r="D491" s="14">
        <v>0</v>
      </c>
      <c r="E491" s="14">
        <v>0</v>
      </c>
      <c r="F491" s="14">
        <v>0</v>
      </c>
    </row>
    <row r="492" spans="1:6" x14ac:dyDescent="0.35">
      <c r="A492" t="s">
        <v>1940</v>
      </c>
      <c r="B492" t="s">
        <v>20</v>
      </c>
      <c r="C492" s="14">
        <v>182894497583</v>
      </c>
      <c r="D492" s="14">
        <v>56299901708</v>
      </c>
      <c r="E492" s="14">
        <v>56299901708</v>
      </c>
      <c r="F492" s="14">
        <v>133746066092</v>
      </c>
    </row>
    <row r="493" spans="1:6" x14ac:dyDescent="0.35">
      <c r="A493" t="s">
        <v>1940</v>
      </c>
      <c r="B493" t="s">
        <v>21</v>
      </c>
      <c r="C493" s="14">
        <v>295879783991</v>
      </c>
      <c r="D493" s="14">
        <v>350439608792</v>
      </c>
      <c r="E493" s="14">
        <v>283013810237</v>
      </c>
      <c r="F493" s="14">
        <v>159669644290</v>
      </c>
    </row>
    <row r="494" spans="1:6" x14ac:dyDescent="0.35">
      <c r="A494" t="s">
        <v>1940</v>
      </c>
      <c r="B494" t="s">
        <v>22</v>
      </c>
      <c r="C494" s="14">
        <v>-42125959513</v>
      </c>
      <c r="D494" s="14">
        <v>-98195021117</v>
      </c>
      <c r="E494" s="14">
        <v>-98834563596</v>
      </c>
      <c r="F494" s="14">
        <v>-115382680529</v>
      </c>
    </row>
    <row r="495" spans="1:6" x14ac:dyDescent="0.35">
      <c r="A495" t="s">
        <v>1940</v>
      </c>
      <c r="B495" t="s">
        <v>23</v>
      </c>
      <c r="C495" s="14">
        <v>0</v>
      </c>
      <c r="D495" s="14">
        <v>0</v>
      </c>
      <c r="E495" s="14">
        <v>0</v>
      </c>
      <c r="F495" s="14">
        <v>0</v>
      </c>
    </row>
    <row r="496" spans="1:6" x14ac:dyDescent="0.35">
      <c r="A496" t="s">
        <v>1940</v>
      </c>
      <c r="B496" t="s">
        <v>24</v>
      </c>
      <c r="C496" s="14">
        <v>1756579336824</v>
      </c>
      <c r="D496" s="14">
        <v>1364647528078</v>
      </c>
      <c r="E496" s="14">
        <v>1381626365226</v>
      </c>
      <c r="F496" s="14">
        <v>1074384294480</v>
      </c>
    </row>
    <row r="497" spans="1:6" x14ac:dyDescent="0.35">
      <c r="A497" t="s">
        <v>1940</v>
      </c>
      <c r="B497" t="s">
        <v>25</v>
      </c>
      <c r="C497" s="14">
        <v>1756579336824</v>
      </c>
      <c r="D497" s="14">
        <v>1364647528078</v>
      </c>
      <c r="E497" s="14">
        <v>1391850565990</v>
      </c>
      <c r="F497" s="14">
        <v>1084608495244</v>
      </c>
    </row>
    <row r="498" spans="1:6" x14ac:dyDescent="0.35">
      <c r="A498" t="s">
        <v>1940</v>
      </c>
      <c r="B498" t="s">
        <v>26</v>
      </c>
      <c r="C498" s="14">
        <v>0</v>
      </c>
      <c r="D498" s="14">
        <v>0</v>
      </c>
      <c r="E498" s="14">
        <v>-10224200764</v>
      </c>
      <c r="F498" s="14">
        <v>-10224200764</v>
      </c>
    </row>
    <row r="499" spans="1:6" x14ac:dyDescent="0.35">
      <c r="A499" t="s">
        <v>1940</v>
      </c>
      <c r="B499" t="s">
        <v>27</v>
      </c>
      <c r="C499" s="14">
        <v>143686229061</v>
      </c>
      <c r="D499" s="14">
        <v>128756644165</v>
      </c>
      <c r="E499" s="14">
        <v>68167882436</v>
      </c>
      <c r="F499" s="14">
        <v>46554914273</v>
      </c>
    </row>
    <row r="500" spans="1:6" x14ac:dyDescent="0.35">
      <c r="A500" t="s">
        <v>1940</v>
      </c>
      <c r="B500" t="s">
        <v>28</v>
      </c>
      <c r="C500" s="14">
        <v>1161748848</v>
      </c>
      <c r="D500" s="14">
        <v>1612382655</v>
      </c>
      <c r="E500" s="14">
        <v>4784362266</v>
      </c>
      <c r="F500" s="14">
        <v>2906349414</v>
      </c>
    </row>
    <row r="501" spans="1:6" x14ac:dyDescent="0.35">
      <c r="A501" t="s">
        <v>1940</v>
      </c>
      <c r="B501" t="s">
        <v>29</v>
      </c>
      <c r="C501" s="14">
        <v>121986474943</v>
      </c>
      <c r="D501" s="14">
        <v>125228100410</v>
      </c>
      <c r="E501" s="14">
        <v>60699842637</v>
      </c>
      <c r="F501" s="14">
        <v>40796858045</v>
      </c>
    </row>
    <row r="502" spans="1:6" x14ac:dyDescent="0.35">
      <c r="A502" t="s">
        <v>1940</v>
      </c>
      <c r="B502" t="s">
        <v>30</v>
      </c>
      <c r="C502" s="14">
        <v>20538005270</v>
      </c>
      <c r="D502" s="14">
        <v>1916161100</v>
      </c>
      <c r="E502" s="14">
        <v>2683677533</v>
      </c>
      <c r="F502" s="14">
        <v>2851706814</v>
      </c>
    </row>
    <row r="503" spans="1:6" x14ac:dyDescent="0.35">
      <c r="A503" t="s">
        <v>1940</v>
      </c>
      <c r="B503" t="s">
        <v>31</v>
      </c>
      <c r="C503" s="14">
        <v>0</v>
      </c>
      <c r="D503" s="14">
        <v>0</v>
      </c>
      <c r="E503" s="14">
        <v>0</v>
      </c>
      <c r="F503" s="14">
        <v>0</v>
      </c>
    </row>
    <row r="504" spans="1:6" x14ac:dyDescent="0.35">
      <c r="A504" t="s">
        <v>1940</v>
      </c>
      <c r="B504" t="s">
        <v>32</v>
      </c>
      <c r="C504" s="14">
        <v>0</v>
      </c>
      <c r="D504" s="14">
        <v>0</v>
      </c>
      <c r="E504" s="14">
        <v>0</v>
      </c>
      <c r="F504" s="14">
        <v>0</v>
      </c>
    </row>
    <row r="505" spans="1:6" x14ac:dyDescent="0.35">
      <c r="A505" t="s">
        <v>1940</v>
      </c>
      <c r="B505" t="s">
        <v>33</v>
      </c>
      <c r="C505" s="14">
        <v>9691406384759</v>
      </c>
      <c r="D505" s="14">
        <v>11775097177016</v>
      </c>
      <c r="E505" s="14">
        <v>11248710440082</v>
      </c>
      <c r="F505" s="14">
        <v>11084468702847</v>
      </c>
    </row>
    <row r="506" spans="1:6" x14ac:dyDescent="0.35">
      <c r="A506" t="s">
        <v>1940</v>
      </c>
      <c r="B506" t="s">
        <v>34</v>
      </c>
      <c r="C506" s="14">
        <v>5413764280</v>
      </c>
      <c r="D506" s="14">
        <v>61900000</v>
      </c>
      <c r="E506" s="14">
        <v>15173100000</v>
      </c>
      <c r="F506" s="14">
        <v>286626735290</v>
      </c>
    </row>
    <row r="507" spans="1:6" x14ac:dyDescent="0.35">
      <c r="A507" t="s">
        <v>1940</v>
      </c>
      <c r="B507" t="s">
        <v>35</v>
      </c>
      <c r="C507" s="14">
        <v>0</v>
      </c>
      <c r="D507" s="14">
        <v>0</v>
      </c>
      <c r="E507" s="14">
        <v>0</v>
      </c>
      <c r="F507" s="14">
        <v>0</v>
      </c>
    </row>
    <row r="508" spans="1:6" x14ac:dyDescent="0.35">
      <c r="A508" t="s">
        <v>1940</v>
      </c>
      <c r="B508" t="s">
        <v>36</v>
      </c>
      <c r="C508" s="14">
        <v>0</v>
      </c>
      <c r="D508" s="14">
        <v>0</v>
      </c>
      <c r="E508" s="14">
        <v>0</v>
      </c>
      <c r="F508" s="14">
        <v>263410819622</v>
      </c>
    </row>
    <row r="509" spans="1:6" x14ac:dyDescent="0.35">
      <c r="A509" t="s">
        <v>1940</v>
      </c>
      <c r="B509" t="s">
        <v>37</v>
      </c>
      <c r="C509" s="14">
        <v>0</v>
      </c>
      <c r="D509" s="14">
        <v>0</v>
      </c>
      <c r="E509" s="14">
        <v>0</v>
      </c>
      <c r="F509" s="14">
        <v>0</v>
      </c>
    </row>
    <row r="510" spans="1:6" x14ac:dyDescent="0.35">
      <c r="A510" t="s">
        <v>1940</v>
      </c>
      <c r="B510" t="s">
        <v>38</v>
      </c>
      <c r="C510" s="14">
        <v>0</v>
      </c>
      <c r="D510" s="14">
        <v>0</v>
      </c>
      <c r="E510" s="14">
        <v>0</v>
      </c>
      <c r="F510" s="14">
        <v>0</v>
      </c>
    </row>
    <row r="511" spans="1:6" x14ac:dyDescent="0.35">
      <c r="A511" t="s">
        <v>1940</v>
      </c>
      <c r="B511" t="s">
        <v>39</v>
      </c>
      <c r="C511" s="14">
        <v>0</v>
      </c>
      <c r="D511" s="14">
        <v>0</v>
      </c>
      <c r="E511" s="14">
        <v>0</v>
      </c>
      <c r="F511" s="14">
        <v>0</v>
      </c>
    </row>
    <row r="512" spans="1:6" x14ac:dyDescent="0.35">
      <c r="A512" t="s">
        <v>1940</v>
      </c>
      <c r="B512" t="s">
        <v>40</v>
      </c>
      <c r="C512" s="14">
        <v>5413764280</v>
      </c>
      <c r="D512" s="14">
        <v>61900000</v>
      </c>
      <c r="E512" s="14">
        <v>15173100000</v>
      </c>
      <c r="F512" s="14">
        <v>23215915668</v>
      </c>
    </row>
    <row r="513" spans="1:6" x14ac:dyDescent="0.35">
      <c r="A513" t="s">
        <v>1940</v>
      </c>
      <c r="B513" t="s">
        <v>41</v>
      </c>
      <c r="C513" s="14">
        <v>0</v>
      </c>
      <c r="D513" s="14">
        <v>0</v>
      </c>
      <c r="E513" s="14">
        <v>0</v>
      </c>
      <c r="F513" s="14">
        <v>0</v>
      </c>
    </row>
    <row r="514" spans="1:6" x14ac:dyDescent="0.35">
      <c r="A514" t="s">
        <v>1940</v>
      </c>
      <c r="B514" t="s">
        <v>42</v>
      </c>
      <c r="C514" s="14">
        <v>4182495927623</v>
      </c>
      <c r="D514" s="14">
        <v>9868140344364</v>
      </c>
      <c r="E514" s="14">
        <v>9494867138908</v>
      </c>
      <c r="F514" s="14">
        <v>9034421082237</v>
      </c>
    </row>
    <row r="515" spans="1:6" x14ac:dyDescent="0.35">
      <c r="A515" t="s">
        <v>1940</v>
      </c>
      <c r="B515" t="s">
        <v>43</v>
      </c>
      <c r="C515" s="14">
        <v>3844559219827</v>
      </c>
      <c r="D515" s="14">
        <v>9465615447391</v>
      </c>
      <c r="E515" s="14">
        <v>9099653206199</v>
      </c>
      <c r="F515" s="14">
        <v>8832790913662</v>
      </c>
    </row>
    <row r="516" spans="1:6" x14ac:dyDescent="0.35">
      <c r="A516" t="s">
        <v>1940</v>
      </c>
      <c r="B516" t="s">
        <v>44</v>
      </c>
      <c r="C516" s="14">
        <v>4926827775095</v>
      </c>
      <c r="D516" s="14">
        <v>10762654108984</v>
      </c>
      <c r="E516" s="14">
        <v>10864887269458</v>
      </c>
      <c r="F516" s="14">
        <v>11074101340051</v>
      </c>
    </row>
    <row r="517" spans="1:6" x14ac:dyDescent="0.35">
      <c r="A517" t="s">
        <v>1940</v>
      </c>
      <c r="B517" t="s">
        <v>45</v>
      </c>
      <c r="C517" s="14">
        <v>-1082268555268</v>
      </c>
      <c r="D517" s="14">
        <v>-1297038661593</v>
      </c>
      <c r="E517" s="14">
        <v>-1765234063259</v>
      </c>
      <c r="F517" s="14">
        <v>-2241310426389</v>
      </c>
    </row>
    <row r="518" spans="1:6" x14ac:dyDescent="0.35">
      <c r="A518" t="s">
        <v>1940</v>
      </c>
      <c r="B518" t="s">
        <v>46</v>
      </c>
      <c r="C518" s="14">
        <v>0</v>
      </c>
      <c r="D518" s="14">
        <v>0</v>
      </c>
      <c r="E518" s="14">
        <v>0</v>
      </c>
      <c r="F518" s="14">
        <v>0</v>
      </c>
    </row>
    <row r="519" spans="1:6" x14ac:dyDescent="0.35">
      <c r="A519" t="s">
        <v>1940</v>
      </c>
      <c r="B519" t="s">
        <v>44</v>
      </c>
      <c r="C519" s="14">
        <v>0</v>
      </c>
      <c r="D519" s="14">
        <v>0</v>
      </c>
      <c r="E519" s="14">
        <v>0</v>
      </c>
      <c r="F519" s="14">
        <v>0</v>
      </c>
    </row>
    <row r="520" spans="1:6" x14ac:dyDescent="0.35">
      <c r="A520" t="s">
        <v>1940</v>
      </c>
      <c r="B520" t="s">
        <v>45</v>
      </c>
      <c r="C520" s="14">
        <v>0</v>
      </c>
      <c r="D520" s="14">
        <v>0</v>
      </c>
      <c r="E520" s="14">
        <v>0</v>
      </c>
      <c r="F520" s="14">
        <v>0</v>
      </c>
    </row>
    <row r="521" spans="1:6" x14ac:dyDescent="0.35">
      <c r="A521" t="s">
        <v>1940</v>
      </c>
      <c r="B521" t="s">
        <v>47</v>
      </c>
      <c r="C521" s="14">
        <v>337936707796</v>
      </c>
      <c r="D521" s="14">
        <v>402524896973</v>
      </c>
      <c r="E521" s="14">
        <v>395213932709</v>
      </c>
      <c r="F521" s="14">
        <v>201630168575</v>
      </c>
    </row>
    <row r="522" spans="1:6" x14ac:dyDescent="0.35">
      <c r="A522" t="s">
        <v>1940</v>
      </c>
      <c r="B522" t="s">
        <v>44</v>
      </c>
      <c r="C522" s="14">
        <v>341024942656</v>
      </c>
      <c r="D522" s="14">
        <v>410328656579</v>
      </c>
      <c r="E522" s="14">
        <v>420364811059</v>
      </c>
      <c r="F522" s="14">
        <v>223393654500</v>
      </c>
    </row>
    <row r="523" spans="1:6" x14ac:dyDescent="0.35">
      <c r="A523" t="s">
        <v>1940</v>
      </c>
      <c r="B523" t="s">
        <v>45</v>
      </c>
      <c r="C523" s="14">
        <v>-3088234860</v>
      </c>
      <c r="D523" s="14">
        <v>-7803759606</v>
      </c>
      <c r="E523" s="14">
        <v>-25150878350</v>
      </c>
      <c r="F523" s="14">
        <v>-21763485925</v>
      </c>
    </row>
    <row r="524" spans="1:6" x14ac:dyDescent="0.35">
      <c r="A524" t="s">
        <v>1940</v>
      </c>
      <c r="B524" t="s">
        <v>48</v>
      </c>
      <c r="C524" s="14">
        <v>842572996055</v>
      </c>
      <c r="D524" s="14">
        <v>828211934371</v>
      </c>
      <c r="E524" s="14">
        <v>792953268785</v>
      </c>
      <c r="F524" s="14">
        <v>757836835684</v>
      </c>
    </row>
    <row r="525" spans="1:6" x14ac:dyDescent="0.35">
      <c r="A525" t="s">
        <v>1940</v>
      </c>
      <c r="B525" t="s">
        <v>44</v>
      </c>
      <c r="C525" s="14">
        <v>966289931974</v>
      </c>
      <c r="D525" s="14">
        <v>983707874969</v>
      </c>
      <c r="E525" s="14">
        <v>983707874969</v>
      </c>
      <c r="F525" s="14">
        <v>983707874969</v>
      </c>
    </row>
    <row r="526" spans="1:6" x14ac:dyDescent="0.35">
      <c r="A526" t="s">
        <v>1940</v>
      </c>
      <c r="B526" t="s">
        <v>45</v>
      </c>
      <c r="C526" s="14">
        <v>-123716935919</v>
      </c>
      <c r="D526" s="14">
        <v>-155495940598</v>
      </c>
      <c r="E526" s="14">
        <v>-190754606184</v>
      </c>
      <c r="F526" s="14">
        <v>-225871039285</v>
      </c>
    </row>
    <row r="527" spans="1:6" x14ac:dyDescent="0.35">
      <c r="A527" t="s">
        <v>1940</v>
      </c>
      <c r="B527" t="s">
        <v>49</v>
      </c>
      <c r="C527" s="14">
        <v>4498142461102</v>
      </c>
      <c r="D527" s="14">
        <v>916619542443</v>
      </c>
      <c r="E527" s="14">
        <v>818059719610</v>
      </c>
      <c r="F527" s="14">
        <v>830903743212</v>
      </c>
    </row>
    <row r="528" spans="1:6" x14ac:dyDescent="0.35">
      <c r="A528" t="s">
        <v>1940</v>
      </c>
      <c r="B528" t="s">
        <v>50</v>
      </c>
      <c r="C528" s="14">
        <v>31425891587</v>
      </c>
      <c r="D528" s="14">
        <v>36422393378</v>
      </c>
      <c r="E528" s="14">
        <v>36910628928</v>
      </c>
      <c r="F528" s="14">
        <v>36910628928</v>
      </c>
    </row>
    <row r="529" spans="1:6" x14ac:dyDescent="0.35">
      <c r="A529" t="s">
        <v>1940</v>
      </c>
      <c r="B529" t="s">
        <v>51</v>
      </c>
      <c r="C529" s="14">
        <v>4466716569515</v>
      </c>
      <c r="D529" s="14">
        <v>880197149065</v>
      </c>
      <c r="E529" s="14">
        <v>781149090682</v>
      </c>
      <c r="F529" s="14">
        <v>793993114284</v>
      </c>
    </row>
    <row r="530" spans="1:6" x14ac:dyDescent="0.35">
      <c r="A530" t="s">
        <v>1940</v>
      </c>
      <c r="B530" t="s">
        <v>52</v>
      </c>
      <c r="C530" s="14">
        <v>6130000000</v>
      </c>
      <c r="D530" s="14">
        <v>3130000000</v>
      </c>
      <c r="E530" s="14">
        <v>3130000000</v>
      </c>
      <c r="F530" s="14">
        <v>63070000000</v>
      </c>
    </row>
    <row r="531" spans="1:6" x14ac:dyDescent="0.35">
      <c r="A531" t="s">
        <v>1940</v>
      </c>
      <c r="B531" t="s">
        <v>53</v>
      </c>
      <c r="C531" s="14">
        <v>0</v>
      </c>
      <c r="D531" s="14">
        <v>0</v>
      </c>
      <c r="E531" s="14">
        <v>0</v>
      </c>
      <c r="F531" s="14">
        <v>0</v>
      </c>
    </row>
    <row r="532" spans="1:6" x14ac:dyDescent="0.35">
      <c r="A532" t="s">
        <v>1940</v>
      </c>
      <c r="B532" t="s">
        <v>54</v>
      </c>
      <c r="C532" s="14">
        <v>130000000</v>
      </c>
      <c r="D532" s="14">
        <v>130000000</v>
      </c>
      <c r="E532" s="14">
        <v>130000000</v>
      </c>
      <c r="F532" s="14">
        <v>150000000</v>
      </c>
    </row>
    <row r="533" spans="1:6" x14ac:dyDescent="0.35">
      <c r="A533" t="s">
        <v>1940</v>
      </c>
      <c r="B533" t="s">
        <v>55</v>
      </c>
      <c r="C533" s="14">
        <v>0</v>
      </c>
      <c r="D533" s="14">
        <v>0</v>
      </c>
      <c r="E533" s="14">
        <v>0</v>
      </c>
      <c r="F533" s="14">
        <v>0</v>
      </c>
    </row>
    <row r="534" spans="1:6" x14ac:dyDescent="0.35">
      <c r="A534" t="s">
        <v>1940</v>
      </c>
      <c r="B534" t="s">
        <v>56</v>
      </c>
      <c r="C534" s="14">
        <v>0</v>
      </c>
      <c r="D534" s="14">
        <v>0</v>
      </c>
      <c r="E534" s="14">
        <v>0</v>
      </c>
      <c r="F534" s="14">
        <v>0</v>
      </c>
    </row>
    <row r="535" spans="1:6" x14ac:dyDescent="0.35">
      <c r="A535" t="s">
        <v>1940</v>
      </c>
      <c r="B535" t="s">
        <v>57</v>
      </c>
      <c r="C535" s="14">
        <v>6000000000</v>
      </c>
      <c r="D535" s="14">
        <v>3000000000</v>
      </c>
      <c r="E535" s="14">
        <v>3000000000</v>
      </c>
      <c r="F535" s="14">
        <v>62920000000</v>
      </c>
    </row>
    <row r="536" spans="1:6" x14ac:dyDescent="0.35">
      <c r="A536" t="s">
        <v>1940</v>
      </c>
      <c r="B536" t="s">
        <v>58</v>
      </c>
      <c r="C536" s="14">
        <v>156651235699</v>
      </c>
      <c r="D536" s="14">
        <v>158933455838</v>
      </c>
      <c r="E536" s="14">
        <v>124527212779</v>
      </c>
      <c r="F536" s="14">
        <v>111610306424</v>
      </c>
    </row>
    <row r="537" spans="1:6" x14ac:dyDescent="0.35">
      <c r="A537" t="s">
        <v>1940</v>
      </c>
      <c r="B537" t="s">
        <v>59</v>
      </c>
      <c r="C537" s="14">
        <v>29236913331</v>
      </c>
      <c r="D537" s="14">
        <v>27043921683</v>
      </c>
      <c r="E537" s="14">
        <v>18680256396</v>
      </c>
      <c r="F537" s="14">
        <v>21160812286</v>
      </c>
    </row>
    <row r="538" spans="1:6" x14ac:dyDescent="0.35">
      <c r="A538" t="s">
        <v>1940</v>
      </c>
      <c r="B538" t="s">
        <v>60</v>
      </c>
      <c r="C538" s="14">
        <v>71454010527</v>
      </c>
      <c r="D538" s="14">
        <v>83184678769</v>
      </c>
      <c r="E538" s="14">
        <v>64407557452</v>
      </c>
      <c r="F538" s="14">
        <v>56270551661</v>
      </c>
    </row>
    <row r="539" spans="1:6" x14ac:dyDescent="0.35">
      <c r="A539" t="s">
        <v>1940</v>
      </c>
      <c r="B539" t="s">
        <v>61</v>
      </c>
      <c r="C539" s="14">
        <v>0</v>
      </c>
      <c r="D539" s="14">
        <v>0</v>
      </c>
      <c r="E539" s="14">
        <v>0</v>
      </c>
      <c r="F539" s="14">
        <v>0</v>
      </c>
    </row>
    <row r="540" spans="1:6" x14ac:dyDescent="0.35">
      <c r="A540" t="s">
        <v>1940</v>
      </c>
      <c r="B540" t="s">
        <v>62</v>
      </c>
      <c r="C540" s="14">
        <v>0</v>
      </c>
      <c r="D540" s="14">
        <v>5000000</v>
      </c>
      <c r="E540" s="14">
        <v>0</v>
      </c>
      <c r="F540" s="14">
        <v>0</v>
      </c>
    </row>
    <row r="541" spans="1:6" x14ac:dyDescent="0.35">
      <c r="A541" t="s">
        <v>1940</v>
      </c>
      <c r="B541" t="s">
        <v>63</v>
      </c>
      <c r="C541" s="14">
        <v>55960311841</v>
      </c>
      <c r="D541" s="14">
        <v>48699855386</v>
      </c>
      <c r="E541" s="14">
        <v>41439398931</v>
      </c>
      <c r="F541" s="14">
        <v>34178942477</v>
      </c>
    </row>
    <row r="542" spans="1:6" x14ac:dyDescent="0.35">
      <c r="A542" t="s">
        <v>1940</v>
      </c>
      <c r="B542" t="s">
        <v>64</v>
      </c>
      <c r="C542" s="14">
        <v>13878647734807</v>
      </c>
      <c r="D542" s="14">
        <v>15891543990097</v>
      </c>
      <c r="E542" s="14">
        <v>15104924433426</v>
      </c>
      <c r="F542" s="14">
        <v>14438351768092</v>
      </c>
    </row>
    <row r="543" spans="1:6" x14ac:dyDescent="0.35">
      <c r="A543" t="s">
        <v>1940</v>
      </c>
      <c r="B543" t="s">
        <v>65</v>
      </c>
      <c r="C543" s="14">
        <v>0</v>
      </c>
      <c r="D543" s="14">
        <v>0</v>
      </c>
      <c r="E543" s="14">
        <v>0</v>
      </c>
      <c r="F543" s="14">
        <v>0</v>
      </c>
    </row>
    <row r="544" spans="1:6" x14ac:dyDescent="0.35">
      <c r="A544" t="s">
        <v>1940</v>
      </c>
      <c r="B544" t="s">
        <v>66</v>
      </c>
      <c r="C544" s="14">
        <v>9901226888951</v>
      </c>
      <c r="D544" s="14">
        <v>10501213587387</v>
      </c>
      <c r="E544" s="14">
        <v>8556912885411</v>
      </c>
      <c r="F544" s="14">
        <v>7209603634647</v>
      </c>
    </row>
    <row r="545" spans="1:6" x14ac:dyDescent="0.35">
      <c r="A545" t="s">
        <v>1940</v>
      </c>
      <c r="B545" t="s">
        <v>67</v>
      </c>
      <c r="C545" s="14">
        <v>4032303775441</v>
      </c>
      <c r="D545" s="14">
        <v>4293242921198</v>
      </c>
      <c r="E545" s="14">
        <v>3286819852605</v>
      </c>
      <c r="F545" s="14">
        <v>2328692228742</v>
      </c>
    </row>
    <row r="546" spans="1:6" x14ac:dyDescent="0.35">
      <c r="A546" t="s">
        <v>1940</v>
      </c>
      <c r="B546" t="s">
        <v>68</v>
      </c>
      <c r="C546" s="14">
        <v>532649203350</v>
      </c>
      <c r="D546" s="14">
        <v>297648960670</v>
      </c>
      <c r="E546" s="14">
        <v>180928127488</v>
      </c>
      <c r="F546" s="14">
        <v>75505527986</v>
      </c>
    </row>
    <row r="547" spans="1:6" x14ac:dyDescent="0.35">
      <c r="A547" t="s">
        <v>1940</v>
      </c>
      <c r="B547" t="s">
        <v>69</v>
      </c>
      <c r="C547" s="14">
        <v>1301982510565</v>
      </c>
      <c r="D547" s="14">
        <v>1194262994254</v>
      </c>
      <c r="E547" s="14">
        <v>681968005319</v>
      </c>
      <c r="F547" s="14">
        <v>303868173879</v>
      </c>
    </row>
    <row r="548" spans="1:6" x14ac:dyDescent="0.35">
      <c r="A548" t="s">
        <v>1940</v>
      </c>
      <c r="B548" t="s">
        <v>70</v>
      </c>
      <c r="C548" s="14">
        <v>272078205071</v>
      </c>
      <c r="D548" s="14">
        <v>135152733080</v>
      </c>
      <c r="E548" s="14">
        <v>123884998096</v>
      </c>
      <c r="F548" s="14">
        <v>95417510982</v>
      </c>
    </row>
    <row r="549" spans="1:6" x14ac:dyDescent="0.35">
      <c r="A549" t="s">
        <v>1940</v>
      </c>
      <c r="B549" t="s">
        <v>71</v>
      </c>
      <c r="C549" s="14">
        <v>35359827365</v>
      </c>
      <c r="D549" s="14">
        <v>26868326229</v>
      </c>
      <c r="E549" s="14">
        <v>34263357196</v>
      </c>
      <c r="F549" s="14">
        <v>30703411337</v>
      </c>
    </row>
    <row r="550" spans="1:6" x14ac:dyDescent="0.35">
      <c r="A550" t="s">
        <v>1940</v>
      </c>
      <c r="B550" t="s">
        <v>72</v>
      </c>
      <c r="C550" s="14">
        <v>533257384964</v>
      </c>
      <c r="D550" s="14">
        <v>941746380475</v>
      </c>
      <c r="E550" s="14">
        <v>838627364436</v>
      </c>
      <c r="F550" s="14">
        <v>815570582143</v>
      </c>
    </row>
    <row r="551" spans="1:6" x14ac:dyDescent="0.35">
      <c r="A551" t="s">
        <v>1940</v>
      </c>
      <c r="B551" t="s">
        <v>73</v>
      </c>
      <c r="C551" s="14">
        <v>0</v>
      </c>
      <c r="D551" s="14">
        <v>0</v>
      </c>
      <c r="E551" s="14">
        <v>0</v>
      </c>
      <c r="F551" s="14">
        <v>0</v>
      </c>
    </row>
    <row r="552" spans="1:6" x14ac:dyDescent="0.35">
      <c r="A552" t="s">
        <v>1940</v>
      </c>
      <c r="B552" t="s">
        <v>74</v>
      </c>
      <c r="C552" s="14">
        <v>0</v>
      </c>
      <c r="D552" s="14">
        <v>0</v>
      </c>
      <c r="E552" s="14">
        <v>0</v>
      </c>
      <c r="F552" s="14">
        <v>0</v>
      </c>
    </row>
    <row r="553" spans="1:6" x14ac:dyDescent="0.35">
      <c r="A553" t="s">
        <v>1940</v>
      </c>
      <c r="B553" t="s">
        <v>75</v>
      </c>
      <c r="C553" s="14">
        <v>26249518513</v>
      </c>
      <c r="D553" s="14">
        <v>27155379474</v>
      </c>
      <c r="E553" s="14">
        <v>21339939535</v>
      </c>
      <c r="F553" s="14">
        <v>7052607353</v>
      </c>
    </row>
    <row r="554" spans="1:6" x14ac:dyDescent="0.35">
      <c r="A554" t="s">
        <v>1940</v>
      </c>
      <c r="B554" t="s">
        <v>76</v>
      </c>
      <c r="C554" s="14">
        <v>463082092562</v>
      </c>
      <c r="D554" s="14">
        <v>344202395999</v>
      </c>
      <c r="E554" s="14">
        <v>388118121975</v>
      </c>
      <c r="F554" s="14">
        <v>317723037308</v>
      </c>
    </row>
    <row r="555" spans="1:6" x14ac:dyDescent="0.35">
      <c r="A555" t="s">
        <v>1940</v>
      </c>
      <c r="B555" t="s">
        <v>77</v>
      </c>
      <c r="C555" s="14">
        <v>849912870906</v>
      </c>
      <c r="D555" s="14">
        <v>1288988835599</v>
      </c>
      <c r="E555" s="14">
        <v>958856356487</v>
      </c>
      <c r="F555" s="14">
        <v>625124875681</v>
      </c>
    </row>
    <row r="556" spans="1:6" x14ac:dyDescent="0.35">
      <c r="A556" t="s">
        <v>1940</v>
      </c>
      <c r="B556" t="s">
        <v>78</v>
      </c>
      <c r="C556" s="14">
        <v>0</v>
      </c>
      <c r="D556" s="14">
        <v>0</v>
      </c>
      <c r="E556" s="14">
        <v>0</v>
      </c>
      <c r="F556" s="14">
        <v>0</v>
      </c>
    </row>
    <row r="557" spans="1:6" x14ac:dyDescent="0.35">
      <c r="A557" t="s">
        <v>1940</v>
      </c>
      <c r="B557" t="s">
        <v>79</v>
      </c>
      <c r="C557" s="14">
        <v>17732162145</v>
      </c>
      <c r="D557" s="14">
        <v>37216915418</v>
      </c>
      <c r="E557" s="14">
        <v>58833582073</v>
      </c>
      <c r="F557" s="14">
        <v>57726502073</v>
      </c>
    </row>
    <row r="558" spans="1:6" x14ac:dyDescent="0.35">
      <c r="A558" t="s">
        <v>1940</v>
      </c>
      <c r="B558" t="s">
        <v>80</v>
      </c>
      <c r="C558" s="14">
        <v>0</v>
      </c>
      <c r="D558" s="14">
        <v>0</v>
      </c>
      <c r="E558" s="14">
        <v>0</v>
      </c>
      <c r="F558" s="14">
        <v>0</v>
      </c>
    </row>
    <row r="559" spans="1:6" x14ac:dyDescent="0.35">
      <c r="A559" t="s">
        <v>1940</v>
      </c>
      <c r="B559" t="s">
        <v>81</v>
      </c>
      <c r="C559" s="14">
        <v>0</v>
      </c>
      <c r="D559" s="14">
        <v>0</v>
      </c>
      <c r="E559" s="14">
        <v>0</v>
      </c>
      <c r="F559" s="14">
        <v>0</v>
      </c>
    </row>
    <row r="560" spans="1:6" x14ac:dyDescent="0.35">
      <c r="A560" t="s">
        <v>1940</v>
      </c>
      <c r="B560" t="s">
        <v>82</v>
      </c>
      <c r="C560" s="14">
        <v>5868923113510</v>
      </c>
      <c r="D560" s="14">
        <v>6207970666189</v>
      </c>
      <c r="E560" s="14">
        <v>5270093032806</v>
      </c>
      <c r="F560" s="14">
        <v>4880911405905</v>
      </c>
    </row>
    <row r="561" spans="1:6" x14ac:dyDescent="0.35">
      <c r="A561" t="s">
        <v>1940</v>
      </c>
      <c r="B561" t="s">
        <v>83</v>
      </c>
      <c r="C561" s="14">
        <v>0</v>
      </c>
      <c r="D561" s="14">
        <v>0</v>
      </c>
      <c r="E561" s="14">
        <v>0</v>
      </c>
      <c r="F561" s="14">
        <v>0</v>
      </c>
    </row>
    <row r="562" spans="1:6" x14ac:dyDescent="0.35">
      <c r="A562" t="s">
        <v>1940</v>
      </c>
      <c r="B562" t="s">
        <v>84</v>
      </c>
      <c r="C562" s="14">
        <v>0</v>
      </c>
      <c r="D562" s="14">
        <v>0</v>
      </c>
      <c r="E562" s="14">
        <v>0</v>
      </c>
      <c r="F562" s="14">
        <v>0</v>
      </c>
    </row>
    <row r="563" spans="1:6" x14ac:dyDescent="0.35">
      <c r="A563" t="s">
        <v>1940</v>
      </c>
      <c r="B563" t="s">
        <v>85</v>
      </c>
      <c r="C563" s="14">
        <v>28424657534</v>
      </c>
      <c r="D563" s="14">
        <v>0</v>
      </c>
      <c r="E563" s="14">
        <v>0</v>
      </c>
      <c r="F563" s="14">
        <v>0</v>
      </c>
    </row>
    <row r="564" spans="1:6" x14ac:dyDescent="0.35">
      <c r="A564" t="s">
        <v>1940</v>
      </c>
      <c r="B564" t="s">
        <v>86</v>
      </c>
      <c r="C564" s="14">
        <v>0</v>
      </c>
      <c r="D564" s="14">
        <v>0</v>
      </c>
      <c r="E564" s="14">
        <v>0</v>
      </c>
      <c r="F564" s="14">
        <v>0</v>
      </c>
    </row>
    <row r="565" spans="1:6" x14ac:dyDescent="0.35">
      <c r="A565" t="s">
        <v>1940</v>
      </c>
      <c r="B565" t="s">
        <v>87</v>
      </c>
      <c r="C565" s="14">
        <v>0</v>
      </c>
      <c r="D565" s="14">
        <v>0</v>
      </c>
      <c r="E565" s="14">
        <v>0</v>
      </c>
      <c r="F565" s="14">
        <v>0</v>
      </c>
    </row>
    <row r="566" spans="1:6" x14ac:dyDescent="0.35">
      <c r="A566" t="s">
        <v>1940</v>
      </c>
      <c r="B566" t="s">
        <v>88</v>
      </c>
      <c r="C566" s="14">
        <v>20098545120</v>
      </c>
      <c r="D566" s="14">
        <v>8994856783</v>
      </c>
      <c r="E566" s="14">
        <v>6687499895</v>
      </c>
      <c r="F566" s="14">
        <v>375542400</v>
      </c>
    </row>
    <row r="567" spans="1:6" x14ac:dyDescent="0.35">
      <c r="A567" t="s">
        <v>1940</v>
      </c>
      <c r="B567" t="s">
        <v>89</v>
      </c>
      <c r="C567" s="14">
        <v>28056528486</v>
      </c>
      <c r="D567" s="14">
        <v>35158178701</v>
      </c>
      <c r="E567" s="14">
        <v>33299319723</v>
      </c>
      <c r="F567" s="14">
        <v>11757751386</v>
      </c>
    </row>
    <row r="568" spans="1:6" x14ac:dyDescent="0.35">
      <c r="A568" t="s">
        <v>1940</v>
      </c>
      <c r="B568" t="s">
        <v>90</v>
      </c>
      <c r="C568" s="14">
        <v>5717906456119</v>
      </c>
      <c r="D568" s="14">
        <v>6086215594332</v>
      </c>
      <c r="E568" s="14">
        <v>5160178968082</v>
      </c>
      <c r="F568" s="14">
        <v>4800919759838</v>
      </c>
    </row>
    <row r="569" spans="1:6" x14ac:dyDescent="0.35">
      <c r="A569" t="s">
        <v>1940</v>
      </c>
      <c r="B569" t="s">
        <v>91</v>
      </c>
      <c r="C569" s="14">
        <v>0</v>
      </c>
      <c r="D569" s="14">
        <v>0</v>
      </c>
      <c r="E569" s="14">
        <v>0</v>
      </c>
      <c r="F569" s="14">
        <v>0</v>
      </c>
    </row>
    <row r="570" spans="1:6" x14ac:dyDescent="0.35">
      <c r="A570" t="s">
        <v>1940</v>
      </c>
      <c r="B570" t="s">
        <v>92</v>
      </c>
      <c r="C570" s="14">
        <v>0</v>
      </c>
      <c r="D570" s="14">
        <v>0</v>
      </c>
      <c r="E570" s="14">
        <v>0</v>
      </c>
      <c r="F570" s="14">
        <v>0</v>
      </c>
    </row>
    <row r="571" spans="1:6" x14ac:dyDescent="0.35">
      <c r="A571" t="s">
        <v>1940</v>
      </c>
      <c r="B571" t="s">
        <v>93</v>
      </c>
      <c r="C571" s="14">
        <v>74191440495</v>
      </c>
      <c r="D571" s="14">
        <v>77365032417</v>
      </c>
      <c r="E571" s="14">
        <v>69824141150</v>
      </c>
      <c r="F571" s="14">
        <v>67858352281</v>
      </c>
    </row>
    <row r="572" spans="1:6" x14ac:dyDescent="0.35">
      <c r="A572" t="s">
        <v>1940</v>
      </c>
      <c r="B572" t="s">
        <v>94</v>
      </c>
      <c r="C572" s="14">
        <v>245485756</v>
      </c>
      <c r="D572" s="14">
        <v>237003956</v>
      </c>
      <c r="E572" s="14">
        <v>103103956</v>
      </c>
      <c r="F572" s="14">
        <v>0</v>
      </c>
    </row>
    <row r="573" spans="1:6" x14ac:dyDescent="0.35">
      <c r="A573" t="s">
        <v>1940</v>
      </c>
      <c r="B573" t="s">
        <v>95</v>
      </c>
      <c r="C573" s="14">
        <v>0</v>
      </c>
      <c r="D573" s="14">
        <v>0</v>
      </c>
      <c r="E573" s="14">
        <v>0</v>
      </c>
      <c r="F573" s="14">
        <v>0</v>
      </c>
    </row>
    <row r="574" spans="1:6" x14ac:dyDescent="0.35">
      <c r="A574" t="s">
        <v>1940</v>
      </c>
      <c r="B574" t="s">
        <v>96</v>
      </c>
      <c r="C574" s="14">
        <v>3977420845856</v>
      </c>
      <c r="D574" s="14">
        <v>5390330402710</v>
      </c>
      <c r="E574" s="14">
        <v>6548011548015</v>
      </c>
      <c r="F574" s="14">
        <v>7228748133445</v>
      </c>
    </row>
    <row r="575" spans="1:6" x14ac:dyDescent="0.35">
      <c r="A575" t="s">
        <v>1940</v>
      </c>
      <c r="B575" t="s">
        <v>97</v>
      </c>
      <c r="C575" s="14">
        <v>3977420845856</v>
      </c>
      <c r="D575" s="14">
        <v>5390330402710</v>
      </c>
      <c r="E575" s="14">
        <v>6548011548015</v>
      </c>
      <c r="F575" s="14">
        <v>7228748133445</v>
      </c>
    </row>
    <row r="576" spans="1:6" x14ac:dyDescent="0.35">
      <c r="A576" t="s">
        <v>1940</v>
      </c>
      <c r="B576" t="s">
        <v>98</v>
      </c>
      <c r="C576" s="14">
        <v>1542750180000</v>
      </c>
      <c r="D576" s="14">
        <v>1963574150000</v>
      </c>
      <c r="E576" s="14">
        <v>2446058980000</v>
      </c>
      <c r="F576" s="14">
        <v>3057568410000</v>
      </c>
    </row>
    <row r="577" spans="1:6" x14ac:dyDescent="0.35">
      <c r="A577" t="s">
        <v>1940</v>
      </c>
      <c r="B577" t="s">
        <v>99</v>
      </c>
      <c r="C577" s="14">
        <v>1542750180000</v>
      </c>
      <c r="D577" s="14">
        <v>1963574150000</v>
      </c>
      <c r="E577" s="14">
        <v>2446058980000</v>
      </c>
      <c r="F577" s="14">
        <v>3057568410000</v>
      </c>
    </row>
    <row r="578" spans="1:6" x14ac:dyDescent="0.35">
      <c r="A578" t="s">
        <v>1940</v>
      </c>
      <c r="B578" t="s">
        <v>100</v>
      </c>
      <c r="C578" s="14">
        <v>0</v>
      </c>
      <c r="D578" s="14">
        <v>0</v>
      </c>
      <c r="E578" s="14">
        <v>0</v>
      </c>
      <c r="F578" s="14">
        <v>0</v>
      </c>
    </row>
    <row r="579" spans="1:6" x14ac:dyDescent="0.35">
      <c r="A579" t="s">
        <v>1940</v>
      </c>
      <c r="B579" t="s">
        <v>101</v>
      </c>
      <c r="C579" s="14">
        <v>387992000</v>
      </c>
      <c r="D579" s="14">
        <v>229106864127</v>
      </c>
      <c r="E579" s="14">
        <v>374867728679</v>
      </c>
      <c r="F579" s="14">
        <v>374867728679</v>
      </c>
    </row>
    <row r="580" spans="1:6" x14ac:dyDescent="0.35">
      <c r="A580" t="s">
        <v>1940</v>
      </c>
      <c r="B580" t="s">
        <v>102</v>
      </c>
      <c r="C580" s="14">
        <v>0</v>
      </c>
      <c r="D580" s="14">
        <v>0</v>
      </c>
      <c r="E580" s="14">
        <v>0</v>
      </c>
      <c r="F580" s="14">
        <v>0</v>
      </c>
    </row>
    <row r="581" spans="1:6" x14ac:dyDescent="0.35">
      <c r="A581" t="s">
        <v>1940</v>
      </c>
      <c r="B581" t="s">
        <v>103</v>
      </c>
      <c r="C581" s="14">
        <v>161570844814</v>
      </c>
      <c r="D581" s="14">
        <v>230397934814</v>
      </c>
      <c r="E581" s="14">
        <v>287862064814</v>
      </c>
      <c r="F581" s="14">
        <v>287862064814</v>
      </c>
    </row>
    <row r="582" spans="1:6" x14ac:dyDescent="0.35">
      <c r="A582" t="s">
        <v>1940</v>
      </c>
      <c r="B582" t="s">
        <v>104</v>
      </c>
      <c r="C582" s="14">
        <v>0</v>
      </c>
      <c r="D582" s="14">
        <v>0</v>
      </c>
      <c r="E582" s="14">
        <v>0</v>
      </c>
      <c r="F582" s="14">
        <v>0</v>
      </c>
    </row>
    <row r="583" spans="1:6" x14ac:dyDescent="0.35">
      <c r="A583" t="s">
        <v>1940</v>
      </c>
      <c r="B583" t="s">
        <v>105</v>
      </c>
      <c r="C583" s="14">
        <v>0</v>
      </c>
      <c r="D583" s="14">
        <v>0</v>
      </c>
      <c r="E583" s="14">
        <v>0</v>
      </c>
      <c r="F583" s="14">
        <v>0</v>
      </c>
    </row>
    <row r="584" spans="1:6" x14ac:dyDescent="0.35">
      <c r="A584" t="s">
        <v>1940</v>
      </c>
      <c r="B584" t="s">
        <v>106</v>
      </c>
      <c r="C584" s="14">
        <v>-39818876122</v>
      </c>
      <c r="D584" s="14">
        <v>-74164653352</v>
      </c>
      <c r="E584" s="14">
        <v>-163791048417</v>
      </c>
      <c r="F584" s="14">
        <v>-221042249018</v>
      </c>
    </row>
    <row r="585" spans="1:6" x14ac:dyDescent="0.35">
      <c r="A585" t="s">
        <v>1940</v>
      </c>
      <c r="B585" t="s">
        <v>107</v>
      </c>
      <c r="C585" s="14">
        <v>51211243573</v>
      </c>
      <c r="D585" s="14">
        <v>51211243573</v>
      </c>
      <c r="E585" s="14">
        <v>17595337214</v>
      </c>
      <c r="F585" s="14">
        <v>23516835886</v>
      </c>
    </row>
    <row r="586" spans="1:6" x14ac:dyDescent="0.35">
      <c r="A586" t="s">
        <v>1940</v>
      </c>
      <c r="B586" t="s">
        <v>108</v>
      </c>
      <c r="C586" s="14">
        <v>0</v>
      </c>
      <c r="D586" s="14">
        <v>0</v>
      </c>
      <c r="E586" s="14">
        <v>0</v>
      </c>
      <c r="F586" s="14">
        <v>0</v>
      </c>
    </row>
    <row r="587" spans="1:6" x14ac:dyDescent="0.35">
      <c r="A587" t="s">
        <v>1940</v>
      </c>
      <c r="B587" t="s">
        <v>109</v>
      </c>
      <c r="C587" s="14">
        <v>0</v>
      </c>
      <c r="D587" s="14">
        <v>0</v>
      </c>
      <c r="E587" s="14">
        <v>0</v>
      </c>
      <c r="F587" s="14">
        <v>0</v>
      </c>
    </row>
    <row r="588" spans="1:6" x14ac:dyDescent="0.35">
      <c r="A588" t="s">
        <v>1940</v>
      </c>
      <c r="B588" t="s">
        <v>110</v>
      </c>
      <c r="C588" s="14">
        <v>1300731894659</v>
      </c>
      <c r="D588" s="14">
        <v>1933558155754</v>
      </c>
      <c r="E588" s="14">
        <v>2340643775792</v>
      </c>
      <c r="F588" s="14">
        <v>2394212376883</v>
      </c>
    </row>
    <row r="589" spans="1:6" x14ac:dyDescent="0.35">
      <c r="A589" t="s">
        <v>1940</v>
      </c>
      <c r="B589" t="s">
        <v>111</v>
      </c>
      <c r="C589" s="14">
        <v>610926415665</v>
      </c>
      <c r="D589" s="14">
        <v>1093861388024</v>
      </c>
      <c r="E589" s="14">
        <v>1391258428893</v>
      </c>
      <c r="F589" s="14">
        <v>1729134345792</v>
      </c>
    </row>
    <row r="590" spans="1:6" x14ac:dyDescent="0.35">
      <c r="A590" t="s">
        <v>1940</v>
      </c>
      <c r="B590" t="s">
        <v>112</v>
      </c>
      <c r="C590" s="14">
        <v>689805478994</v>
      </c>
      <c r="D590" s="14">
        <v>839696767730</v>
      </c>
      <c r="E590" s="14">
        <v>949385346899</v>
      </c>
      <c r="F590" s="14">
        <v>665078031091</v>
      </c>
    </row>
    <row r="591" spans="1:6" x14ac:dyDescent="0.35">
      <c r="A591" t="s">
        <v>1940</v>
      </c>
      <c r="B591" t="s">
        <v>113</v>
      </c>
      <c r="C591" s="14">
        <v>0</v>
      </c>
      <c r="D591" s="14">
        <v>0</v>
      </c>
      <c r="E591" s="14">
        <v>0</v>
      </c>
      <c r="F591" s="14">
        <v>0</v>
      </c>
    </row>
    <row r="592" spans="1:6" x14ac:dyDescent="0.35">
      <c r="A592" t="s">
        <v>1940</v>
      </c>
      <c r="B592" t="s">
        <v>114</v>
      </c>
      <c r="C592" s="14">
        <v>960587566932</v>
      </c>
      <c r="D592" s="14">
        <v>1056646707794</v>
      </c>
      <c r="E592" s="14">
        <v>1244774709933</v>
      </c>
      <c r="F592" s="14">
        <v>1311762966201</v>
      </c>
    </row>
    <row r="593" spans="1:6" x14ac:dyDescent="0.35">
      <c r="A593" t="s">
        <v>1940</v>
      </c>
      <c r="B593" t="s">
        <v>115</v>
      </c>
      <c r="C593" s="14">
        <v>0</v>
      </c>
      <c r="D593" s="14">
        <v>0</v>
      </c>
      <c r="E593" s="14">
        <v>0</v>
      </c>
      <c r="F593" s="14">
        <v>0</v>
      </c>
    </row>
    <row r="594" spans="1:6" x14ac:dyDescent="0.35">
      <c r="A594" t="s">
        <v>1940</v>
      </c>
      <c r="B594" t="s">
        <v>116</v>
      </c>
      <c r="C594" s="14">
        <v>0</v>
      </c>
      <c r="D594" s="14">
        <v>0</v>
      </c>
      <c r="E594" s="14">
        <v>0</v>
      </c>
      <c r="F594" s="14">
        <v>0</v>
      </c>
    </row>
    <row r="595" spans="1:6" x14ac:dyDescent="0.35">
      <c r="A595" t="s">
        <v>1940</v>
      </c>
      <c r="B595" t="s">
        <v>117</v>
      </c>
      <c r="C595" s="14">
        <v>0</v>
      </c>
      <c r="D595" s="14">
        <v>0</v>
      </c>
      <c r="E595" s="14">
        <v>0</v>
      </c>
      <c r="F595" s="14">
        <v>0</v>
      </c>
    </row>
    <row r="596" spans="1:6" x14ac:dyDescent="0.35">
      <c r="A596" t="s">
        <v>1940</v>
      </c>
      <c r="B596" t="s">
        <v>118</v>
      </c>
      <c r="C596" s="14">
        <v>13878647734807</v>
      </c>
      <c r="D596" s="14">
        <v>15891543990097</v>
      </c>
      <c r="E596" s="14">
        <v>15104924433426</v>
      </c>
      <c r="F596" s="14">
        <v>14438351768092</v>
      </c>
    </row>
    <row r="597" spans="1:6" x14ac:dyDescent="0.35">
      <c r="A597" t="s">
        <v>1941</v>
      </c>
      <c r="B597" t="s">
        <v>6</v>
      </c>
      <c r="C597" s="14">
        <v>0</v>
      </c>
      <c r="D597" s="14">
        <v>0</v>
      </c>
      <c r="E597" s="14">
        <v>0</v>
      </c>
      <c r="F597" s="14">
        <v>0</v>
      </c>
    </row>
    <row r="598" spans="1:6" x14ac:dyDescent="0.35">
      <c r="A598" t="s">
        <v>1941</v>
      </c>
      <c r="B598" t="s">
        <v>7</v>
      </c>
      <c r="C598" s="14">
        <v>3980558292219</v>
      </c>
      <c r="D598" s="14">
        <v>3667580449339</v>
      </c>
      <c r="E598" s="14">
        <v>3869585657302</v>
      </c>
      <c r="F598" s="14">
        <v>4819620232177</v>
      </c>
    </row>
    <row r="599" spans="1:6" x14ac:dyDescent="0.35">
      <c r="A599" t="s">
        <v>1941</v>
      </c>
      <c r="B599" t="s">
        <v>8</v>
      </c>
      <c r="C599" s="14">
        <v>242176851079</v>
      </c>
      <c r="D599" s="14">
        <v>256136123821</v>
      </c>
      <c r="E599" s="14">
        <v>100866753630</v>
      </c>
      <c r="F599" s="14">
        <v>731958407866</v>
      </c>
    </row>
    <row r="600" spans="1:6" x14ac:dyDescent="0.35">
      <c r="A600" t="s">
        <v>1941</v>
      </c>
      <c r="B600" t="s">
        <v>9</v>
      </c>
      <c r="C600" s="14">
        <v>242176851079</v>
      </c>
      <c r="D600" s="14">
        <v>244536123821</v>
      </c>
      <c r="E600" s="14">
        <v>31996753630</v>
      </c>
      <c r="F600" s="14">
        <v>484938407866</v>
      </c>
    </row>
    <row r="601" spans="1:6" x14ac:dyDescent="0.35">
      <c r="A601" t="s">
        <v>1941</v>
      </c>
      <c r="B601" t="s">
        <v>10</v>
      </c>
      <c r="C601" s="14">
        <v>0</v>
      </c>
      <c r="D601" s="14">
        <v>11600000000</v>
      </c>
      <c r="E601" s="14">
        <v>68870000000</v>
      </c>
      <c r="F601" s="14">
        <v>247020000000</v>
      </c>
    </row>
    <row r="602" spans="1:6" x14ac:dyDescent="0.35">
      <c r="A602" t="s">
        <v>1941</v>
      </c>
      <c r="B602" t="s">
        <v>11</v>
      </c>
      <c r="C602" s="14">
        <v>38745000000</v>
      </c>
      <c r="D602" s="14">
        <v>259432451700</v>
      </c>
      <c r="E602" s="14">
        <v>24375842809</v>
      </c>
      <c r="F602" s="14">
        <v>31180996609</v>
      </c>
    </row>
    <row r="603" spans="1:6" x14ac:dyDescent="0.35">
      <c r="A603" t="s">
        <v>1941</v>
      </c>
      <c r="B603" t="s">
        <v>12</v>
      </c>
      <c r="C603" s="14">
        <v>0</v>
      </c>
      <c r="D603" s="14">
        <v>0</v>
      </c>
      <c r="E603" s="14">
        <v>0</v>
      </c>
      <c r="F603" s="14">
        <v>0</v>
      </c>
    </row>
    <row r="604" spans="1:6" x14ac:dyDescent="0.35">
      <c r="A604" t="s">
        <v>1941</v>
      </c>
      <c r="B604" t="s">
        <v>13</v>
      </c>
      <c r="C604" s="14">
        <v>0</v>
      </c>
      <c r="D604" s="14">
        <v>0</v>
      </c>
      <c r="E604" s="14">
        <v>0</v>
      </c>
      <c r="F604" s="14">
        <v>0</v>
      </c>
    </row>
    <row r="605" spans="1:6" x14ac:dyDescent="0.35">
      <c r="A605" t="s">
        <v>1941</v>
      </c>
      <c r="B605" t="s">
        <v>14</v>
      </c>
      <c r="C605" s="14">
        <v>38745000000</v>
      </c>
      <c r="D605" s="14">
        <v>259432451700</v>
      </c>
      <c r="E605" s="14">
        <v>24375842809</v>
      </c>
      <c r="F605" s="14">
        <v>31180996609</v>
      </c>
    </row>
    <row r="606" spans="1:6" x14ac:dyDescent="0.35">
      <c r="A606" t="s">
        <v>1941</v>
      </c>
      <c r="B606" t="s">
        <v>15</v>
      </c>
      <c r="C606" s="14">
        <v>3042802787585</v>
      </c>
      <c r="D606" s="14">
        <v>2198511663874</v>
      </c>
      <c r="E606" s="14">
        <v>2420668997318</v>
      </c>
      <c r="F606" s="14">
        <v>2539669747705</v>
      </c>
    </row>
    <row r="607" spans="1:6" x14ac:dyDescent="0.35">
      <c r="A607" t="s">
        <v>1941</v>
      </c>
      <c r="B607" t="s">
        <v>16</v>
      </c>
      <c r="C607" s="14">
        <v>2386355899338</v>
      </c>
      <c r="D607" s="14">
        <v>1617764294821</v>
      </c>
      <c r="E607" s="14">
        <v>1852640100322</v>
      </c>
      <c r="F607" s="14">
        <v>1801750795674</v>
      </c>
    </row>
    <row r="608" spans="1:6" x14ac:dyDescent="0.35">
      <c r="A608" t="s">
        <v>1941</v>
      </c>
      <c r="B608" t="s">
        <v>17</v>
      </c>
      <c r="C608" s="14">
        <v>287482034919</v>
      </c>
      <c r="D608" s="14">
        <v>325516718867</v>
      </c>
      <c r="E608" s="14">
        <v>258117775691</v>
      </c>
      <c r="F608" s="14">
        <v>433716854313</v>
      </c>
    </row>
    <row r="609" spans="1:6" x14ac:dyDescent="0.35">
      <c r="A609" t="s">
        <v>1941</v>
      </c>
      <c r="B609" t="s">
        <v>18</v>
      </c>
      <c r="C609" s="14">
        <v>0</v>
      </c>
      <c r="D609" s="14">
        <v>0</v>
      </c>
      <c r="E609" s="14">
        <v>0</v>
      </c>
      <c r="F609" s="14">
        <v>0</v>
      </c>
    </row>
    <row r="610" spans="1:6" x14ac:dyDescent="0.35">
      <c r="A610" t="s">
        <v>1941</v>
      </c>
      <c r="B610" t="s">
        <v>19</v>
      </c>
      <c r="C610" s="14">
        <v>0</v>
      </c>
      <c r="D610" s="14">
        <v>0</v>
      </c>
      <c r="E610" s="14">
        <v>0</v>
      </c>
      <c r="F610" s="14">
        <v>0</v>
      </c>
    </row>
    <row r="611" spans="1:6" x14ac:dyDescent="0.35">
      <c r="A611" t="s">
        <v>1941</v>
      </c>
      <c r="B611" t="s">
        <v>20</v>
      </c>
      <c r="C611" s="14">
        <v>85771418391</v>
      </c>
      <c r="D611" s="14">
        <v>59971418391</v>
      </c>
      <c r="E611" s="14">
        <v>62971418391</v>
      </c>
      <c r="F611" s="14">
        <v>69927385693</v>
      </c>
    </row>
    <row r="612" spans="1:6" x14ac:dyDescent="0.35">
      <c r="A612" t="s">
        <v>1941</v>
      </c>
      <c r="B612" t="s">
        <v>21</v>
      </c>
      <c r="C612" s="14">
        <v>389020227705</v>
      </c>
      <c r="D612" s="14">
        <v>305089767589</v>
      </c>
      <c r="E612" s="14">
        <v>368103367438</v>
      </c>
      <c r="F612" s="14">
        <v>386500294905</v>
      </c>
    </row>
    <row r="613" spans="1:6" x14ac:dyDescent="0.35">
      <c r="A613" t="s">
        <v>1941</v>
      </c>
      <c r="B613" t="s">
        <v>22</v>
      </c>
      <c r="C613" s="14">
        <v>-105826792768</v>
      </c>
      <c r="D613" s="14">
        <v>-109830535794</v>
      </c>
      <c r="E613" s="14">
        <v>-121163664524</v>
      </c>
      <c r="F613" s="14">
        <v>-152225582880</v>
      </c>
    </row>
    <row r="614" spans="1:6" x14ac:dyDescent="0.35">
      <c r="A614" t="s">
        <v>1941</v>
      </c>
      <c r="B614" t="s">
        <v>23</v>
      </c>
      <c r="C614" s="14">
        <v>0</v>
      </c>
      <c r="D614" s="14">
        <v>0</v>
      </c>
      <c r="E614" s="14">
        <v>0</v>
      </c>
      <c r="F614" s="14">
        <v>0</v>
      </c>
    </row>
    <row r="615" spans="1:6" x14ac:dyDescent="0.35">
      <c r="A615" t="s">
        <v>1941</v>
      </c>
      <c r="B615" t="s">
        <v>24</v>
      </c>
      <c r="C615" s="14">
        <v>573907426958</v>
      </c>
      <c r="D615" s="14">
        <v>836549605500</v>
      </c>
      <c r="E615" s="14">
        <v>1183591699927</v>
      </c>
      <c r="F615" s="14">
        <v>1467488974976</v>
      </c>
    </row>
    <row r="616" spans="1:6" x14ac:dyDescent="0.35">
      <c r="A616" t="s">
        <v>1941</v>
      </c>
      <c r="B616" t="s">
        <v>25</v>
      </c>
      <c r="C616" s="14">
        <v>573907426958</v>
      </c>
      <c r="D616" s="14">
        <v>836549605500</v>
      </c>
      <c r="E616" s="14">
        <v>1183591699927</v>
      </c>
      <c r="F616" s="14">
        <v>1491707393429</v>
      </c>
    </row>
    <row r="617" spans="1:6" x14ac:dyDescent="0.35">
      <c r="A617" t="s">
        <v>1941</v>
      </c>
      <c r="B617" t="s">
        <v>26</v>
      </c>
      <c r="C617" s="14">
        <v>0</v>
      </c>
      <c r="D617" s="14">
        <v>0</v>
      </c>
      <c r="E617" s="14">
        <v>0</v>
      </c>
      <c r="F617" s="14">
        <v>-24218418453</v>
      </c>
    </row>
    <row r="618" spans="1:6" x14ac:dyDescent="0.35">
      <c r="A618" t="s">
        <v>1941</v>
      </c>
      <c r="B618" t="s">
        <v>27</v>
      </c>
      <c r="C618" s="14">
        <v>82926226597</v>
      </c>
      <c r="D618" s="14">
        <v>116950604444</v>
      </c>
      <c r="E618" s="14">
        <v>140082363618</v>
      </c>
      <c r="F618" s="14">
        <v>49322105021</v>
      </c>
    </row>
    <row r="619" spans="1:6" x14ac:dyDescent="0.35">
      <c r="A619" t="s">
        <v>1941</v>
      </c>
      <c r="B619" t="s">
        <v>28</v>
      </c>
      <c r="C619" s="14">
        <v>1316666536</v>
      </c>
      <c r="D619" s="14">
        <v>508107407</v>
      </c>
      <c r="E619" s="14">
        <v>127208712</v>
      </c>
      <c r="F619" s="14">
        <v>1689887093</v>
      </c>
    </row>
    <row r="620" spans="1:6" x14ac:dyDescent="0.35">
      <c r="A620" t="s">
        <v>1941</v>
      </c>
      <c r="B620" t="s">
        <v>29</v>
      </c>
      <c r="C620" s="14">
        <v>78784376774</v>
      </c>
      <c r="D620" s="14">
        <v>113586675310</v>
      </c>
      <c r="E620" s="14">
        <v>137015924727</v>
      </c>
      <c r="F620" s="14">
        <v>44619950064</v>
      </c>
    </row>
    <row r="621" spans="1:6" x14ac:dyDescent="0.35">
      <c r="A621" t="s">
        <v>1941</v>
      </c>
      <c r="B621" t="s">
        <v>30</v>
      </c>
      <c r="C621" s="14">
        <v>2825183287</v>
      </c>
      <c r="D621" s="14">
        <v>2855821727</v>
      </c>
      <c r="E621" s="14">
        <v>2939230179</v>
      </c>
      <c r="F621" s="14">
        <v>3012267864</v>
      </c>
    </row>
    <row r="622" spans="1:6" x14ac:dyDescent="0.35">
      <c r="A622" t="s">
        <v>1941</v>
      </c>
      <c r="B622" t="s">
        <v>31</v>
      </c>
      <c r="C622" s="14">
        <v>0</v>
      </c>
      <c r="D622" s="14">
        <v>0</v>
      </c>
      <c r="E622" s="14">
        <v>0</v>
      </c>
      <c r="F622" s="14">
        <v>0</v>
      </c>
    </row>
    <row r="623" spans="1:6" x14ac:dyDescent="0.35">
      <c r="A623" t="s">
        <v>1941</v>
      </c>
      <c r="B623" t="s">
        <v>32</v>
      </c>
      <c r="C623" s="14">
        <v>0</v>
      </c>
      <c r="D623" s="14">
        <v>0</v>
      </c>
      <c r="E623" s="14">
        <v>0</v>
      </c>
      <c r="F623" s="14">
        <v>0</v>
      </c>
    </row>
    <row r="624" spans="1:6" x14ac:dyDescent="0.35">
      <c r="A624" t="s">
        <v>1941</v>
      </c>
      <c r="B624" t="s">
        <v>33</v>
      </c>
      <c r="C624" s="14">
        <v>2151934380562</v>
      </c>
      <c r="D624" s="14">
        <v>2136953036777</v>
      </c>
      <c r="E624" s="14">
        <v>1178258169179</v>
      </c>
      <c r="F624" s="14">
        <v>1159515119038</v>
      </c>
    </row>
    <row r="625" spans="1:6" x14ac:dyDescent="0.35">
      <c r="A625" t="s">
        <v>1941</v>
      </c>
      <c r="B625" t="s">
        <v>34</v>
      </c>
      <c r="C625" s="14">
        <v>6367569000</v>
      </c>
      <c r="D625" s="14">
        <v>36097880554</v>
      </c>
      <c r="E625" s="14">
        <v>38459454948</v>
      </c>
      <c r="F625" s="14">
        <v>53004177232</v>
      </c>
    </row>
    <row r="626" spans="1:6" x14ac:dyDescent="0.35">
      <c r="A626" t="s">
        <v>1941</v>
      </c>
      <c r="B626" t="s">
        <v>35</v>
      </c>
      <c r="C626" s="14">
        <v>0</v>
      </c>
      <c r="D626" s="14">
        <v>0</v>
      </c>
      <c r="E626" s="14">
        <v>0</v>
      </c>
      <c r="F626" s="14">
        <v>0</v>
      </c>
    </row>
    <row r="627" spans="1:6" x14ac:dyDescent="0.35">
      <c r="A627" t="s">
        <v>1941</v>
      </c>
      <c r="B627" t="s">
        <v>36</v>
      </c>
      <c r="C627" s="14">
        <v>0</v>
      </c>
      <c r="D627" s="14">
        <v>0</v>
      </c>
      <c r="E627" s="14">
        <v>0</v>
      </c>
      <c r="F627" s="14">
        <v>0</v>
      </c>
    </row>
    <row r="628" spans="1:6" x14ac:dyDescent="0.35">
      <c r="A628" t="s">
        <v>1941</v>
      </c>
      <c r="B628" t="s">
        <v>37</v>
      </c>
      <c r="C628" s="14">
        <v>0</v>
      </c>
      <c r="D628" s="14">
        <v>0</v>
      </c>
      <c r="E628" s="14">
        <v>0</v>
      </c>
      <c r="F628" s="14">
        <v>0</v>
      </c>
    </row>
    <row r="629" spans="1:6" x14ac:dyDescent="0.35">
      <c r="A629" t="s">
        <v>1941</v>
      </c>
      <c r="B629" t="s">
        <v>38</v>
      </c>
      <c r="C629" s="14">
        <v>0</v>
      </c>
      <c r="D629" s="14">
        <v>0</v>
      </c>
      <c r="E629" s="14">
        <v>0</v>
      </c>
      <c r="F629" s="14">
        <v>0</v>
      </c>
    </row>
    <row r="630" spans="1:6" x14ac:dyDescent="0.35">
      <c r="A630" t="s">
        <v>1941</v>
      </c>
      <c r="B630" t="s">
        <v>39</v>
      </c>
      <c r="C630" s="14">
        <v>0</v>
      </c>
      <c r="D630" s="14">
        <v>0</v>
      </c>
      <c r="E630" s="14">
        <v>0</v>
      </c>
      <c r="F630" s="14">
        <v>0</v>
      </c>
    </row>
    <row r="631" spans="1:6" x14ac:dyDescent="0.35">
      <c r="A631" t="s">
        <v>1941</v>
      </c>
      <c r="B631" t="s">
        <v>40</v>
      </c>
      <c r="C631" s="14">
        <v>6367569000</v>
      </c>
      <c r="D631" s="14">
        <v>36097880554</v>
      </c>
      <c r="E631" s="14">
        <v>38459454948</v>
      </c>
      <c r="F631" s="14">
        <v>53004177232</v>
      </c>
    </row>
    <row r="632" spans="1:6" x14ac:dyDescent="0.35">
      <c r="A632" t="s">
        <v>1941</v>
      </c>
      <c r="B632" t="s">
        <v>41</v>
      </c>
      <c r="C632" s="14">
        <v>0</v>
      </c>
      <c r="D632" s="14">
        <v>0</v>
      </c>
      <c r="E632" s="14">
        <v>0</v>
      </c>
      <c r="F632" s="14">
        <v>0</v>
      </c>
    </row>
    <row r="633" spans="1:6" x14ac:dyDescent="0.35">
      <c r="A633" t="s">
        <v>1941</v>
      </c>
      <c r="B633" t="s">
        <v>42</v>
      </c>
      <c r="C633" s="14">
        <v>1282996371700</v>
      </c>
      <c r="D633" s="14">
        <v>1247878982995</v>
      </c>
      <c r="E633" s="14">
        <v>270583913275</v>
      </c>
      <c r="F633" s="14">
        <v>387393580722</v>
      </c>
    </row>
    <row r="634" spans="1:6" x14ac:dyDescent="0.35">
      <c r="A634" t="s">
        <v>1941</v>
      </c>
      <c r="B634" t="s">
        <v>43</v>
      </c>
      <c r="C634" s="14">
        <v>1254529098974</v>
      </c>
      <c r="D634" s="14">
        <v>1146859917914</v>
      </c>
      <c r="E634" s="14">
        <v>165439125041</v>
      </c>
      <c r="F634" s="14">
        <v>130598375532</v>
      </c>
    </row>
    <row r="635" spans="1:6" x14ac:dyDescent="0.35">
      <c r="A635" t="s">
        <v>1941</v>
      </c>
      <c r="B635" t="s">
        <v>44</v>
      </c>
      <c r="C635" s="14">
        <v>1506484515049</v>
      </c>
      <c r="D635" s="14">
        <v>1513806076169</v>
      </c>
      <c r="E635" s="14">
        <v>506787520483</v>
      </c>
      <c r="F635" s="14">
        <v>550976832692</v>
      </c>
    </row>
    <row r="636" spans="1:6" x14ac:dyDescent="0.35">
      <c r="A636" t="s">
        <v>1941</v>
      </c>
      <c r="B636" t="s">
        <v>45</v>
      </c>
      <c r="C636" s="14">
        <v>-251955416075</v>
      </c>
      <c r="D636" s="14">
        <v>-366946158255</v>
      </c>
      <c r="E636" s="14">
        <v>-341348395442</v>
      </c>
      <c r="F636" s="14">
        <v>-420378457160</v>
      </c>
    </row>
    <row r="637" spans="1:6" x14ac:dyDescent="0.35">
      <c r="A637" t="s">
        <v>1941</v>
      </c>
      <c r="B637" t="s">
        <v>46</v>
      </c>
      <c r="C637" s="14">
        <v>28073001829</v>
      </c>
      <c r="D637" s="14">
        <v>100821738465</v>
      </c>
      <c r="E637" s="14">
        <v>105094756618</v>
      </c>
      <c r="F637" s="14">
        <v>256795205190</v>
      </c>
    </row>
    <row r="638" spans="1:6" x14ac:dyDescent="0.35">
      <c r="A638" t="s">
        <v>1941</v>
      </c>
      <c r="B638" t="s">
        <v>44</v>
      </c>
      <c r="C638" s="14">
        <v>51959740014</v>
      </c>
      <c r="D638" s="14">
        <v>141925065640</v>
      </c>
      <c r="E638" s="14">
        <v>168766939973</v>
      </c>
      <c r="F638" s="14">
        <v>347089146333</v>
      </c>
    </row>
    <row r="639" spans="1:6" x14ac:dyDescent="0.35">
      <c r="A639" t="s">
        <v>1941</v>
      </c>
      <c r="B639" t="s">
        <v>45</v>
      </c>
      <c r="C639" s="14">
        <v>-23886738185</v>
      </c>
      <c r="D639" s="14">
        <v>-41103327175</v>
      </c>
      <c r="E639" s="14">
        <v>-63672183355</v>
      </c>
      <c r="F639" s="14">
        <v>-90293941143</v>
      </c>
    </row>
    <row r="640" spans="1:6" x14ac:dyDescent="0.35">
      <c r="A640" t="s">
        <v>1941</v>
      </c>
      <c r="B640" t="s">
        <v>47</v>
      </c>
      <c r="C640" s="14">
        <v>394270897</v>
      </c>
      <c r="D640" s="14">
        <v>197326616</v>
      </c>
      <c r="E640" s="14">
        <v>50031616</v>
      </c>
      <c r="F640" s="14">
        <v>0</v>
      </c>
    </row>
    <row r="641" spans="1:6" x14ac:dyDescent="0.35">
      <c r="A641" t="s">
        <v>1941</v>
      </c>
      <c r="B641" t="s">
        <v>44</v>
      </c>
      <c r="C641" s="14">
        <v>10254240000</v>
      </c>
      <c r="D641" s="14">
        <v>10254240000</v>
      </c>
      <c r="E641" s="14">
        <v>10254240000</v>
      </c>
      <c r="F641" s="14">
        <v>10254240000</v>
      </c>
    </row>
    <row r="642" spans="1:6" x14ac:dyDescent="0.35">
      <c r="A642" t="s">
        <v>1941</v>
      </c>
      <c r="B642" t="s">
        <v>45</v>
      </c>
      <c r="C642" s="14">
        <v>-9859969103</v>
      </c>
      <c r="D642" s="14">
        <v>-10056913384</v>
      </c>
      <c r="E642" s="14">
        <v>-10204208384</v>
      </c>
      <c r="F642" s="14">
        <v>-10254240000</v>
      </c>
    </row>
    <row r="643" spans="1:6" x14ac:dyDescent="0.35">
      <c r="A643" t="s">
        <v>1941</v>
      </c>
      <c r="B643" t="s">
        <v>48</v>
      </c>
      <c r="C643" s="14">
        <v>0</v>
      </c>
      <c r="D643" s="14">
        <v>0</v>
      </c>
      <c r="E643" s="14">
        <v>0</v>
      </c>
      <c r="F643" s="14">
        <v>0</v>
      </c>
    </row>
    <row r="644" spans="1:6" x14ac:dyDescent="0.35">
      <c r="A644" t="s">
        <v>1941</v>
      </c>
      <c r="B644" t="s">
        <v>44</v>
      </c>
      <c r="C644" s="14">
        <v>0</v>
      </c>
      <c r="D644" s="14">
        <v>0</v>
      </c>
      <c r="E644" s="14">
        <v>0</v>
      </c>
      <c r="F644" s="14">
        <v>0</v>
      </c>
    </row>
    <row r="645" spans="1:6" x14ac:dyDescent="0.35">
      <c r="A645" t="s">
        <v>1941</v>
      </c>
      <c r="B645" t="s">
        <v>45</v>
      </c>
      <c r="C645" s="14">
        <v>0</v>
      </c>
      <c r="D645" s="14">
        <v>0</v>
      </c>
      <c r="E645" s="14">
        <v>0</v>
      </c>
      <c r="F645" s="14">
        <v>0</v>
      </c>
    </row>
    <row r="646" spans="1:6" x14ac:dyDescent="0.35">
      <c r="A646" t="s">
        <v>1941</v>
      </c>
      <c r="B646" t="s">
        <v>49</v>
      </c>
      <c r="C646" s="14">
        <v>77424207031</v>
      </c>
      <c r="D646" s="14">
        <v>74416366894</v>
      </c>
      <c r="E646" s="14">
        <v>76496376547</v>
      </c>
      <c r="F646" s="14">
        <v>76421371547</v>
      </c>
    </row>
    <row r="647" spans="1:6" x14ac:dyDescent="0.35">
      <c r="A647" t="s">
        <v>1941</v>
      </c>
      <c r="B647" t="s">
        <v>50</v>
      </c>
      <c r="C647" s="14">
        <v>0</v>
      </c>
      <c r="D647" s="14">
        <v>0</v>
      </c>
      <c r="E647" s="14">
        <v>0</v>
      </c>
      <c r="F647" s="14">
        <v>0</v>
      </c>
    </row>
    <row r="648" spans="1:6" x14ac:dyDescent="0.35">
      <c r="A648" t="s">
        <v>1941</v>
      </c>
      <c r="B648" t="s">
        <v>51</v>
      </c>
      <c r="C648" s="14">
        <v>77424207031</v>
      </c>
      <c r="D648" s="14">
        <v>74416366894</v>
      </c>
      <c r="E648" s="14">
        <v>76496376547</v>
      </c>
      <c r="F648" s="14">
        <v>76421371547</v>
      </c>
    </row>
    <row r="649" spans="1:6" x14ac:dyDescent="0.35">
      <c r="A649" t="s">
        <v>1941</v>
      </c>
      <c r="B649" t="s">
        <v>52</v>
      </c>
      <c r="C649" s="14">
        <v>704457316745</v>
      </c>
      <c r="D649" s="14">
        <v>702555946682</v>
      </c>
      <c r="E649" s="14">
        <v>759655946682</v>
      </c>
      <c r="F649" s="14">
        <v>577633246013</v>
      </c>
    </row>
    <row r="650" spans="1:6" x14ac:dyDescent="0.35">
      <c r="A650" t="s">
        <v>1941</v>
      </c>
      <c r="B650" t="s">
        <v>53</v>
      </c>
      <c r="C650" s="14">
        <v>0</v>
      </c>
      <c r="D650" s="14">
        <v>0</v>
      </c>
      <c r="E650" s="14">
        <v>0</v>
      </c>
      <c r="F650" s="14">
        <v>0</v>
      </c>
    </row>
    <row r="651" spans="1:6" x14ac:dyDescent="0.35">
      <c r="A651" t="s">
        <v>1941</v>
      </c>
      <c r="B651" t="s">
        <v>54</v>
      </c>
      <c r="C651" s="14">
        <v>216998526745</v>
      </c>
      <c r="D651" s="14">
        <v>215097156682</v>
      </c>
      <c r="E651" s="14">
        <v>250597156682</v>
      </c>
      <c r="F651" s="14">
        <v>96321963939</v>
      </c>
    </row>
    <row r="652" spans="1:6" x14ac:dyDescent="0.35">
      <c r="A652" t="s">
        <v>1941</v>
      </c>
      <c r="B652" t="s">
        <v>55</v>
      </c>
      <c r="C652" s="14">
        <v>485558790000</v>
      </c>
      <c r="D652" s="14">
        <v>485558790000</v>
      </c>
      <c r="E652" s="14">
        <v>485558790000</v>
      </c>
      <c r="F652" s="14">
        <v>485558790000</v>
      </c>
    </row>
    <row r="653" spans="1:6" x14ac:dyDescent="0.35">
      <c r="A653" t="s">
        <v>1941</v>
      </c>
      <c r="B653" t="s">
        <v>56</v>
      </c>
      <c r="C653" s="14">
        <v>0</v>
      </c>
      <c r="D653" s="14">
        <v>0</v>
      </c>
      <c r="E653" s="14">
        <v>0</v>
      </c>
      <c r="F653" s="14">
        <v>-6147507926</v>
      </c>
    </row>
    <row r="654" spans="1:6" x14ac:dyDescent="0.35">
      <c r="A654" t="s">
        <v>1941</v>
      </c>
      <c r="B654" t="s">
        <v>57</v>
      </c>
      <c r="C654" s="14">
        <v>1900000000</v>
      </c>
      <c r="D654" s="14">
        <v>1900000000</v>
      </c>
      <c r="E654" s="14">
        <v>23500000000</v>
      </c>
      <c r="F654" s="14">
        <v>1900000000</v>
      </c>
    </row>
    <row r="655" spans="1:6" x14ac:dyDescent="0.35">
      <c r="A655" t="s">
        <v>1941</v>
      </c>
      <c r="B655" t="s">
        <v>58</v>
      </c>
      <c r="C655" s="14">
        <v>80688916086</v>
      </c>
      <c r="D655" s="14">
        <v>76003859652</v>
      </c>
      <c r="E655" s="14">
        <v>33062477727</v>
      </c>
      <c r="F655" s="14">
        <v>65062743524</v>
      </c>
    </row>
    <row r="656" spans="1:6" x14ac:dyDescent="0.35">
      <c r="A656" t="s">
        <v>1941</v>
      </c>
      <c r="B656" t="s">
        <v>59</v>
      </c>
      <c r="C656" s="14">
        <v>410377783</v>
      </c>
      <c r="D656" s="14">
        <v>382070250</v>
      </c>
      <c r="E656" s="14">
        <v>258176215</v>
      </c>
      <c r="F656" s="14">
        <v>27088596916</v>
      </c>
    </row>
    <row r="657" spans="1:6" x14ac:dyDescent="0.35">
      <c r="A657" t="s">
        <v>1941</v>
      </c>
      <c r="B657" t="s">
        <v>60</v>
      </c>
      <c r="C657" s="14">
        <v>27506579030</v>
      </c>
      <c r="D657" s="14">
        <v>28941422452</v>
      </c>
      <c r="E657" s="14">
        <v>26839636107</v>
      </c>
      <c r="F657" s="14">
        <v>33792969437</v>
      </c>
    </row>
    <row r="658" spans="1:6" x14ac:dyDescent="0.35">
      <c r="A658" t="s">
        <v>1941</v>
      </c>
      <c r="B658" t="s">
        <v>61</v>
      </c>
      <c r="C658" s="14">
        <v>0</v>
      </c>
      <c r="D658" s="14">
        <v>0</v>
      </c>
      <c r="E658" s="14">
        <v>0</v>
      </c>
      <c r="F658" s="14">
        <v>0</v>
      </c>
    </row>
    <row r="659" spans="1:6" x14ac:dyDescent="0.35">
      <c r="A659" t="s">
        <v>1941</v>
      </c>
      <c r="B659" t="s">
        <v>62</v>
      </c>
      <c r="C659" s="14">
        <v>0</v>
      </c>
      <c r="D659" s="14">
        <v>0</v>
      </c>
      <c r="E659" s="14">
        <v>0</v>
      </c>
      <c r="F659" s="14">
        <v>0</v>
      </c>
    </row>
    <row r="660" spans="1:6" x14ac:dyDescent="0.35">
      <c r="A660" t="s">
        <v>1941</v>
      </c>
      <c r="B660" t="s">
        <v>63</v>
      </c>
      <c r="C660" s="14">
        <v>52771959273</v>
      </c>
      <c r="D660" s="14">
        <v>46680366950</v>
      </c>
      <c r="E660" s="14">
        <v>5964665405</v>
      </c>
      <c r="F660" s="14">
        <v>4181177171</v>
      </c>
    </row>
    <row r="661" spans="1:6" x14ac:dyDescent="0.35">
      <c r="A661" t="s">
        <v>1941</v>
      </c>
      <c r="B661" t="s">
        <v>64</v>
      </c>
      <c r="C661" s="14">
        <v>6132492672781</v>
      </c>
      <c r="D661" s="14">
        <v>5804533486116</v>
      </c>
      <c r="E661" s="14">
        <v>5047843826481</v>
      </c>
      <c r="F661" s="14">
        <v>5979135351215</v>
      </c>
    </row>
    <row r="662" spans="1:6" x14ac:dyDescent="0.35">
      <c r="A662" t="s">
        <v>1941</v>
      </c>
      <c r="B662" t="s">
        <v>65</v>
      </c>
      <c r="C662" s="14">
        <v>0</v>
      </c>
      <c r="D662" s="14">
        <v>0</v>
      </c>
      <c r="E662" s="14">
        <v>0</v>
      </c>
      <c r="F662" s="14">
        <v>0</v>
      </c>
    </row>
    <row r="663" spans="1:6" x14ac:dyDescent="0.35">
      <c r="A663" t="s">
        <v>1941</v>
      </c>
      <c r="B663" t="s">
        <v>66</v>
      </c>
      <c r="C663" s="14">
        <v>4286109465887</v>
      </c>
      <c r="D663" s="14">
        <v>3415916609987</v>
      </c>
      <c r="E663" s="14">
        <v>2464836049593</v>
      </c>
      <c r="F663" s="14">
        <v>3440931178627</v>
      </c>
    </row>
    <row r="664" spans="1:6" x14ac:dyDescent="0.35">
      <c r="A664" t="s">
        <v>1941</v>
      </c>
      <c r="B664" t="s">
        <v>67</v>
      </c>
      <c r="C664" s="14">
        <v>3446967188013</v>
      </c>
      <c r="D664" s="14">
        <v>2564472237878</v>
      </c>
      <c r="E664" s="14">
        <v>2280442537100</v>
      </c>
      <c r="F664" s="14">
        <v>3287661160726</v>
      </c>
    </row>
    <row r="665" spans="1:6" x14ac:dyDescent="0.35">
      <c r="A665" t="s">
        <v>1941</v>
      </c>
      <c r="B665" t="s">
        <v>68</v>
      </c>
      <c r="C665" s="14">
        <v>1523247763301</v>
      </c>
      <c r="D665" s="14">
        <v>763588003510</v>
      </c>
      <c r="E665" s="14">
        <v>584836131359</v>
      </c>
      <c r="F665" s="14">
        <v>711665399582</v>
      </c>
    </row>
    <row r="666" spans="1:6" x14ac:dyDescent="0.35">
      <c r="A666" t="s">
        <v>1941</v>
      </c>
      <c r="B666" t="s">
        <v>69</v>
      </c>
      <c r="C666" s="14">
        <v>640236254439</v>
      </c>
      <c r="D666" s="14">
        <v>547799057563</v>
      </c>
      <c r="E666" s="14">
        <v>388088879051</v>
      </c>
      <c r="F666" s="14">
        <v>1336424008639</v>
      </c>
    </row>
    <row r="667" spans="1:6" x14ac:dyDescent="0.35">
      <c r="A667" t="s">
        <v>1941</v>
      </c>
      <c r="B667" t="s">
        <v>70</v>
      </c>
      <c r="C667" s="14">
        <v>119817990435</v>
      </c>
      <c r="D667" s="14">
        <v>169897022292</v>
      </c>
      <c r="E667" s="14">
        <v>99750014180</v>
      </c>
      <c r="F667" s="14">
        <v>43801216454</v>
      </c>
    </row>
    <row r="668" spans="1:6" x14ac:dyDescent="0.35">
      <c r="A668" t="s">
        <v>1941</v>
      </c>
      <c r="B668" t="s">
        <v>71</v>
      </c>
      <c r="C668" s="14">
        <v>4860907698</v>
      </c>
      <c r="D668" s="14">
        <v>16671998279</v>
      </c>
      <c r="E668" s="14">
        <v>11992483855</v>
      </c>
      <c r="F668" s="14">
        <v>19699053128</v>
      </c>
    </row>
    <row r="669" spans="1:6" x14ac:dyDescent="0.35">
      <c r="A669" t="s">
        <v>1941</v>
      </c>
      <c r="B669" t="s">
        <v>72</v>
      </c>
      <c r="C669" s="14">
        <v>338866242250</v>
      </c>
      <c r="D669" s="14">
        <v>656705755510</v>
      </c>
      <c r="E669" s="14">
        <v>631902550155</v>
      </c>
      <c r="F669" s="14">
        <v>393592105171</v>
      </c>
    </row>
    <row r="670" spans="1:6" x14ac:dyDescent="0.35">
      <c r="A670" t="s">
        <v>1941</v>
      </c>
      <c r="B670" t="s">
        <v>73</v>
      </c>
      <c r="C670" s="14">
        <v>0</v>
      </c>
      <c r="D670" s="14">
        <v>0</v>
      </c>
      <c r="E670" s="14">
        <v>0</v>
      </c>
      <c r="F670" s="14">
        <v>0</v>
      </c>
    </row>
    <row r="671" spans="1:6" x14ac:dyDescent="0.35">
      <c r="A671" t="s">
        <v>1941</v>
      </c>
      <c r="B671" t="s">
        <v>74</v>
      </c>
      <c r="C671" s="14">
        <v>0</v>
      </c>
      <c r="D671" s="14">
        <v>0</v>
      </c>
      <c r="E671" s="14">
        <v>0</v>
      </c>
      <c r="F671" s="14">
        <v>0</v>
      </c>
    </row>
    <row r="672" spans="1:6" x14ac:dyDescent="0.35">
      <c r="A672" t="s">
        <v>1941</v>
      </c>
      <c r="B672" t="s">
        <v>75</v>
      </c>
      <c r="C672" s="14">
        <v>0</v>
      </c>
      <c r="D672" s="14">
        <v>0</v>
      </c>
      <c r="E672" s="14">
        <v>0</v>
      </c>
      <c r="F672" s="14">
        <v>0</v>
      </c>
    </row>
    <row r="673" spans="1:6" x14ac:dyDescent="0.35">
      <c r="A673" t="s">
        <v>1941</v>
      </c>
      <c r="B673" t="s">
        <v>76</v>
      </c>
      <c r="C673" s="14">
        <v>156676109351</v>
      </c>
      <c r="D673" s="14">
        <v>127712618001</v>
      </c>
      <c r="E673" s="14">
        <v>153454043591</v>
      </c>
      <c r="F673" s="14">
        <v>203840452585</v>
      </c>
    </row>
    <row r="674" spans="1:6" x14ac:dyDescent="0.35">
      <c r="A674" t="s">
        <v>1941</v>
      </c>
      <c r="B674" t="s">
        <v>77</v>
      </c>
      <c r="C674" s="14">
        <v>621679242234</v>
      </c>
      <c r="D674" s="14">
        <v>228713076932</v>
      </c>
      <c r="E674" s="14">
        <v>358373692603</v>
      </c>
      <c r="F674" s="14">
        <v>519757921742</v>
      </c>
    </row>
    <row r="675" spans="1:6" x14ac:dyDescent="0.35">
      <c r="A675" t="s">
        <v>1941</v>
      </c>
      <c r="B675" t="s">
        <v>78</v>
      </c>
      <c r="C675" s="14">
        <v>19551549882</v>
      </c>
      <c r="D675" s="14">
        <v>0</v>
      </c>
      <c r="E675" s="14">
        <v>0</v>
      </c>
      <c r="F675" s="14">
        <v>0</v>
      </c>
    </row>
    <row r="676" spans="1:6" x14ac:dyDescent="0.35">
      <c r="A676" t="s">
        <v>1941</v>
      </c>
      <c r="B676" t="s">
        <v>79</v>
      </c>
      <c r="C676" s="14">
        <v>22031128423</v>
      </c>
      <c r="D676" s="14">
        <v>53384705791</v>
      </c>
      <c r="E676" s="14">
        <v>52044742306</v>
      </c>
      <c r="F676" s="14">
        <v>58881003425</v>
      </c>
    </row>
    <row r="677" spans="1:6" x14ac:dyDescent="0.35">
      <c r="A677" t="s">
        <v>1941</v>
      </c>
      <c r="B677" t="s">
        <v>80</v>
      </c>
      <c r="C677" s="14">
        <v>0</v>
      </c>
      <c r="D677" s="14">
        <v>0</v>
      </c>
      <c r="E677" s="14">
        <v>0</v>
      </c>
      <c r="F677" s="14">
        <v>0</v>
      </c>
    </row>
    <row r="678" spans="1:6" x14ac:dyDescent="0.35">
      <c r="A678" t="s">
        <v>1941</v>
      </c>
      <c r="B678" t="s">
        <v>81</v>
      </c>
      <c r="C678" s="14">
        <v>0</v>
      </c>
      <c r="D678" s="14">
        <v>0</v>
      </c>
      <c r="E678" s="14">
        <v>0</v>
      </c>
      <c r="F678" s="14">
        <v>0</v>
      </c>
    </row>
    <row r="679" spans="1:6" x14ac:dyDescent="0.35">
      <c r="A679" t="s">
        <v>1941</v>
      </c>
      <c r="B679" t="s">
        <v>82</v>
      </c>
      <c r="C679" s="14">
        <v>839142277874</v>
      </c>
      <c r="D679" s="14">
        <v>851444372109</v>
      </c>
      <c r="E679" s="14">
        <v>184393512493</v>
      </c>
      <c r="F679" s="14">
        <v>153270017901</v>
      </c>
    </row>
    <row r="680" spans="1:6" x14ac:dyDescent="0.35">
      <c r="A680" t="s">
        <v>1941</v>
      </c>
      <c r="B680" t="s">
        <v>83</v>
      </c>
      <c r="C680" s="14">
        <v>89414653881</v>
      </c>
      <c r="D680" s="14">
        <v>89414653881</v>
      </c>
      <c r="E680" s="14">
        <v>89414653881</v>
      </c>
      <c r="F680" s="14">
        <v>0</v>
      </c>
    </row>
    <row r="681" spans="1:6" x14ac:dyDescent="0.35">
      <c r="A681" t="s">
        <v>1941</v>
      </c>
      <c r="B681" t="s">
        <v>84</v>
      </c>
      <c r="C681" s="14">
        <v>0</v>
      </c>
      <c r="D681" s="14">
        <v>0</v>
      </c>
      <c r="E681" s="14">
        <v>0</v>
      </c>
      <c r="F681" s="14">
        <v>0</v>
      </c>
    </row>
    <row r="682" spans="1:6" x14ac:dyDescent="0.35">
      <c r="A682" t="s">
        <v>1941</v>
      </c>
      <c r="B682" t="s">
        <v>85</v>
      </c>
      <c r="C682" s="14">
        <v>0</v>
      </c>
      <c r="D682" s="14">
        <v>0</v>
      </c>
      <c r="E682" s="14">
        <v>0</v>
      </c>
      <c r="F682" s="14">
        <v>0</v>
      </c>
    </row>
    <row r="683" spans="1:6" x14ac:dyDescent="0.35">
      <c r="A683" t="s">
        <v>1941</v>
      </c>
      <c r="B683" t="s">
        <v>86</v>
      </c>
      <c r="C683" s="14">
        <v>0</v>
      </c>
      <c r="D683" s="14">
        <v>0</v>
      </c>
      <c r="E683" s="14">
        <v>0</v>
      </c>
      <c r="F683" s="14">
        <v>0</v>
      </c>
    </row>
    <row r="684" spans="1:6" x14ac:dyDescent="0.35">
      <c r="A684" t="s">
        <v>1941</v>
      </c>
      <c r="B684" t="s">
        <v>87</v>
      </c>
      <c r="C684" s="14">
        <v>0</v>
      </c>
      <c r="D684" s="14">
        <v>0</v>
      </c>
      <c r="E684" s="14">
        <v>0</v>
      </c>
      <c r="F684" s="14">
        <v>0</v>
      </c>
    </row>
    <row r="685" spans="1:6" x14ac:dyDescent="0.35">
      <c r="A685" t="s">
        <v>1941</v>
      </c>
      <c r="B685" t="s">
        <v>88</v>
      </c>
      <c r="C685" s="14">
        <v>0</v>
      </c>
      <c r="D685" s="14">
        <v>0</v>
      </c>
      <c r="E685" s="14">
        <v>0</v>
      </c>
      <c r="F685" s="14">
        <v>0</v>
      </c>
    </row>
    <row r="686" spans="1:6" x14ac:dyDescent="0.35">
      <c r="A686" t="s">
        <v>1941</v>
      </c>
      <c r="B686" t="s">
        <v>89</v>
      </c>
      <c r="C686" s="14">
        <v>17433493043</v>
      </c>
      <c r="D686" s="14">
        <v>18482171051</v>
      </c>
      <c r="E686" s="14">
        <v>21451965866</v>
      </c>
      <c r="F686" s="14">
        <v>1123000000</v>
      </c>
    </row>
    <row r="687" spans="1:6" x14ac:dyDescent="0.35">
      <c r="A687" t="s">
        <v>1941</v>
      </c>
      <c r="B687" t="s">
        <v>90</v>
      </c>
      <c r="C687" s="14">
        <v>731794455450</v>
      </c>
      <c r="D687" s="14">
        <v>743250603677</v>
      </c>
      <c r="E687" s="14">
        <v>73284272746</v>
      </c>
      <c r="F687" s="14">
        <v>151904397901</v>
      </c>
    </row>
    <row r="688" spans="1:6" x14ac:dyDescent="0.35">
      <c r="A688" t="s">
        <v>1941</v>
      </c>
      <c r="B688" t="s">
        <v>91</v>
      </c>
      <c r="C688" s="14">
        <v>0</v>
      </c>
      <c r="D688" s="14">
        <v>0</v>
      </c>
      <c r="E688" s="14">
        <v>0</v>
      </c>
      <c r="F688" s="14">
        <v>0</v>
      </c>
    </row>
    <row r="689" spans="1:6" x14ac:dyDescent="0.35">
      <c r="A689" t="s">
        <v>1941</v>
      </c>
      <c r="B689" t="s">
        <v>92</v>
      </c>
      <c r="C689" s="14">
        <v>0</v>
      </c>
      <c r="D689" s="14">
        <v>0</v>
      </c>
      <c r="E689" s="14">
        <v>0</v>
      </c>
      <c r="F689" s="14">
        <v>0</v>
      </c>
    </row>
    <row r="690" spans="1:6" x14ac:dyDescent="0.35">
      <c r="A690" t="s">
        <v>1941</v>
      </c>
      <c r="B690" t="s">
        <v>93</v>
      </c>
      <c r="C690" s="14">
        <v>0</v>
      </c>
      <c r="D690" s="14">
        <v>0</v>
      </c>
      <c r="E690" s="14">
        <v>0</v>
      </c>
      <c r="F690" s="14">
        <v>0</v>
      </c>
    </row>
    <row r="691" spans="1:6" x14ac:dyDescent="0.35">
      <c r="A691" t="s">
        <v>1941</v>
      </c>
      <c r="B691" t="s">
        <v>94</v>
      </c>
      <c r="C691" s="14">
        <v>499675500</v>
      </c>
      <c r="D691" s="14">
        <v>296943500</v>
      </c>
      <c r="E691" s="14">
        <v>242620000</v>
      </c>
      <c r="F691" s="14">
        <v>242620000</v>
      </c>
    </row>
    <row r="692" spans="1:6" x14ac:dyDescent="0.35">
      <c r="A692" t="s">
        <v>1941</v>
      </c>
      <c r="B692" t="s">
        <v>95</v>
      </c>
      <c r="C692" s="14">
        <v>0</v>
      </c>
      <c r="D692" s="14">
        <v>0</v>
      </c>
      <c r="E692" s="14">
        <v>0</v>
      </c>
      <c r="F692" s="14">
        <v>0</v>
      </c>
    </row>
    <row r="693" spans="1:6" x14ac:dyDescent="0.35">
      <c r="A693" t="s">
        <v>1941</v>
      </c>
      <c r="B693" t="s">
        <v>96</v>
      </c>
      <c r="C693" s="14">
        <v>1846383206894</v>
      </c>
      <c r="D693" s="14">
        <v>2388616876129</v>
      </c>
      <c r="E693" s="14">
        <v>2583007776888</v>
      </c>
      <c r="F693" s="14">
        <v>2538204172588</v>
      </c>
    </row>
    <row r="694" spans="1:6" x14ac:dyDescent="0.35">
      <c r="A694" t="s">
        <v>1941</v>
      </c>
      <c r="B694" t="s">
        <v>97</v>
      </c>
      <c r="C694" s="14">
        <v>1846383206894</v>
      </c>
      <c r="D694" s="14">
        <v>2388616876129</v>
      </c>
      <c r="E694" s="14">
        <v>2583007776888</v>
      </c>
      <c r="F694" s="14">
        <v>2538204172588</v>
      </c>
    </row>
    <row r="695" spans="1:6" x14ac:dyDescent="0.35">
      <c r="A695" t="s">
        <v>1941</v>
      </c>
      <c r="B695" t="s">
        <v>98</v>
      </c>
      <c r="C695" s="14">
        <v>1172485100000</v>
      </c>
      <c r="D695" s="14">
        <v>1744048240000</v>
      </c>
      <c r="E695" s="14">
        <v>1916411700000</v>
      </c>
      <c r="F695" s="14">
        <v>1916411700000</v>
      </c>
    </row>
    <row r="696" spans="1:6" x14ac:dyDescent="0.35">
      <c r="A696" t="s">
        <v>1941</v>
      </c>
      <c r="B696" t="s">
        <v>99</v>
      </c>
      <c r="C696" s="14">
        <v>1172485100000</v>
      </c>
      <c r="D696" s="14">
        <v>1744048240000</v>
      </c>
      <c r="E696" s="14">
        <v>1916411700000</v>
      </c>
      <c r="F696" s="14">
        <v>1916411700000</v>
      </c>
    </row>
    <row r="697" spans="1:6" x14ac:dyDescent="0.35">
      <c r="A697" t="s">
        <v>1941</v>
      </c>
      <c r="B697" t="s">
        <v>100</v>
      </c>
      <c r="C697" s="14">
        <v>0</v>
      </c>
      <c r="D697" s="14">
        <v>0</v>
      </c>
      <c r="E697" s="14">
        <v>0</v>
      </c>
      <c r="F697" s="14">
        <v>0</v>
      </c>
    </row>
    <row r="698" spans="1:6" x14ac:dyDescent="0.35">
      <c r="A698" t="s">
        <v>1941</v>
      </c>
      <c r="B698" t="s">
        <v>101</v>
      </c>
      <c r="C698" s="14">
        <v>93686603494</v>
      </c>
      <c r="D698" s="14">
        <v>93686603494</v>
      </c>
      <c r="E698" s="14">
        <v>93686603494</v>
      </c>
      <c r="F698" s="14">
        <v>93686603494</v>
      </c>
    </row>
    <row r="699" spans="1:6" x14ac:dyDescent="0.35">
      <c r="A699" t="s">
        <v>1941</v>
      </c>
      <c r="B699" t="s">
        <v>102</v>
      </c>
      <c r="C699" s="14">
        <v>0</v>
      </c>
      <c r="D699" s="14">
        <v>0</v>
      </c>
      <c r="E699" s="14">
        <v>0</v>
      </c>
      <c r="F699" s="14">
        <v>0</v>
      </c>
    </row>
    <row r="700" spans="1:6" x14ac:dyDescent="0.35">
      <c r="A700" t="s">
        <v>1941</v>
      </c>
      <c r="B700" t="s">
        <v>103</v>
      </c>
      <c r="C700" s="14">
        <v>0</v>
      </c>
      <c r="D700" s="14">
        <v>0</v>
      </c>
      <c r="E700" s="14">
        <v>0</v>
      </c>
      <c r="F700" s="14">
        <v>0</v>
      </c>
    </row>
    <row r="701" spans="1:6" x14ac:dyDescent="0.35">
      <c r="A701" t="s">
        <v>1941</v>
      </c>
      <c r="B701" t="s">
        <v>104</v>
      </c>
      <c r="C701" s="14">
        <v>-18771380000</v>
      </c>
      <c r="D701" s="14">
        <v>-18771380000</v>
      </c>
      <c r="E701" s="14">
        <v>-18771380000</v>
      </c>
      <c r="F701" s="14">
        <v>-18771380000</v>
      </c>
    </row>
    <row r="702" spans="1:6" x14ac:dyDescent="0.35">
      <c r="A702" t="s">
        <v>1941</v>
      </c>
      <c r="B702" t="s">
        <v>105</v>
      </c>
      <c r="C702" s="14">
        <v>0</v>
      </c>
      <c r="D702" s="14">
        <v>0</v>
      </c>
      <c r="E702" s="14">
        <v>0</v>
      </c>
      <c r="F702" s="14">
        <v>0</v>
      </c>
    </row>
    <row r="703" spans="1:6" x14ac:dyDescent="0.35">
      <c r="A703" t="s">
        <v>1941</v>
      </c>
      <c r="B703" t="s">
        <v>106</v>
      </c>
      <c r="C703" s="14">
        <v>0</v>
      </c>
      <c r="D703" s="14">
        <v>0</v>
      </c>
      <c r="E703" s="14">
        <v>0</v>
      </c>
      <c r="F703" s="14">
        <v>0</v>
      </c>
    </row>
    <row r="704" spans="1:6" x14ac:dyDescent="0.35">
      <c r="A704" t="s">
        <v>1941</v>
      </c>
      <c r="B704" t="s">
        <v>107</v>
      </c>
      <c r="C704" s="14">
        <v>119204302363</v>
      </c>
      <c r="D704" s="14">
        <v>119204302363</v>
      </c>
      <c r="E704" s="14">
        <v>119204302363</v>
      </c>
      <c r="F704" s="14">
        <v>119204302363</v>
      </c>
    </row>
    <row r="705" spans="1:6" x14ac:dyDescent="0.35">
      <c r="A705" t="s">
        <v>1941</v>
      </c>
      <c r="B705" t="s">
        <v>108</v>
      </c>
      <c r="C705" s="14">
        <v>0</v>
      </c>
      <c r="D705" s="14">
        <v>0</v>
      </c>
      <c r="E705" s="14">
        <v>0</v>
      </c>
      <c r="F705" s="14">
        <v>0</v>
      </c>
    </row>
    <row r="706" spans="1:6" x14ac:dyDescent="0.35">
      <c r="A706" t="s">
        <v>1941</v>
      </c>
      <c r="B706" t="s">
        <v>109</v>
      </c>
      <c r="C706" s="14">
        <v>0</v>
      </c>
      <c r="D706" s="14">
        <v>0</v>
      </c>
      <c r="E706" s="14">
        <v>0</v>
      </c>
      <c r="F706" s="14">
        <v>0</v>
      </c>
    </row>
    <row r="707" spans="1:6" x14ac:dyDescent="0.35">
      <c r="A707" t="s">
        <v>1941</v>
      </c>
      <c r="B707" t="s">
        <v>110</v>
      </c>
      <c r="C707" s="14">
        <v>416310938248</v>
      </c>
      <c r="D707" s="14">
        <v>390668835632</v>
      </c>
      <c r="E707" s="14">
        <v>426809791886</v>
      </c>
      <c r="F707" s="14">
        <v>387832217838</v>
      </c>
    </row>
    <row r="708" spans="1:6" x14ac:dyDescent="0.35">
      <c r="A708" t="s">
        <v>1941</v>
      </c>
      <c r="B708" t="s">
        <v>111</v>
      </c>
      <c r="C708" s="14">
        <v>311176707871</v>
      </c>
      <c r="D708" s="14">
        <v>181759176154</v>
      </c>
      <c r="E708" s="14">
        <v>234775069501</v>
      </c>
      <c r="F708" s="14">
        <v>284217596589</v>
      </c>
    </row>
    <row r="709" spans="1:6" x14ac:dyDescent="0.35">
      <c r="A709" t="s">
        <v>1941</v>
      </c>
      <c r="B709" t="s">
        <v>112</v>
      </c>
      <c r="C709" s="14">
        <v>105134230377</v>
      </c>
      <c r="D709" s="14">
        <v>208909659478</v>
      </c>
      <c r="E709" s="14">
        <v>192034722385</v>
      </c>
      <c r="F709" s="14">
        <v>103614621249</v>
      </c>
    </row>
    <row r="710" spans="1:6" x14ac:dyDescent="0.35">
      <c r="A710" t="s">
        <v>1941</v>
      </c>
      <c r="B710" t="s">
        <v>113</v>
      </c>
      <c r="C710" s="14">
        <v>0</v>
      </c>
      <c r="D710" s="14">
        <v>0</v>
      </c>
      <c r="E710" s="14">
        <v>0</v>
      </c>
      <c r="F710" s="14">
        <v>0</v>
      </c>
    </row>
    <row r="711" spans="1:6" x14ac:dyDescent="0.35">
      <c r="A711" t="s">
        <v>1941</v>
      </c>
      <c r="B711" t="s">
        <v>114</v>
      </c>
      <c r="C711" s="14">
        <v>63467642789</v>
      </c>
      <c r="D711" s="14">
        <v>59780274640</v>
      </c>
      <c r="E711" s="14">
        <v>45666759145</v>
      </c>
      <c r="F711" s="14">
        <v>39840728893</v>
      </c>
    </row>
    <row r="712" spans="1:6" x14ac:dyDescent="0.35">
      <c r="A712" t="s">
        <v>1941</v>
      </c>
      <c r="B712" t="s">
        <v>115</v>
      </c>
      <c r="C712" s="14">
        <v>0</v>
      </c>
      <c r="D712" s="14">
        <v>0</v>
      </c>
      <c r="E712" s="14">
        <v>0</v>
      </c>
      <c r="F712" s="14">
        <v>0</v>
      </c>
    </row>
    <row r="713" spans="1:6" x14ac:dyDescent="0.35">
      <c r="A713" t="s">
        <v>1941</v>
      </c>
      <c r="B713" t="s">
        <v>116</v>
      </c>
      <c r="C713" s="14">
        <v>0</v>
      </c>
      <c r="D713" s="14">
        <v>0</v>
      </c>
      <c r="E713" s="14">
        <v>0</v>
      </c>
      <c r="F713" s="14">
        <v>0</v>
      </c>
    </row>
    <row r="714" spans="1:6" x14ac:dyDescent="0.35">
      <c r="A714" t="s">
        <v>1941</v>
      </c>
      <c r="B714" t="s">
        <v>117</v>
      </c>
      <c r="C714" s="14">
        <v>0</v>
      </c>
      <c r="D714" s="14">
        <v>0</v>
      </c>
      <c r="E714" s="14">
        <v>0</v>
      </c>
      <c r="F714" s="14">
        <v>0</v>
      </c>
    </row>
    <row r="715" spans="1:6" x14ac:dyDescent="0.35">
      <c r="A715" t="s">
        <v>1941</v>
      </c>
      <c r="B715" t="s">
        <v>118</v>
      </c>
      <c r="C715" s="14">
        <v>6132492672781</v>
      </c>
      <c r="D715" s="14">
        <v>5804533486116</v>
      </c>
      <c r="E715" s="14">
        <v>5047843826481</v>
      </c>
      <c r="F715" s="14">
        <v>5979135351215</v>
      </c>
    </row>
    <row r="716" spans="1:6" x14ac:dyDescent="0.35">
      <c r="A716" t="s">
        <v>1942</v>
      </c>
      <c r="B716" t="s">
        <v>6</v>
      </c>
      <c r="C716" s="14">
        <v>0</v>
      </c>
      <c r="D716" s="14">
        <v>0</v>
      </c>
      <c r="E716" s="14">
        <v>0</v>
      </c>
      <c r="F716" s="14">
        <v>0</v>
      </c>
    </row>
    <row r="717" spans="1:6" x14ac:dyDescent="0.35">
      <c r="A717" t="s">
        <v>1942</v>
      </c>
      <c r="B717" t="s">
        <v>7</v>
      </c>
      <c r="C717" s="14">
        <v>5715231571853</v>
      </c>
      <c r="D717" s="14">
        <v>6589439946263</v>
      </c>
      <c r="E717" s="14">
        <v>7913404977944</v>
      </c>
      <c r="F717" s="14">
        <v>6868401655191</v>
      </c>
    </row>
    <row r="718" spans="1:6" x14ac:dyDescent="0.35">
      <c r="A718" t="s">
        <v>1942</v>
      </c>
      <c r="B718" t="s">
        <v>8</v>
      </c>
      <c r="C718" s="14">
        <v>1475766385890</v>
      </c>
      <c r="D718" s="14">
        <v>2291977758704</v>
      </c>
      <c r="E718" s="14">
        <v>2581357801353</v>
      </c>
      <c r="F718" s="14">
        <v>2082217682721</v>
      </c>
    </row>
    <row r="719" spans="1:6" x14ac:dyDescent="0.35">
      <c r="A719" t="s">
        <v>1942</v>
      </c>
      <c r="B719" t="s">
        <v>9</v>
      </c>
      <c r="C719" s="14">
        <v>262766385890</v>
      </c>
      <c r="D719" s="14">
        <v>794977758704</v>
      </c>
      <c r="E719" s="14">
        <v>477612182175</v>
      </c>
      <c r="F719" s="14">
        <v>472109384006</v>
      </c>
    </row>
    <row r="720" spans="1:6" x14ac:dyDescent="0.35">
      <c r="A720" t="s">
        <v>1942</v>
      </c>
      <c r="B720" t="s">
        <v>10</v>
      </c>
      <c r="C720" s="14">
        <v>1213000000000</v>
      </c>
      <c r="D720" s="14">
        <v>1497000000000</v>
      </c>
      <c r="E720" s="14">
        <v>2103745619178</v>
      </c>
      <c r="F720" s="14">
        <v>1610108298715</v>
      </c>
    </row>
    <row r="721" spans="1:6" x14ac:dyDescent="0.35">
      <c r="A721" t="s">
        <v>1942</v>
      </c>
      <c r="B721" t="s">
        <v>11</v>
      </c>
      <c r="C721" s="14">
        <v>62891072771</v>
      </c>
      <c r="D721" s="14">
        <v>144291658746</v>
      </c>
      <c r="E721" s="14">
        <v>1006095364843</v>
      </c>
      <c r="F721" s="14">
        <v>780833305437</v>
      </c>
    </row>
    <row r="722" spans="1:6" x14ac:dyDescent="0.35">
      <c r="A722" t="s">
        <v>1942</v>
      </c>
      <c r="B722" t="s">
        <v>12</v>
      </c>
      <c r="C722" s="14">
        <v>0</v>
      </c>
      <c r="D722" s="14">
        <v>0</v>
      </c>
      <c r="E722" s="14">
        <v>0</v>
      </c>
      <c r="F722" s="14">
        <v>0</v>
      </c>
    </row>
    <row r="723" spans="1:6" x14ac:dyDescent="0.35">
      <c r="A723" t="s">
        <v>1942</v>
      </c>
      <c r="B723" t="s">
        <v>13</v>
      </c>
      <c r="C723" s="14">
        <v>0</v>
      </c>
      <c r="D723" s="14">
        <v>0</v>
      </c>
      <c r="E723" s="14">
        <v>0</v>
      </c>
      <c r="F723" s="14">
        <v>0</v>
      </c>
    </row>
    <row r="724" spans="1:6" x14ac:dyDescent="0.35">
      <c r="A724" t="s">
        <v>1942</v>
      </c>
      <c r="B724" t="s">
        <v>14</v>
      </c>
      <c r="C724" s="14">
        <v>62891072771</v>
      </c>
      <c r="D724" s="14">
        <v>144291658746</v>
      </c>
      <c r="E724" s="14">
        <v>1006095364843</v>
      </c>
      <c r="F724" s="14">
        <v>780833305437</v>
      </c>
    </row>
    <row r="725" spans="1:6" x14ac:dyDescent="0.35">
      <c r="A725" t="s">
        <v>1942</v>
      </c>
      <c r="B725" t="s">
        <v>15</v>
      </c>
      <c r="C725" s="14">
        <v>3389788585449</v>
      </c>
      <c r="D725" s="14">
        <v>3123796576209</v>
      </c>
      <c r="E725" s="14">
        <v>3174355680627</v>
      </c>
      <c r="F725" s="14">
        <v>2821230919203</v>
      </c>
    </row>
    <row r="726" spans="1:6" x14ac:dyDescent="0.35">
      <c r="A726" t="s">
        <v>1942</v>
      </c>
      <c r="B726" t="s">
        <v>16</v>
      </c>
      <c r="C726" s="14">
        <v>1634984030338</v>
      </c>
      <c r="D726" s="14">
        <v>2288896283193</v>
      </c>
      <c r="E726" s="14">
        <v>2255159840624</v>
      </c>
      <c r="F726" s="14">
        <v>1928169781905</v>
      </c>
    </row>
    <row r="727" spans="1:6" x14ac:dyDescent="0.35">
      <c r="A727" t="s">
        <v>1942</v>
      </c>
      <c r="B727" t="s">
        <v>17</v>
      </c>
      <c r="C727" s="14">
        <v>1182343615572</v>
      </c>
      <c r="D727" s="14">
        <v>362986950991</v>
      </c>
      <c r="E727" s="14">
        <v>226419010740</v>
      </c>
      <c r="F727" s="14">
        <v>217194103053</v>
      </c>
    </row>
    <row r="728" spans="1:6" x14ac:dyDescent="0.35">
      <c r="A728" t="s">
        <v>1942</v>
      </c>
      <c r="B728" t="s">
        <v>18</v>
      </c>
      <c r="C728" s="14">
        <v>0</v>
      </c>
      <c r="D728" s="14">
        <v>0</v>
      </c>
      <c r="E728" s="14">
        <v>0</v>
      </c>
      <c r="F728" s="14">
        <v>0</v>
      </c>
    </row>
    <row r="729" spans="1:6" x14ac:dyDescent="0.35">
      <c r="A729" t="s">
        <v>1942</v>
      </c>
      <c r="B729" t="s">
        <v>19</v>
      </c>
      <c r="C729" s="14">
        <v>55349000880</v>
      </c>
      <c r="D729" s="14">
        <v>15502374676</v>
      </c>
      <c r="E729" s="14">
        <v>0</v>
      </c>
      <c r="F729" s="14">
        <v>0</v>
      </c>
    </row>
    <row r="730" spans="1:6" x14ac:dyDescent="0.35">
      <c r="A730" t="s">
        <v>1942</v>
      </c>
      <c r="B730" t="s">
        <v>20</v>
      </c>
      <c r="C730" s="14">
        <v>0</v>
      </c>
      <c r="D730" s="14">
        <v>2886249280</v>
      </c>
      <c r="E730" s="14">
        <v>255092249280</v>
      </c>
      <c r="F730" s="14">
        <v>288724410051</v>
      </c>
    </row>
    <row r="731" spans="1:6" x14ac:dyDescent="0.35">
      <c r="A731" t="s">
        <v>1942</v>
      </c>
      <c r="B731" t="s">
        <v>21</v>
      </c>
      <c r="C731" s="14">
        <v>525660659893</v>
      </c>
      <c r="D731" s="14">
        <v>461446671449</v>
      </c>
      <c r="E731" s="14">
        <v>444700152290</v>
      </c>
      <c r="F731" s="14">
        <v>399538361777</v>
      </c>
    </row>
    <row r="732" spans="1:6" x14ac:dyDescent="0.35">
      <c r="A732" t="s">
        <v>1942</v>
      </c>
      <c r="B732" t="s">
        <v>22</v>
      </c>
      <c r="C732" s="14">
        <v>-8548721234</v>
      </c>
      <c r="D732" s="14">
        <v>-7921953380</v>
      </c>
      <c r="E732" s="14">
        <v>-7015572307</v>
      </c>
      <c r="F732" s="14">
        <v>-12395737583</v>
      </c>
    </row>
    <row r="733" spans="1:6" x14ac:dyDescent="0.35">
      <c r="A733" t="s">
        <v>1942</v>
      </c>
      <c r="B733" t="s">
        <v>23</v>
      </c>
      <c r="C733" s="14">
        <v>0</v>
      </c>
      <c r="D733" s="14">
        <v>0</v>
      </c>
      <c r="E733" s="14">
        <v>0</v>
      </c>
      <c r="F733" s="14">
        <v>0</v>
      </c>
    </row>
    <row r="734" spans="1:6" x14ac:dyDescent="0.35">
      <c r="A734" t="s">
        <v>1942</v>
      </c>
      <c r="B734" t="s">
        <v>24</v>
      </c>
      <c r="C734" s="14">
        <v>729554191462</v>
      </c>
      <c r="D734" s="14">
        <v>903574118319</v>
      </c>
      <c r="E734" s="14">
        <v>890118267963</v>
      </c>
      <c r="F734" s="14">
        <v>943727441090</v>
      </c>
    </row>
    <row r="735" spans="1:6" x14ac:dyDescent="0.35">
      <c r="A735" t="s">
        <v>1942</v>
      </c>
      <c r="B735" t="s">
        <v>25</v>
      </c>
      <c r="C735" s="14">
        <v>731040064869</v>
      </c>
      <c r="D735" s="14">
        <v>904903028469</v>
      </c>
      <c r="E735" s="14">
        <v>898534771574</v>
      </c>
      <c r="F735" s="14">
        <v>944433461208</v>
      </c>
    </row>
    <row r="736" spans="1:6" x14ac:dyDescent="0.35">
      <c r="A736" t="s">
        <v>1942</v>
      </c>
      <c r="B736" t="s">
        <v>26</v>
      </c>
      <c r="C736" s="14">
        <v>-1485873407</v>
      </c>
      <c r="D736" s="14">
        <v>-1328910150</v>
      </c>
      <c r="E736" s="14">
        <v>-8416503611</v>
      </c>
      <c r="F736" s="14">
        <v>-706020118</v>
      </c>
    </row>
    <row r="737" spans="1:6" x14ac:dyDescent="0.35">
      <c r="A737" t="s">
        <v>1942</v>
      </c>
      <c r="B737" t="s">
        <v>27</v>
      </c>
      <c r="C737" s="14">
        <v>57231336281</v>
      </c>
      <c r="D737" s="14">
        <v>125799834285</v>
      </c>
      <c r="E737" s="14">
        <v>261477863158</v>
      </c>
      <c r="F737" s="14">
        <v>240392306740</v>
      </c>
    </row>
    <row r="738" spans="1:6" x14ac:dyDescent="0.35">
      <c r="A738" t="s">
        <v>1942</v>
      </c>
      <c r="B738" t="s">
        <v>28</v>
      </c>
      <c r="C738" s="14">
        <v>2881129291</v>
      </c>
      <c r="D738" s="14">
        <v>9032926084</v>
      </c>
      <c r="E738" s="14">
        <v>11278376046</v>
      </c>
      <c r="F738" s="14">
        <v>12689346830</v>
      </c>
    </row>
    <row r="739" spans="1:6" x14ac:dyDescent="0.35">
      <c r="A739" t="s">
        <v>1942</v>
      </c>
      <c r="B739" t="s">
        <v>29</v>
      </c>
      <c r="C739" s="14">
        <v>53928240881</v>
      </c>
      <c r="D739" s="14">
        <v>113347823373</v>
      </c>
      <c r="E739" s="14">
        <v>247526165016</v>
      </c>
      <c r="F739" s="14">
        <v>226395550873</v>
      </c>
    </row>
    <row r="740" spans="1:6" x14ac:dyDescent="0.35">
      <c r="A740" t="s">
        <v>1942</v>
      </c>
      <c r="B740" t="s">
        <v>30</v>
      </c>
      <c r="C740" s="14">
        <v>421966109</v>
      </c>
      <c r="D740" s="14">
        <v>3419084828</v>
      </c>
      <c r="E740" s="14">
        <v>2673322096</v>
      </c>
      <c r="F740" s="14">
        <v>1307409037</v>
      </c>
    </row>
    <row r="741" spans="1:6" x14ac:dyDescent="0.35">
      <c r="A741" t="s">
        <v>1942</v>
      </c>
      <c r="B741" t="s">
        <v>31</v>
      </c>
      <c r="C741" s="14">
        <v>0</v>
      </c>
      <c r="D741" s="14">
        <v>0</v>
      </c>
      <c r="E741" s="14">
        <v>0</v>
      </c>
      <c r="F741" s="14">
        <v>0</v>
      </c>
    </row>
    <row r="742" spans="1:6" x14ac:dyDescent="0.35">
      <c r="A742" t="s">
        <v>1942</v>
      </c>
      <c r="B742" t="s">
        <v>32</v>
      </c>
      <c r="C742" s="14">
        <v>0</v>
      </c>
      <c r="D742" s="14">
        <v>0</v>
      </c>
      <c r="E742" s="14">
        <v>0</v>
      </c>
      <c r="F742" s="14">
        <v>0</v>
      </c>
    </row>
    <row r="743" spans="1:6" x14ac:dyDescent="0.35">
      <c r="A743" t="s">
        <v>1942</v>
      </c>
      <c r="B743" t="s">
        <v>33</v>
      </c>
      <c r="C743" s="14">
        <v>5006436521265</v>
      </c>
      <c r="D743" s="14">
        <v>12097595471264</v>
      </c>
      <c r="E743" s="14">
        <v>13841008540434</v>
      </c>
      <c r="F743" s="14">
        <v>13366395914223</v>
      </c>
    </row>
    <row r="744" spans="1:6" x14ac:dyDescent="0.35">
      <c r="A744" t="s">
        <v>1942</v>
      </c>
      <c r="B744" t="s">
        <v>34</v>
      </c>
      <c r="C744" s="14">
        <v>87445733500</v>
      </c>
      <c r="D744" s="14">
        <v>8295573500</v>
      </c>
      <c r="E744" s="14">
        <v>8282829500</v>
      </c>
      <c r="F744" s="14">
        <v>14779136760</v>
      </c>
    </row>
    <row r="745" spans="1:6" x14ac:dyDescent="0.35">
      <c r="A745" t="s">
        <v>1942</v>
      </c>
      <c r="B745" t="s">
        <v>35</v>
      </c>
      <c r="C745" s="14">
        <v>0</v>
      </c>
      <c r="D745" s="14">
        <v>0</v>
      </c>
      <c r="E745" s="14">
        <v>0</v>
      </c>
      <c r="F745" s="14">
        <v>0</v>
      </c>
    </row>
    <row r="746" spans="1:6" x14ac:dyDescent="0.35">
      <c r="A746" t="s">
        <v>1942</v>
      </c>
      <c r="B746" t="s">
        <v>36</v>
      </c>
      <c r="C746" s="14">
        <v>0</v>
      </c>
      <c r="D746" s="14">
        <v>0</v>
      </c>
      <c r="E746" s="14">
        <v>0</v>
      </c>
      <c r="F746" s="14">
        <v>0</v>
      </c>
    </row>
    <row r="747" spans="1:6" x14ac:dyDescent="0.35">
      <c r="A747" t="s">
        <v>1942</v>
      </c>
      <c r="B747" t="s">
        <v>37</v>
      </c>
      <c r="C747" s="14">
        <v>0</v>
      </c>
      <c r="D747" s="14">
        <v>0</v>
      </c>
      <c r="E747" s="14">
        <v>0</v>
      </c>
      <c r="F747" s="14">
        <v>0</v>
      </c>
    </row>
    <row r="748" spans="1:6" x14ac:dyDescent="0.35">
      <c r="A748" t="s">
        <v>1942</v>
      </c>
      <c r="B748" t="s">
        <v>38</v>
      </c>
      <c r="C748" s="14">
        <v>0</v>
      </c>
      <c r="D748" s="14">
        <v>0</v>
      </c>
      <c r="E748" s="14">
        <v>0</v>
      </c>
      <c r="F748" s="14">
        <v>0</v>
      </c>
    </row>
    <row r="749" spans="1:6" x14ac:dyDescent="0.35">
      <c r="A749" t="s">
        <v>1942</v>
      </c>
      <c r="B749" t="s">
        <v>39</v>
      </c>
      <c r="C749" s="14">
        <v>0</v>
      </c>
      <c r="D749" s="14">
        <v>0</v>
      </c>
      <c r="E749" s="14">
        <v>0</v>
      </c>
      <c r="F749" s="14">
        <v>0</v>
      </c>
    </row>
    <row r="750" spans="1:6" x14ac:dyDescent="0.35">
      <c r="A750" t="s">
        <v>1942</v>
      </c>
      <c r="B750" t="s">
        <v>40</v>
      </c>
      <c r="C750" s="14">
        <v>87445733500</v>
      </c>
      <c r="D750" s="14">
        <v>8295573500</v>
      </c>
      <c r="E750" s="14">
        <v>8282829500</v>
      </c>
      <c r="F750" s="14">
        <v>14779136760</v>
      </c>
    </row>
    <row r="751" spans="1:6" x14ac:dyDescent="0.35">
      <c r="A751" t="s">
        <v>1942</v>
      </c>
      <c r="B751" t="s">
        <v>41</v>
      </c>
      <c r="C751" s="14">
        <v>0</v>
      </c>
      <c r="D751" s="14">
        <v>0</v>
      </c>
      <c r="E751" s="14">
        <v>0</v>
      </c>
      <c r="F751" s="14">
        <v>0</v>
      </c>
    </row>
    <row r="752" spans="1:6" x14ac:dyDescent="0.35">
      <c r="A752" t="s">
        <v>1942</v>
      </c>
      <c r="B752" t="s">
        <v>42</v>
      </c>
      <c r="C752" s="14">
        <v>3803690935125</v>
      </c>
      <c r="D752" s="14">
        <v>10160398968606</v>
      </c>
      <c r="E752" s="14">
        <v>9903573955286</v>
      </c>
      <c r="F752" s="14">
        <v>10759977574659</v>
      </c>
    </row>
    <row r="753" spans="1:6" x14ac:dyDescent="0.35">
      <c r="A753" t="s">
        <v>1942</v>
      </c>
      <c r="B753" t="s">
        <v>43</v>
      </c>
      <c r="C753" s="14">
        <v>3801798536255</v>
      </c>
      <c r="D753" s="14">
        <v>9205307914600</v>
      </c>
      <c r="E753" s="14">
        <v>8596232617877</v>
      </c>
      <c r="F753" s="14">
        <v>9519201639687</v>
      </c>
    </row>
    <row r="754" spans="1:6" x14ac:dyDescent="0.35">
      <c r="A754" t="s">
        <v>1942</v>
      </c>
      <c r="B754" t="s">
        <v>44</v>
      </c>
      <c r="C754" s="14">
        <v>4538353290429</v>
      </c>
      <c r="D754" s="14">
        <v>10224992854472</v>
      </c>
      <c r="E754" s="14">
        <v>10863077105285</v>
      </c>
      <c r="F754" s="14">
        <v>12419829155708</v>
      </c>
    </row>
    <row r="755" spans="1:6" x14ac:dyDescent="0.35">
      <c r="A755" t="s">
        <v>1942</v>
      </c>
      <c r="B755" t="s">
        <v>45</v>
      </c>
      <c r="C755" s="14">
        <v>-736554754174</v>
      </c>
      <c r="D755" s="14">
        <v>-1019684939872</v>
      </c>
      <c r="E755" s="14">
        <v>-2266844487408</v>
      </c>
      <c r="F755" s="14">
        <v>-2900627516021</v>
      </c>
    </row>
    <row r="756" spans="1:6" x14ac:dyDescent="0.35">
      <c r="A756" t="s">
        <v>1942</v>
      </c>
      <c r="B756" t="s">
        <v>46</v>
      </c>
      <c r="C756" s="14">
        <v>0</v>
      </c>
      <c r="D756" s="14">
        <v>0</v>
      </c>
      <c r="E756" s="14">
        <v>5425503234</v>
      </c>
      <c r="F756" s="14">
        <v>4905112226</v>
      </c>
    </row>
    <row r="757" spans="1:6" x14ac:dyDescent="0.35">
      <c r="A757" t="s">
        <v>1942</v>
      </c>
      <c r="B757" t="s">
        <v>44</v>
      </c>
      <c r="C757" s="14">
        <v>0</v>
      </c>
      <c r="D757" s="14">
        <v>0</v>
      </c>
      <c r="E757" s="14">
        <v>5596800000</v>
      </c>
      <c r="F757" s="14">
        <v>5791150000</v>
      </c>
    </row>
    <row r="758" spans="1:6" x14ac:dyDescent="0.35">
      <c r="A758" t="s">
        <v>1942</v>
      </c>
      <c r="B758" t="s">
        <v>45</v>
      </c>
      <c r="C758" s="14">
        <v>0</v>
      </c>
      <c r="D758" s="14">
        <v>0</v>
      </c>
      <c r="E758" s="14">
        <v>-171296766</v>
      </c>
      <c r="F758" s="14">
        <v>-886037774</v>
      </c>
    </row>
    <row r="759" spans="1:6" x14ac:dyDescent="0.35">
      <c r="A759" t="s">
        <v>1942</v>
      </c>
      <c r="B759" t="s">
        <v>47</v>
      </c>
      <c r="C759" s="14">
        <v>1892398870</v>
      </c>
      <c r="D759" s="14">
        <v>955091054006</v>
      </c>
      <c r="E759" s="14">
        <v>1301915834175</v>
      </c>
      <c r="F759" s="14">
        <v>1235870822746</v>
      </c>
    </row>
    <row r="760" spans="1:6" x14ac:dyDescent="0.35">
      <c r="A760" t="s">
        <v>1942</v>
      </c>
      <c r="B760" t="s">
        <v>44</v>
      </c>
      <c r="C760" s="14">
        <v>2987207819</v>
      </c>
      <c r="D760" s="14">
        <v>981273899230</v>
      </c>
      <c r="E760" s="14">
        <v>1385960448543</v>
      </c>
      <c r="F760" s="14">
        <v>1382368621252</v>
      </c>
    </row>
    <row r="761" spans="1:6" x14ac:dyDescent="0.35">
      <c r="A761" t="s">
        <v>1942</v>
      </c>
      <c r="B761" t="s">
        <v>45</v>
      </c>
      <c r="C761" s="14">
        <v>-1094808949</v>
      </c>
      <c r="D761" s="14">
        <v>-26182845224</v>
      </c>
      <c r="E761" s="14">
        <v>-84044614368</v>
      </c>
      <c r="F761" s="14">
        <v>-146497798506</v>
      </c>
    </row>
    <row r="762" spans="1:6" x14ac:dyDescent="0.35">
      <c r="A762" t="s">
        <v>1942</v>
      </c>
      <c r="B762" t="s">
        <v>48</v>
      </c>
      <c r="C762" s="14">
        <v>221255062764</v>
      </c>
      <c r="D762" s="14">
        <v>221087291258</v>
      </c>
      <c r="E762" s="14">
        <v>271049265804</v>
      </c>
      <c r="F762" s="14">
        <v>145675172322</v>
      </c>
    </row>
    <row r="763" spans="1:6" x14ac:dyDescent="0.35">
      <c r="A763" t="s">
        <v>1942</v>
      </c>
      <c r="B763" t="s">
        <v>44</v>
      </c>
      <c r="C763" s="14">
        <v>264880188533</v>
      </c>
      <c r="D763" s="14">
        <v>276243994329</v>
      </c>
      <c r="E763" s="14">
        <v>681352966331</v>
      </c>
      <c r="F763" s="14">
        <v>558088029012</v>
      </c>
    </row>
    <row r="764" spans="1:6" x14ac:dyDescent="0.35">
      <c r="A764" t="s">
        <v>1942</v>
      </c>
      <c r="B764" t="s">
        <v>45</v>
      </c>
      <c r="C764" s="14">
        <v>-43625125769</v>
      </c>
      <c r="D764" s="14">
        <v>-55156703071</v>
      </c>
      <c r="E764" s="14">
        <v>-410303700527</v>
      </c>
      <c r="F764" s="14">
        <v>-412412856690</v>
      </c>
    </row>
    <row r="765" spans="1:6" x14ac:dyDescent="0.35">
      <c r="A765" t="s">
        <v>1942</v>
      </c>
      <c r="B765" t="s">
        <v>49</v>
      </c>
      <c r="C765" s="14">
        <v>378813660882</v>
      </c>
      <c r="D765" s="14">
        <v>379876492995</v>
      </c>
      <c r="E765" s="14">
        <v>1375792992689</v>
      </c>
      <c r="F765" s="14">
        <v>107818401504</v>
      </c>
    </row>
    <row r="766" spans="1:6" x14ac:dyDescent="0.35">
      <c r="A766" t="s">
        <v>1942</v>
      </c>
      <c r="B766" t="s">
        <v>50</v>
      </c>
      <c r="C766" s="14">
        <v>0</v>
      </c>
      <c r="D766" s="14">
        <v>0</v>
      </c>
      <c r="E766" s="14">
        <v>0</v>
      </c>
      <c r="F766" s="14">
        <v>0</v>
      </c>
    </row>
    <row r="767" spans="1:6" x14ac:dyDescent="0.35">
      <c r="A767" t="s">
        <v>1942</v>
      </c>
      <c r="B767" t="s">
        <v>51</v>
      </c>
      <c r="C767" s="14">
        <v>378813660882</v>
      </c>
      <c r="D767" s="14">
        <v>379876492995</v>
      </c>
      <c r="E767" s="14">
        <v>1375792992689</v>
      </c>
      <c r="F767" s="14">
        <v>107818401504</v>
      </c>
    </row>
    <row r="768" spans="1:6" x14ac:dyDescent="0.35">
      <c r="A768" t="s">
        <v>1942</v>
      </c>
      <c r="B768" t="s">
        <v>52</v>
      </c>
      <c r="C768" s="14">
        <v>81344573396</v>
      </c>
      <c r="D768" s="14">
        <v>638667149476</v>
      </c>
      <c r="E768" s="14">
        <v>1538001129454</v>
      </c>
      <c r="F768" s="14">
        <v>1606569505763</v>
      </c>
    </row>
    <row r="769" spans="1:6" x14ac:dyDescent="0.35">
      <c r="A769" t="s">
        <v>1942</v>
      </c>
      <c r="B769" t="s">
        <v>53</v>
      </c>
      <c r="C769" s="14">
        <v>0</v>
      </c>
      <c r="D769" s="14">
        <v>0</v>
      </c>
      <c r="E769" s="14">
        <v>0</v>
      </c>
      <c r="F769" s="14">
        <v>0</v>
      </c>
    </row>
    <row r="770" spans="1:6" x14ac:dyDescent="0.35">
      <c r="A770" t="s">
        <v>1942</v>
      </c>
      <c r="B770" t="s">
        <v>54</v>
      </c>
      <c r="C770" s="14">
        <v>78175694461</v>
      </c>
      <c r="D770" s="14">
        <v>426443764437</v>
      </c>
      <c r="E770" s="14">
        <v>1536564981744</v>
      </c>
      <c r="F770" s="14">
        <v>1605353748672</v>
      </c>
    </row>
    <row r="771" spans="1:6" x14ac:dyDescent="0.35">
      <c r="A771" t="s">
        <v>1942</v>
      </c>
      <c r="B771" t="s">
        <v>55</v>
      </c>
      <c r="C771" s="14">
        <v>4821770000</v>
      </c>
      <c r="D771" s="14">
        <v>214821770000</v>
      </c>
      <c r="E771" s="14">
        <v>4821770000</v>
      </c>
      <c r="F771" s="14">
        <v>4821770000</v>
      </c>
    </row>
    <row r="772" spans="1:6" x14ac:dyDescent="0.35">
      <c r="A772" t="s">
        <v>1942</v>
      </c>
      <c r="B772" t="s">
        <v>56</v>
      </c>
      <c r="C772" s="14">
        <v>-1652891065</v>
      </c>
      <c r="D772" s="14">
        <v>-2598384961</v>
      </c>
      <c r="E772" s="14">
        <v>-3385622290</v>
      </c>
      <c r="F772" s="14">
        <v>-3606012909</v>
      </c>
    </row>
    <row r="773" spans="1:6" x14ac:dyDescent="0.35">
      <c r="A773" t="s">
        <v>1942</v>
      </c>
      <c r="B773" t="s">
        <v>57</v>
      </c>
      <c r="C773" s="14">
        <v>0</v>
      </c>
      <c r="D773" s="14">
        <v>0</v>
      </c>
      <c r="E773" s="14">
        <v>0</v>
      </c>
      <c r="F773" s="14">
        <v>0</v>
      </c>
    </row>
    <row r="774" spans="1:6" x14ac:dyDescent="0.35">
      <c r="A774" t="s">
        <v>1942</v>
      </c>
      <c r="B774" t="s">
        <v>58</v>
      </c>
      <c r="C774" s="14">
        <v>433886555598</v>
      </c>
      <c r="D774" s="14">
        <v>689269995429</v>
      </c>
      <c r="E774" s="14">
        <v>744308367701</v>
      </c>
      <c r="F774" s="14">
        <v>731576123215</v>
      </c>
    </row>
    <row r="775" spans="1:6" x14ac:dyDescent="0.35">
      <c r="A775" t="s">
        <v>1942</v>
      </c>
      <c r="B775" t="s">
        <v>59</v>
      </c>
      <c r="C775" s="14">
        <v>136406946486</v>
      </c>
      <c r="D775" s="14">
        <v>400788211984</v>
      </c>
      <c r="E775" s="14">
        <v>448753359961</v>
      </c>
      <c r="F775" s="14">
        <v>478808935599</v>
      </c>
    </row>
    <row r="776" spans="1:6" x14ac:dyDescent="0.35">
      <c r="A776" t="s">
        <v>1942</v>
      </c>
      <c r="B776" t="s">
        <v>60</v>
      </c>
      <c r="C776" s="14">
        <v>13597369411</v>
      </c>
      <c r="D776" s="14">
        <v>23247747020</v>
      </c>
      <c r="E776" s="14">
        <v>40710658667</v>
      </c>
      <c r="F776" s="14">
        <v>34226534092</v>
      </c>
    </row>
    <row r="777" spans="1:6" x14ac:dyDescent="0.35">
      <c r="A777" t="s">
        <v>1942</v>
      </c>
      <c r="B777" t="s">
        <v>61</v>
      </c>
      <c r="C777" s="14">
        <v>0</v>
      </c>
      <c r="D777" s="14">
        <v>0</v>
      </c>
      <c r="E777" s="14">
        <v>3407937257</v>
      </c>
      <c r="F777" s="14">
        <v>2198615537</v>
      </c>
    </row>
    <row r="778" spans="1:6" x14ac:dyDescent="0.35">
      <c r="A778" t="s">
        <v>1942</v>
      </c>
      <c r="B778" t="s">
        <v>62</v>
      </c>
      <c r="C778" s="14">
        <v>0</v>
      </c>
      <c r="D778" s="14">
        <v>0</v>
      </c>
      <c r="E778" s="14">
        <v>0</v>
      </c>
      <c r="F778" s="14">
        <v>0</v>
      </c>
    </row>
    <row r="779" spans="1:6" x14ac:dyDescent="0.35">
      <c r="A779" t="s">
        <v>1942</v>
      </c>
      <c r="B779" t="s">
        <v>63</v>
      </c>
      <c r="C779" s="14">
        <v>283882239701</v>
      </c>
      <c r="D779" s="14">
        <v>265234036425</v>
      </c>
      <c r="E779" s="14">
        <v>251436411816</v>
      </c>
      <c r="F779" s="14">
        <v>216342037987</v>
      </c>
    </row>
    <row r="780" spans="1:6" x14ac:dyDescent="0.35">
      <c r="A780" t="s">
        <v>1942</v>
      </c>
      <c r="B780" t="s">
        <v>64</v>
      </c>
      <c r="C780" s="14">
        <v>10721668093118</v>
      </c>
      <c r="D780" s="14">
        <v>18687035417527</v>
      </c>
      <c r="E780" s="14">
        <v>21754413518378</v>
      </c>
      <c r="F780" s="14">
        <v>20234797569414</v>
      </c>
    </row>
    <row r="781" spans="1:6" x14ac:dyDescent="0.35">
      <c r="A781" t="s">
        <v>1942</v>
      </c>
      <c r="B781" t="s">
        <v>65</v>
      </c>
      <c r="C781" s="14">
        <v>0</v>
      </c>
      <c r="D781" s="14">
        <v>0</v>
      </c>
      <c r="E781" s="14">
        <v>0</v>
      </c>
      <c r="F781" s="14">
        <v>0</v>
      </c>
    </row>
    <row r="782" spans="1:6" x14ac:dyDescent="0.35">
      <c r="A782" t="s">
        <v>1942</v>
      </c>
      <c r="B782" t="s">
        <v>66</v>
      </c>
      <c r="C782" s="14">
        <v>5952142090805</v>
      </c>
      <c r="D782" s="14">
        <v>12406199375288</v>
      </c>
      <c r="E782" s="14">
        <v>14581667435007</v>
      </c>
      <c r="F782" s="14">
        <v>12964400258570</v>
      </c>
    </row>
    <row r="783" spans="1:6" x14ac:dyDescent="0.35">
      <c r="A783" t="s">
        <v>1942</v>
      </c>
      <c r="B783" t="s">
        <v>67</v>
      </c>
      <c r="C783" s="14">
        <v>3743819472629</v>
      </c>
      <c r="D783" s="14">
        <v>5798709308694</v>
      </c>
      <c r="E783" s="14">
        <v>5950347915950</v>
      </c>
      <c r="F783" s="14">
        <v>4714620923896</v>
      </c>
    </row>
    <row r="784" spans="1:6" x14ac:dyDescent="0.35">
      <c r="A784" t="s">
        <v>1942</v>
      </c>
      <c r="B784" t="s">
        <v>68</v>
      </c>
      <c r="C784" s="14">
        <v>1100061504655</v>
      </c>
      <c r="D784" s="14">
        <v>1756355852050</v>
      </c>
      <c r="E784" s="14">
        <v>1284961762512</v>
      </c>
      <c r="F784" s="14">
        <v>1048601949747</v>
      </c>
    </row>
    <row r="785" spans="1:6" x14ac:dyDescent="0.35">
      <c r="A785" t="s">
        <v>1942</v>
      </c>
      <c r="B785" t="s">
        <v>69</v>
      </c>
      <c r="C785" s="14">
        <v>485944936229</v>
      </c>
      <c r="D785" s="14">
        <v>61565293438</v>
      </c>
      <c r="E785" s="14">
        <v>321766352285</v>
      </c>
      <c r="F785" s="14">
        <v>136780178266</v>
      </c>
    </row>
    <row r="786" spans="1:6" x14ac:dyDescent="0.35">
      <c r="A786" t="s">
        <v>1942</v>
      </c>
      <c r="B786" t="s">
        <v>70</v>
      </c>
      <c r="C786" s="14">
        <v>146366280970</v>
      </c>
      <c r="D786" s="14">
        <v>57875464313</v>
      </c>
      <c r="E786" s="14">
        <v>102462696442</v>
      </c>
      <c r="F786" s="14">
        <v>113446376786</v>
      </c>
    </row>
    <row r="787" spans="1:6" x14ac:dyDescent="0.35">
      <c r="A787" t="s">
        <v>1942</v>
      </c>
      <c r="B787" t="s">
        <v>71</v>
      </c>
      <c r="C787" s="14">
        <v>83281029274</v>
      </c>
      <c r="D787" s="14">
        <v>73644686355</v>
      </c>
      <c r="E787" s="14">
        <v>52140889355</v>
      </c>
      <c r="F787" s="14">
        <v>56308500869</v>
      </c>
    </row>
    <row r="788" spans="1:6" x14ac:dyDescent="0.35">
      <c r="A788" t="s">
        <v>1942</v>
      </c>
      <c r="B788" t="s">
        <v>72</v>
      </c>
      <c r="C788" s="14">
        <v>165534227533</v>
      </c>
      <c r="D788" s="14">
        <v>803547487900</v>
      </c>
      <c r="E788" s="14">
        <v>329996545492</v>
      </c>
      <c r="F788" s="14">
        <v>216868137878</v>
      </c>
    </row>
    <row r="789" spans="1:6" x14ac:dyDescent="0.35">
      <c r="A789" t="s">
        <v>1942</v>
      </c>
      <c r="B789" t="s">
        <v>73</v>
      </c>
      <c r="C789" s="14">
        <v>0</v>
      </c>
      <c r="D789" s="14">
        <v>0</v>
      </c>
      <c r="E789" s="14">
        <v>0</v>
      </c>
      <c r="F789" s="14">
        <v>0</v>
      </c>
    </row>
    <row r="790" spans="1:6" x14ac:dyDescent="0.35">
      <c r="A790" t="s">
        <v>1942</v>
      </c>
      <c r="B790" t="s">
        <v>74</v>
      </c>
      <c r="C790" s="14">
        <v>0</v>
      </c>
      <c r="D790" s="14">
        <v>0</v>
      </c>
      <c r="E790" s="14">
        <v>0</v>
      </c>
      <c r="F790" s="14">
        <v>0</v>
      </c>
    </row>
    <row r="791" spans="1:6" x14ac:dyDescent="0.35">
      <c r="A791" t="s">
        <v>1942</v>
      </c>
      <c r="B791" t="s">
        <v>75</v>
      </c>
      <c r="C791" s="14">
        <v>852893750</v>
      </c>
      <c r="D791" s="14">
        <v>837788869</v>
      </c>
      <c r="E791" s="14">
        <v>1964730577</v>
      </c>
      <c r="F791" s="14">
        <v>4697211060</v>
      </c>
    </row>
    <row r="792" spans="1:6" x14ac:dyDescent="0.35">
      <c r="A792" t="s">
        <v>1942</v>
      </c>
      <c r="B792" t="s">
        <v>76</v>
      </c>
      <c r="C792" s="14">
        <v>58498493653</v>
      </c>
      <c r="D792" s="14">
        <v>94096679867</v>
      </c>
      <c r="E792" s="14">
        <v>19451864183</v>
      </c>
      <c r="F792" s="14">
        <v>102223715675</v>
      </c>
    </row>
    <row r="793" spans="1:6" x14ac:dyDescent="0.35">
      <c r="A793" t="s">
        <v>1942</v>
      </c>
      <c r="B793" t="s">
        <v>77</v>
      </c>
      <c r="C793" s="14">
        <v>1586448058089</v>
      </c>
      <c r="D793" s="14">
        <v>2799553623583</v>
      </c>
      <c r="E793" s="14">
        <v>3677264468074</v>
      </c>
      <c r="F793" s="14">
        <v>2838478333363</v>
      </c>
    </row>
    <row r="794" spans="1:6" x14ac:dyDescent="0.35">
      <c r="A794" t="s">
        <v>1942</v>
      </c>
      <c r="B794" t="s">
        <v>78</v>
      </c>
      <c r="C794" s="14">
        <v>870431400</v>
      </c>
      <c r="D794" s="14">
        <v>16403173920</v>
      </c>
      <c r="E794" s="14">
        <v>12989719775</v>
      </c>
      <c r="F794" s="14">
        <v>12523794502</v>
      </c>
    </row>
    <row r="795" spans="1:6" x14ac:dyDescent="0.35">
      <c r="A795" t="s">
        <v>1942</v>
      </c>
      <c r="B795" t="s">
        <v>79</v>
      </c>
      <c r="C795" s="14">
        <v>115961617076</v>
      </c>
      <c r="D795" s="14">
        <v>134829258399</v>
      </c>
      <c r="E795" s="14">
        <v>147348887255</v>
      </c>
      <c r="F795" s="14">
        <v>184692725750</v>
      </c>
    </row>
    <row r="796" spans="1:6" x14ac:dyDescent="0.35">
      <c r="A796" t="s">
        <v>1942</v>
      </c>
      <c r="B796" t="s">
        <v>80</v>
      </c>
      <c r="C796" s="14">
        <v>0</v>
      </c>
      <c r="D796" s="14">
        <v>0</v>
      </c>
      <c r="E796" s="14">
        <v>0</v>
      </c>
      <c r="F796" s="14">
        <v>0</v>
      </c>
    </row>
    <row r="797" spans="1:6" x14ac:dyDescent="0.35">
      <c r="A797" t="s">
        <v>1942</v>
      </c>
      <c r="B797" t="s">
        <v>81</v>
      </c>
      <c r="C797" s="14">
        <v>0</v>
      </c>
      <c r="D797" s="14">
        <v>0</v>
      </c>
      <c r="E797" s="14">
        <v>0</v>
      </c>
      <c r="F797" s="14">
        <v>0</v>
      </c>
    </row>
    <row r="798" spans="1:6" x14ac:dyDescent="0.35">
      <c r="A798" t="s">
        <v>1942</v>
      </c>
      <c r="B798" t="s">
        <v>82</v>
      </c>
      <c r="C798" s="14">
        <v>2208322618176</v>
      </c>
      <c r="D798" s="14">
        <v>6607490066594</v>
      </c>
      <c r="E798" s="14">
        <v>8631319519057</v>
      </c>
      <c r="F798" s="14">
        <v>8249779334674</v>
      </c>
    </row>
    <row r="799" spans="1:6" x14ac:dyDescent="0.35">
      <c r="A799" t="s">
        <v>1942</v>
      </c>
      <c r="B799" t="s">
        <v>83</v>
      </c>
      <c r="C799" s="14">
        <v>0</v>
      </c>
      <c r="D799" s="14">
        <v>0</v>
      </c>
      <c r="E799" s="14">
        <v>0</v>
      </c>
      <c r="F799" s="14">
        <v>0</v>
      </c>
    </row>
    <row r="800" spans="1:6" x14ac:dyDescent="0.35">
      <c r="A800" t="s">
        <v>1942</v>
      </c>
      <c r="B800" t="s">
        <v>84</v>
      </c>
      <c r="C800" s="14">
        <v>0</v>
      </c>
      <c r="D800" s="14">
        <v>0</v>
      </c>
      <c r="E800" s="14">
        <v>0</v>
      </c>
      <c r="F800" s="14">
        <v>0</v>
      </c>
    </row>
    <row r="801" spans="1:6" x14ac:dyDescent="0.35">
      <c r="A801" t="s">
        <v>1942</v>
      </c>
      <c r="B801" t="s">
        <v>85</v>
      </c>
      <c r="C801" s="14">
        <v>0</v>
      </c>
      <c r="D801" s="14">
        <v>0</v>
      </c>
      <c r="E801" s="14">
        <v>0</v>
      </c>
      <c r="F801" s="14">
        <v>0</v>
      </c>
    </row>
    <row r="802" spans="1:6" x14ac:dyDescent="0.35">
      <c r="A802" t="s">
        <v>1942</v>
      </c>
      <c r="B802" t="s">
        <v>86</v>
      </c>
      <c r="C802" s="14">
        <v>0</v>
      </c>
      <c r="D802" s="14">
        <v>0</v>
      </c>
      <c r="E802" s="14">
        <v>0</v>
      </c>
      <c r="F802" s="14">
        <v>0</v>
      </c>
    </row>
    <row r="803" spans="1:6" x14ac:dyDescent="0.35">
      <c r="A803" t="s">
        <v>1942</v>
      </c>
      <c r="B803" t="s">
        <v>87</v>
      </c>
      <c r="C803" s="14">
        <v>0</v>
      </c>
      <c r="D803" s="14">
        <v>0</v>
      </c>
      <c r="E803" s="14">
        <v>0</v>
      </c>
      <c r="F803" s="14">
        <v>0</v>
      </c>
    </row>
    <row r="804" spans="1:6" x14ac:dyDescent="0.35">
      <c r="A804" t="s">
        <v>1942</v>
      </c>
      <c r="B804" t="s">
        <v>88</v>
      </c>
      <c r="C804" s="14">
        <v>0</v>
      </c>
      <c r="D804" s="14">
        <v>459722104</v>
      </c>
      <c r="E804" s="14">
        <v>339350104</v>
      </c>
      <c r="F804" s="14">
        <v>926919632</v>
      </c>
    </row>
    <row r="805" spans="1:6" x14ac:dyDescent="0.35">
      <c r="A805" t="s">
        <v>1942</v>
      </c>
      <c r="B805" t="s">
        <v>89</v>
      </c>
      <c r="C805" s="14">
        <v>4638703453</v>
      </c>
      <c r="D805" s="14">
        <v>4272392275</v>
      </c>
      <c r="E805" s="14">
        <v>11297283088</v>
      </c>
      <c r="F805" s="14">
        <v>10845031988</v>
      </c>
    </row>
    <row r="806" spans="1:6" x14ac:dyDescent="0.35">
      <c r="A806" t="s">
        <v>1942</v>
      </c>
      <c r="B806" t="s">
        <v>90</v>
      </c>
      <c r="C806" s="14">
        <v>2171328298868</v>
      </c>
      <c r="D806" s="14">
        <v>6237700383328</v>
      </c>
      <c r="E806" s="14">
        <v>8284189794923</v>
      </c>
      <c r="F806" s="14">
        <v>7902006174976</v>
      </c>
    </row>
    <row r="807" spans="1:6" x14ac:dyDescent="0.35">
      <c r="A807" t="s">
        <v>1942</v>
      </c>
      <c r="B807" t="s">
        <v>91</v>
      </c>
      <c r="C807" s="14">
        <v>0</v>
      </c>
      <c r="D807" s="14">
        <v>0</v>
      </c>
      <c r="E807" s="14">
        <v>0</v>
      </c>
      <c r="F807" s="14">
        <v>0</v>
      </c>
    </row>
    <row r="808" spans="1:6" x14ac:dyDescent="0.35">
      <c r="A808" t="s">
        <v>1942</v>
      </c>
      <c r="B808" t="s">
        <v>92</v>
      </c>
      <c r="C808" s="14">
        <v>0</v>
      </c>
      <c r="D808" s="14">
        <v>0</v>
      </c>
      <c r="E808" s="14">
        <v>0</v>
      </c>
      <c r="F808" s="14">
        <v>0</v>
      </c>
    </row>
    <row r="809" spans="1:6" x14ac:dyDescent="0.35">
      <c r="A809" t="s">
        <v>1942</v>
      </c>
      <c r="B809" t="s">
        <v>93</v>
      </c>
      <c r="C809" s="14">
        <v>14586747574</v>
      </c>
      <c r="D809" s="14">
        <v>325819782115</v>
      </c>
      <c r="E809" s="14">
        <v>315982038113</v>
      </c>
      <c r="F809" s="14">
        <v>304986716432</v>
      </c>
    </row>
    <row r="810" spans="1:6" x14ac:dyDescent="0.35">
      <c r="A810" t="s">
        <v>1942</v>
      </c>
      <c r="B810" t="s">
        <v>94</v>
      </c>
      <c r="C810" s="14">
        <v>17768868281</v>
      </c>
      <c r="D810" s="14">
        <v>39237786772</v>
      </c>
      <c r="E810" s="14">
        <v>19511052829</v>
      </c>
      <c r="F810" s="14">
        <v>31014491646</v>
      </c>
    </row>
    <row r="811" spans="1:6" x14ac:dyDescent="0.35">
      <c r="A811" t="s">
        <v>1942</v>
      </c>
      <c r="B811" t="s">
        <v>95</v>
      </c>
      <c r="C811" s="14">
        <v>0</v>
      </c>
      <c r="D811" s="14">
        <v>0</v>
      </c>
      <c r="E811" s="14">
        <v>0</v>
      </c>
      <c r="F811" s="14">
        <v>0</v>
      </c>
    </row>
    <row r="812" spans="1:6" x14ac:dyDescent="0.35">
      <c r="A812" t="s">
        <v>1942</v>
      </c>
      <c r="B812" t="s">
        <v>96</v>
      </c>
      <c r="C812" s="14">
        <v>4769526002313</v>
      </c>
      <c r="D812" s="14">
        <v>6280836042239</v>
      </c>
      <c r="E812" s="14">
        <v>7172746083371</v>
      </c>
      <c r="F812" s="14">
        <v>7270397310844</v>
      </c>
    </row>
    <row r="813" spans="1:6" x14ac:dyDescent="0.35">
      <c r="A813" t="s">
        <v>1942</v>
      </c>
      <c r="B813" t="s">
        <v>97</v>
      </c>
      <c r="C813" s="14">
        <v>4769526002313</v>
      </c>
      <c r="D813" s="14">
        <v>6280836042239</v>
      </c>
      <c r="E813" s="14">
        <v>7172746083371</v>
      </c>
      <c r="F813" s="14">
        <v>7270397310844</v>
      </c>
    </row>
    <row r="814" spans="1:6" x14ac:dyDescent="0.35">
      <c r="A814" t="s">
        <v>1942</v>
      </c>
      <c r="B814" t="s">
        <v>98</v>
      </c>
      <c r="C814" s="14">
        <v>1911881590000</v>
      </c>
      <c r="D814" s="14">
        <v>2351596490000</v>
      </c>
      <c r="E814" s="14">
        <v>2704330020000</v>
      </c>
      <c r="F814" s="14">
        <v>3109955580000</v>
      </c>
    </row>
    <row r="815" spans="1:6" x14ac:dyDescent="0.35">
      <c r="A815" t="s">
        <v>1942</v>
      </c>
      <c r="B815" t="s">
        <v>99</v>
      </c>
      <c r="C815" s="14">
        <v>1911881590000</v>
      </c>
      <c r="D815" s="14">
        <v>2351596490000</v>
      </c>
      <c r="E815" s="14">
        <v>2704330020000</v>
      </c>
      <c r="F815" s="14">
        <v>3109955580000</v>
      </c>
    </row>
    <row r="816" spans="1:6" x14ac:dyDescent="0.35">
      <c r="A816" t="s">
        <v>1942</v>
      </c>
      <c r="B816" t="s">
        <v>100</v>
      </c>
      <c r="C816" s="14">
        <v>0</v>
      </c>
      <c r="D816" s="14">
        <v>0</v>
      </c>
      <c r="E816" s="14">
        <v>0</v>
      </c>
      <c r="F816" s="14">
        <v>0</v>
      </c>
    </row>
    <row r="817" spans="1:6" x14ac:dyDescent="0.35">
      <c r="A817" t="s">
        <v>1942</v>
      </c>
      <c r="B817" t="s">
        <v>101</v>
      </c>
      <c r="C817" s="14">
        <v>711136556786</v>
      </c>
      <c r="D817" s="14">
        <v>711136556786</v>
      </c>
      <c r="E817" s="14">
        <v>711136556786</v>
      </c>
      <c r="F817" s="14">
        <v>711136556786</v>
      </c>
    </row>
    <row r="818" spans="1:6" x14ac:dyDescent="0.35">
      <c r="A818" t="s">
        <v>1942</v>
      </c>
      <c r="B818" t="s">
        <v>102</v>
      </c>
      <c r="C818" s="14">
        <v>0</v>
      </c>
      <c r="D818" s="14">
        <v>0</v>
      </c>
      <c r="E818" s="14">
        <v>0</v>
      </c>
      <c r="F818" s="14">
        <v>0</v>
      </c>
    </row>
    <row r="819" spans="1:6" x14ac:dyDescent="0.35">
      <c r="A819" t="s">
        <v>1942</v>
      </c>
      <c r="B819" t="s">
        <v>103</v>
      </c>
      <c r="C819" s="14">
        <v>22906800000</v>
      </c>
      <c r="D819" s="14">
        <v>22906800000</v>
      </c>
      <c r="E819" s="14">
        <v>29026800000</v>
      </c>
      <c r="F819" s="14">
        <v>46847073442</v>
      </c>
    </row>
    <row r="820" spans="1:6" x14ac:dyDescent="0.35">
      <c r="A820" t="s">
        <v>1942</v>
      </c>
      <c r="B820" t="s">
        <v>104</v>
      </c>
      <c r="C820" s="14">
        <v>-4320000</v>
      </c>
      <c r="D820" s="14">
        <v>0</v>
      </c>
      <c r="E820" s="14">
        <v>0</v>
      </c>
      <c r="F820" s="14">
        <v>0</v>
      </c>
    </row>
    <row r="821" spans="1:6" x14ac:dyDescent="0.35">
      <c r="A821" t="s">
        <v>1942</v>
      </c>
      <c r="B821" t="s">
        <v>105</v>
      </c>
      <c r="C821" s="14">
        <v>708285511</v>
      </c>
      <c r="D821" s="14">
        <v>708285511</v>
      </c>
      <c r="E821" s="14">
        <v>708285511</v>
      </c>
      <c r="F821" s="14">
        <v>708285511</v>
      </c>
    </row>
    <row r="822" spans="1:6" x14ac:dyDescent="0.35">
      <c r="A822" t="s">
        <v>1942</v>
      </c>
      <c r="B822" t="s">
        <v>106</v>
      </c>
      <c r="C822" s="14">
        <v>0</v>
      </c>
      <c r="D822" s="14">
        <v>0</v>
      </c>
      <c r="E822" s="14">
        <v>-116709425</v>
      </c>
      <c r="F822" s="14">
        <v>105169358</v>
      </c>
    </row>
    <row r="823" spans="1:6" x14ac:dyDescent="0.35">
      <c r="A823" t="s">
        <v>1942</v>
      </c>
      <c r="B823" t="s">
        <v>107</v>
      </c>
      <c r="C823" s="14">
        <v>166923134253</v>
      </c>
      <c r="D823" s="14">
        <v>244289305040</v>
      </c>
      <c r="E823" s="14">
        <v>261072092951</v>
      </c>
      <c r="F823" s="14">
        <v>292725159814</v>
      </c>
    </row>
    <row r="824" spans="1:6" x14ac:dyDescent="0.35">
      <c r="A824" t="s">
        <v>1942</v>
      </c>
      <c r="B824" t="s">
        <v>108</v>
      </c>
      <c r="C824" s="14">
        <v>0</v>
      </c>
      <c r="D824" s="14">
        <v>0</v>
      </c>
      <c r="E824" s="14">
        <v>0</v>
      </c>
      <c r="F824" s="14">
        <v>0</v>
      </c>
    </row>
    <row r="825" spans="1:6" x14ac:dyDescent="0.35">
      <c r="A825" t="s">
        <v>1942</v>
      </c>
      <c r="B825" t="s">
        <v>109</v>
      </c>
      <c r="C825" s="14">
        <v>65266052360</v>
      </c>
      <c r="D825" s="14">
        <v>65313759426</v>
      </c>
      <c r="E825" s="14">
        <v>65418160381</v>
      </c>
      <c r="F825" s="14">
        <v>65403533120</v>
      </c>
    </row>
    <row r="826" spans="1:6" x14ac:dyDescent="0.35">
      <c r="A826" t="s">
        <v>1942</v>
      </c>
      <c r="B826" t="s">
        <v>110</v>
      </c>
      <c r="C826" s="14">
        <v>1108616654270</v>
      </c>
      <c r="D826" s="14">
        <v>1305280035901</v>
      </c>
      <c r="E826" s="14">
        <v>1344532665968</v>
      </c>
      <c r="F826" s="14">
        <v>956798821659</v>
      </c>
    </row>
    <row r="827" spans="1:6" x14ac:dyDescent="0.35">
      <c r="A827" t="s">
        <v>1942</v>
      </c>
      <c r="B827" t="s">
        <v>111</v>
      </c>
      <c r="C827" s="14">
        <v>592292079199</v>
      </c>
      <c r="D827" s="14">
        <v>695020247248</v>
      </c>
      <c r="E827" s="14">
        <v>888392277813</v>
      </c>
      <c r="F827" s="14">
        <v>819716498088</v>
      </c>
    </row>
    <row r="828" spans="1:6" x14ac:dyDescent="0.35">
      <c r="A828" t="s">
        <v>1942</v>
      </c>
      <c r="B828" t="s">
        <v>112</v>
      </c>
      <c r="C828" s="14">
        <v>516324575071</v>
      </c>
      <c r="D828" s="14">
        <v>610259788653</v>
      </c>
      <c r="E828" s="14">
        <v>456140388155</v>
      </c>
      <c r="F828" s="14">
        <v>137082323571</v>
      </c>
    </row>
    <row r="829" spans="1:6" x14ac:dyDescent="0.35">
      <c r="A829" t="s">
        <v>1942</v>
      </c>
      <c r="B829" t="s">
        <v>113</v>
      </c>
      <c r="C829" s="14">
        <v>0</v>
      </c>
      <c r="D829" s="14">
        <v>0</v>
      </c>
      <c r="E829" s="14">
        <v>0</v>
      </c>
      <c r="F829" s="14">
        <v>0</v>
      </c>
    </row>
    <row r="830" spans="1:6" x14ac:dyDescent="0.35">
      <c r="A830" t="s">
        <v>1942</v>
      </c>
      <c r="B830" t="s">
        <v>114</v>
      </c>
      <c r="C830" s="14">
        <v>782091249133</v>
      </c>
      <c r="D830" s="14">
        <v>1579604809575</v>
      </c>
      <c r="E830" s="14">
        <v>2056638211199</v>
      </c>
      <c r="F830" s="14">
        <v>2086717131154</v>
      </c>
    </row>
    <row r="831" spans="1:6" x14ac:dyDescent="0.35">
      <c r="A831" t="s">
        <v>1942</v>
      </c>
      <c r="B831" t="s">
        <v>115</v>
      </c>
      <c r="C831" s="14">
        <v>0</v>
      </c>
      <c r="D831" s="14">
        <v>0</v>
      </c>
      <c r="E831" s="14">
        <v>0</v>
      </c>
      <c r="F831" s="14">
        <v>0</v>
      </c>
    </row>
    <row r="832" spans="1:6" x14ac:dyDescent="0.35">
      <c r="A832" t="s">
        <v>1942</v>
      </c>
      <c r="B832" t="s">
        <v>116</v>
      </c>
      <c r="C832" s="14">
        <v>0</v>
      </c>
      <c r="D832" s="14">
        <v>0</v>
      </c>
      <c r="E832" s="14">
        <v>0</v>
      </c>
      <c r="F832" s="14">
        <v>0</v>
      </c>
    </row>
    <row r="833" spans="1:6" x14ac:dyDescent="0.35">
      <c r="A833" t="s">
        <v>1942</v>
      </c>
      <c r="B833" t="s">
        <v>117</v>
      </c>
      <c r="C833" s="14">
        <v>0</v>
      </c>
      <c r="D833" s="14">
        <v>0</v>
      </c>
      <c r="E833" s="14">
        <v>0</v>
      </c>
      <c r="F833" s="14">
        <v>0</v>
      </c>
    </row>
    <row r="834" spans="1:6" x14ac:dyDescent="0.35">
      <c r="A834" t="s">
        <v>1942</v>
      </c>
      <c r="B834" t="s">
        <v>118</v>
      </c>
      <c r="C834" s="14">
        <v>10721668093118</v>
      </c>
      <c r="D834" s="14">
        <v>18687035417527</v>
      </c>
      <c r="E834" s="14">
        <v>21754413518378</v>
      </c>
      <c r="F834" s="14">
        <v>20234797569414</v>
      </c>
    </row>
    <row r="835" spans="1:6" x14ac:dyDescent="0.35">
      <c r="A835" t="s">
        <v>1943</v>
      </c>
      <c r="B835" t="s">
        <v>6</v>
      </c>
      <c r="C835" s="14">
        <v>0</v>
      </c>
      <c r="D835" s="14">
        <v>0</v>
      </c>
      <c r="E835" s="14">
        <v>0</v>
      </c>
      <c r="F835" s="14">
        <v>0</v>
      </c>
    </row>
    <row r="836" spans="1:6" x14ac:dyDescent="0.35">
      <c r="A836" t="s">
        <v>1943</v>
      </c>
      <c r="B836" t="s">
        <v>7</v>
      </c>
      <c r="C836" s="14">
        <v>6008633765955</v>
      </c>
      <c r="D836" s="14">
        <v>6805972262128</v>
      </c>
      <c r="E836" s="14">
        <v>8573479385227</v>
      </c>
      <c r="F836" s="14">
        <v>9524178397527</v>
      </c>
    </row>
    <row r="837" spans="1:6" x14ac:dyDescent="0.35">
      <c r="A837" t="s">
        <v>1943</v>
      </c>
      <c r="B837" t="s">
        <v>8</v>
      </c>
      <c r="C837" s="14">
        <v>651668665185</v>
      </c>
      <c r="D837" s="14">
        <v>1830901134902</v>
      </c>
      <c r="E837" s="14">
        <v>1151270686145</v>
      </c>
      <c r="F837" s="14">
        <v>3022796235406</v>
      </c>
    </row>
    <row r="838" spans="1:6" x14ac:dyDescent="0.35">
      <c r="A838" t="s">
        <v>1943</v>
      </c>
      <c r="B838" t="s">
        <v>9</v>
      </c>
      <c r="C838" s="14">
        <v>234348665185</v>
      </c>
      <c r="D838" s="14">
        <v>259186839056</v>
      </c>
      <c r="E838" s="14">
        <v>457070686145</v>
      </c>
      <c r="F838" s="14">
        <v>288382941082</v>
      </c>
    </row>
    <row r="839" spans="1:6" x14ac:dyDescent="0.35">
      <c r="A839" t="s">
        <v>1943</v>
      </c>
      <c r="B839" t="s">
        <v>10</v>
      </c>
      <c r="C839" s="14">
        <v>417320000000</v>
      </c>
      <c r="D839" s="14">
        <v>1571714295846</v>
      </c>
      <c r="E839" s="14">
        <v>694200000000</v>
      </c>
      <c r="F839" s="14">
        <v>2734413294324</v>
      </c>
    </row>
    <row r="840" spans="1:6" x14ac:dyDescent="0.35">
      <c r="A840" t="s">
        <v>1943</v>
      </c>
      <c r="B840" t="s">
        <v>11</v>
      </c>
      <c r="C840" s="14">
        <v>1328559221660</v>
      </c>
      <c r="D840" s="14">
        <v>913528242575</v>
      </c>
      <c r="E840" s="14">
        <v>1749361611727</v>
      </c>
      <c r="F840" s="14">
        <v>1132366903888</v>
      </c>
    </row>
    <row r="841" spans="1:6" x14ac:dyDescent="0.35">
      <c r="A841" t="s">
        <v>1943</v>
      </c>
      <c r="B841" t="s">
        <v>12</v>
      </c>
      <c r="C841" s="14">
        <v>432981930767</v>
      </c>
      <c r="D841" s="14">
        <v>72553563045</v>
      </c>
      <c r="E841" s="14">
        <v>789692824953</v>
      </c>
      <c r="F841" s="14">
        <v>719448038287</v>
      </c>
    </row>
    <row r="842" spans="1:6" x14ac:dyDescent="0.35">
      <c r="A842" t="s">
        <v>1943</v>
      </c>
      <c r="B842" t="s">
        <v>13</v>
      </c>
      <c r="C842" s="14">
        <v>-953161365</v>
      </c>
      <c r="D842" s="14">
        <v>-293908798</v>
      </c>
      <c r="E842" s="14">
        <v>-802036798</v>
      </c>
      <c r="F842" s="14">
        <v>-823208798</v>
      </c>
    </row>
    <row r="843" spans="1:6" x14ac:dyDescent="0.35">
      <c r="A843" t="s">
        <v>1943</v>
      </c>
      <c r="B843" t="s">
        <v>14</v>
      </c>
      <c r="C843" s="14">
        <v>896530452258</v>
      </c>
      <c r="D843" s="14">
        <v>841268588328</v>
      </c>
      <c r="E843" s="14">
        <v>960470823572</v>
      </c>
      <c r="F843" s="14">
        <v>413742074399</v>
      </c>
    </row>
    <row r="844" spans="1:6" x14ac:dyDescent="0.35">
      <c r="A844" t="s">
        <v>1943</v>
      </c>
      <c r="B844" t="s">
        <v>15</v>
      </c>
      <c r="C844" s="14">
        <v>3082281525922</v>
      </c>
      <c r="D844" s="14">
        <v>2986542167652</v>
      </c>
      <c r="E844" s="14">
        <v>4013295895776</v>
      </c>
      <c r="F844" s="14">
        <v>3780066002722</v>
      </c>
    </row>
    <row r="845" spans="1:6" x14ac:dyDescent="0.35">
      <c r="A845" t="s">
        <v>1943</v>
      </c>
      <c r="B845" t="s">
        <v>16</v>
      </c>
      <c r="C845" s="14">
        <v>1348736174580</v>
      </c>
      <c r="D845" s="14">
        <v>2034510985201</v>
      </c>
      <c r="E845" s="14">
        <v>2664128054611</v>
      </c>
      <c r="F845" s="14">
        <v>3383810477216</v>
      </c>
    </row>
    <row r="846" spans="1:6" x14ac:dyDescent="0.35">
      <c r="A846" t="s">
        <v>1943</v>
      </c>
      <c r="B846" t="s">
        <v>17</v>
      </c>
      <c r="C846" s="14">
        <v>575197923225</v>
      </c>
      <c r="D846" s="14">
        <v>144814816021</v>
      </c>
      <c r="E846" s="14">
        <v>300018240913</v>
      </c>
      <c r="F846" s="14">
        <v>184343335033</v>
      </c>
    </row>
    <row r="847" spans="1:6" x14ac:dyDescent="0.35">
      <c r="A847" t="s">
        <v>1943</v>
      </c>
      <c r="B847" t="s">
        <v>18</v>
      </c>
      <c r="C847" s="14">
        <v>0</v>
      </c>
      <c r="D847" s="14">
        <v>0</v>
      </c>
      <c r="E847" s="14">
        <v>0</v>
      </c>
      <c r="F847" s="14">
        <v>0</v>
      </c>
    </row>
    <row r="848" spans="1:6" x14ac:dyDescent="0.35">
      <c r="A848" t="s">
        <v>1943</v>
      </c>
      <c r="B848" t="s">
        <v>19</v>
      </c>
      <c r="C848" s="14">
        <v>532717915551</v>
      </c>
      <c r="D848" s="14">
        <v>532836195253</v>
      </c>
      <c r="E848" s="14">
        <v>566100289760</v>
      </c>
      <c r="F848" s="14">
        <v>250774075464</v>
      </c>
    </row>
    <row r="849" spans="1:6" x14ac:dyDescent="0.35">
      <c r="A849" t="s">
        <v>1943</v>
      </c>
      <c r="B849" t="s">
        <v>20</v>
      </c>
      <c r="C849" s="14">
        <v>466600000000</v>
      </c>
      <c r="D849" s="14">
        <v>21383880000</v>
      </c>
      <c r="E849" s="14">
        <v>94850000000</v>
      </c>
      <c r="F849" s="14">
        <v>125000000</v>
      </c>
    </row>
    <row r="850" spans="1:6" x14ac:dyDescent="0.35">
      <c r="A850" t="s">
        <v>1943</v>
      </c>
      <c r="B850" t="s">
        <v>21</v>
      </c>
      <c r="C850" s="14">
        <v>253933519330</v>
      </c>
      <c r="D850" s="14">
        <v>372122761655</v>
      </c>
      <c r="E850" s="14">
        <v>596729452561</v>
      </c>
      <c r="F850" s="14">
        <v>392665411764</v>
      </c>
    </row>
    <row r="851" spans="1:6" x14ac:dyDescent="0.35">
      <c r="A851" t="s">
        <v>1943</v>
      </c>
      <c r="B851" t="s">
        <v>22</v>
      </c>
      <c r="C851" s="14">
        <v>-94904006764</v>
      </c>
      <c r="D851" s="14">
        <v>-119126470478</v>
      </c>
      <c r="E851" s="14">
        <v>-208530142069</v>
      </c>
      <c r="F851" s="14">
        <v>-431652296755</v>
      </c>
    </row>
    <row r="852" spans="1:6" x14ac:dyDescent="0.35">
      <c r="A852" t="s">
        <v>1943</v>
      </c>
      <c r="B852" t="s">
        <v>23</v>
      </c>
      <c r="C852" s="14">
        <v>0</v>
      </c>
      <c r="D852" s="14">
        <v>0</v>
      </c>
      <c r="E852" s="14">
        <v>0</v>
      </c>
      <c r="F852" s="14">
        <v>0</v>
      </c>
    </row>
    <row r="853" spans="1:6" x14ac:dyDescent="0.35">
      <c r="A853" t="s">
        <v>1943</v>
      </c>
      <c r="B853" t="s">
        <v>24</v>
      </c>
      <c r="C853" s="14">
        <v>807507044477</v>
      </c>
      <c r="D853" s="14">
        <v>799900814968</v>
      </c>
      <c r="E853" s="14">
        <v>1408572015872</v>
      </c>
      <c r="F853" s="14">
        <v>1353834235393</v>
      </c>
    </row>
    <row r="854" spans="1:6" x14ac:dyDescent="0.35">
      <c r="A854" t="s">
        <v>1943</v>
      </c>
      <c r="B854" t="s">
        <v>25</v>
      </c>
      <c r="C854" s="14">
        <v>813557931672</v>
      </c>
      <c r="D854" s="14">
        <v>806472650348</v>
      </c>
      <c r="E854" s="14">
        <v>1429139313627</v>
      </c>
      <c r="F854" s="14">
        <v>1408746219655</v>
      </c>
    </row>
    <row r="855" spans="1:6" x14ac:dyDescent="0.35">
      <c r="A855" t="s">
        <v>1943</v>
      </c>
      <c r="B855" t="s">
        <v>26</v>
      </c>
      <c r="C855" s="14">
        <v>-6050887195</v>
      </c>
      <c r="D855" s="14">
        <v>-6571835380</v>
      </c>
      <c r="E855" s="14">
        <v>-20567297755</v>
      </c>
      <c r="F855" s="14">
        <v>-54911984262</v>
      </c>
    </row>
    <row r="856" spans="1:6" x14ac:dyDescent="0.35">
      <c r="A856" t="s">
        <v>1943</v>
      </c>
      <c r="B856" t="s">
        <v>27</v>
      </c>
      <c r="C856" s="14">
        <v>138617308711</v>
      </c>
      <c r="D856" s="14">
        <v>275099902031</v>
      </c>
      <c r="E856" s="14">
        <v>250979175707</v>
      </c>
      <c r="F856" s="14">
        <v>235115020118</v>
      </c>
    </row>
    <row r="857" spans="1:6" x14ac:dyDescent="0.35">
      <c r="A857" t="s">
        <v>1943</v>
      </c>
      <c r="B857" t="s">
        <v>28</v>
      </c>
      <c r="C857" s="14">
        <v>5228821855</v>
      </c>
      <c r="D857" s="14">
        <v>9429562749</v>
      </c>
      <c r="E857" s="14">
        <v>15697826117</v>
      </c>
      <c r="F857" s="14">
        <v>18181474950</v>
      </c>
    </row>
    <row r="858" spans="1:6" x14ac:dyDescent="0.35">
      <c r="A858" t="s">
        <v>1943</v>
      </c>
      <c r="B858" t="s">
        <v>29</v>
      </c>
      <c r="C858" s="14">
        <v>127329336990</v>
      </c>
      <c r="D858" s="14">
        <v>260573506690</v>
      </c>
      <c r="E858" s="14">
        <v>229082037252</v>
      </c>
      <c r="F858" s="14">
        <v>199621079972</v>
      </c>
    </row>
    <row r="859" spans="1:6" x14ac:dyDescent="0.35">
      <c r="A859" t="s">
        <v>1943</v>
      </c>
      <c r="B859" t="s">
        <v>30</v>
      </c>
      <c r="C859" s="14">
        <v>6059149866</v>
      </c>
      <c r="D859" s="14">
        <v>5096832592</v>
      </c>
      <c r="E859" s="14">
        <v>6199312338</v>
      </c>
      <c r="F859" s="14">
        <v>17312465196</v>
      </c>
    </row>
    <row r="860" spans="1:6" x14ac:dyDescent="0.35">
      <c r="A860" t="s">
        <v>1943</v>
      </c>
      <c r="B860" t="s">
        <v>31</v>
      </c>
      <c r="C860" s="14">
        <v>0</v>
      </c>
      <c r="D860" s="14">
        <v>0</v>
      </c>
      <c r="E860" s="14">
        <v>0</v>
      </c>
      <c r="F860" s="14">
        <v>0</v>
      </c>
    </row>
    <row r="861" spans="1:6" x14ac:dyDescent="0.35">
      <c r="A861" t="s">
        <v>1943</v>
      </c>
      <c r="B861" t="s">
        <v>32</v>
      </c>
      <c r="C861" s="14">
        <v>0</v>
      </c>
      <c r="D861" s="14">
        <v>0</v>
      </c>
      <c r="E861" s="14">
        <v>0</v>
      </c>
      <c r="F861" s="14">
        <v>0</v>
      </c>
    </row>
    <row r="862" spans="1:6" x14ac:dyDescent="0.35">
      <c r="A862" t="s">
        <v>1943</v>
      </c>
      <c r="B862" t="s">
        <v>33</v>
      </c>
      <c r="C862" s="14">
        <v>14521819968981</v>
      </c>
      <c r="D862" s="14">
        <v>25021031112330</v>
      </c>
      <c r="E862" s="14">
        <v>25341077348281</v>
      </c>
      <c r="F862" s="14">
        <v>25388094448566</v>
      </c>
    </row>
    <row r="863" spans="1:6" x14ac:dyDescent="0.35">
      <c r="A863" t="s">
        <v>1943</v>
      </c>
      <c r="B863" t="s">
        <v>34</v>
      </c>
      <c r="C863" s="14">
        <v>50818488683</v>
      </c>
      <c r="D863" s="14">
        <v>37218252980</v>
      </c>
      <c r="E863" s="14">
        <v>33440930892</v>
      </c>
      <c r="F863" s="14">
        <v>17286556315</v>
      </c>
    </row>
    <row r="864" spans="1:6" x14ac:dyDescent="0.35">
      <c r="A864" t="s">
        <v>1943</v>
      </c>
      <c r="B864" t="s">
        <v>35</v>
      </c>
      <c r="C864" s="14">
        <v>25366596</v>
      </c>
      <c r="D864" s="14">
        <v>28576680</v>
      </c>
      <c r="E864" s="14">
        <v>0</v>
      </c>
      <c r="F864" s="14">
        <v>0</v>
      </c>
    </row>
    <row r="865" spans="1:6" x14ac:dyDescent="0.35">
      <c r="A865" t="s">
        <v>1943</v>
      </c>
      <c r="B865" t="s">
        <v>36</v>
      </c>
      <c r="C865" s="14">
        <v>0</v>
      </c>
      <c r="D865" s="14">
        <v>0</v>
      </c>
      <c r="E865" s="14">
        <v>0</v>
      </c>
      <c r="F865" s="14">
        <v>0</v>
      </c>
    </row>
    <row r="866" spans="1:6" x14ac:dyDescent="0.35">
      <c r="A866" t="s">
        <v>1943</v>
      </c>
      <c r="B866" t="s">
        <v>37</v>
      </c>
      <c r="C866" s="14">
        <v>0</v>
      </c>
      <c r="D866" s="14">
        <v>0</v>
      </c>
      <c r="E866" s="14">
        <v>0</v>
      </c>
      <c r="F866" s="14">
        <v>0</v>
      </c>
    </row>
    <row r="867" spans="1:6" x14ac:dyDescent="0.35">
      <c r="A867" t="s">
        <v>1943</v>
      </c>
      <c r="B867" t="s">
        <v>38</v>
      </c>
      <c r="C867" s="14">
        <v>0</v>
      </c>
      <c r="D867" s="14">
        <v>0</v>
      </c>
      <c r="E867" s="14">
        <v>0</v>
      </c>
      <c r="F867" s="14">
        <v>0</v>
      </c>
    </row>
    <row r="868" spans="1:6" x14ac:dyDescent="0.35">
      <c r="A868" t="s">
        <v>1943</v>
      </c>
      <c r="B868" t="s">
        <v>39</v>
      </c>
      <c r="C868" s="14">
        <v>0</v>
      </c>
      <c r="D868" s="14">
        <v>0</v>
      </c>
      <c r="E868" s="14">
        <v>150000000</v>
      </c>
      <c r="F868" s="14">
        <v>0</v>
      </c>
    </row>
    <row r="869" spans="1:6" x14ac:dyDescent="0.35">
      <c r="A869" t="s">
        <v>1943</v>
      </c>
      <c r="B869" t="s">
        <v>40</v>
      </c>
      <c r="C869" s="14">
        <v>50793122087</v>
      </c>
      <c r="D869" s="14">
        <v>37189676300</v>
      </c>
      <c r="E869" s="14">
        <v>33290930892</v>
      </c>
      <c r="F869" s="14">
        <v>17286556315</v>
      </c>
    </row>
    <row r="870" spans="1:6" x14ac:dyDescent="0.35">
      <c r="A870" t="s">
        <v>1943</v>
      </c>
      <c r="B870" t="s">
        <v>41</v>
      </c>
      <c r="C870" s="14">
        <v>0</v>
      </c>
      <c r="D870" s="14">
        <v>0</v>
      </c>
      <c r="E870" s="14">
        <v>0</v>
      </c>
      <c r="F870" s="14">
        <v>0</v>
      </c>
    </row>
    <row r="871" spans="1:6" x14ac:dyDescent="0.35">
      <c r="A871" t="s">
        <v>1943</v>
      </c>
      <c r="B871" t="s">
        <v>42</v>
      </c>
      <c r="C871" s="14">
        <v>2584784885734</v>
      </c>
      <c r="D871" s="14">
        <v>16057664537080</v>
      </c>
      <c r="E871" s="14">
        <v>15841877918962</v>
      </c>
      <c r="F871" s="14">
        <v>14916512381497</v>
      </c>
    </row>
    <row r="872" spans="1:6" x14ac:dyDescent="0.35">
      <c r="A872" t="s">
        <v>1943</v>
      </c>
      <c r="B872" t="s">
        <v>43</v>
      </c>
      <c r="C872" s="14">
        <v>2518931473102</v>
      </c>
      <c r="D872" s="14">
        <v>15991796379057</v>
      </c>
      <c r="E872" s="14">
        <v>15770540091127</v>
      </c>
      <c r="F872" s="14">
        <v>14845246589235</v>
      </c>
    </row>
    <row r="873" spans="1:6" x14ac:dyDescent="0.35">
      <c r="A873" t="s">
        <v>1943</v>
      </c>
      <c r="B873" t="s">
        <v>44</v>
      </c>
      <c r="C873" s="14">
        <v>4432809340688</v>
      </c>
      <c r="D873" s="14">
        <v>21253746501962</v>
      </c>
      <c r="E873" s="14">
        <v>22224183689275</v>
      </c>
      <c r="F873" s="14">
        <v>22367175742009</v>
      </c>
    </row>
    <row r="874" spans="1:6" x14ac:dyDescent="0.35">
      <c r="A874" t="s">
        <v>1943</v>
      </c>
      <c r="B874" t="s">
        <v>45</v>
      </c>
      <c r="C874" s="14">
        <v>-1913877867586</v>
      </c>
      <c r="D874" s="14">
        <v>-5261950122905</v>
      </c>
      <c r="E874" s="14">
        <v>-6453643598148</v>
      </c>
      <c r="F874" s="14">
        <v>-7521929152774</v>
      </c>
    </row>
    <row r="875" spans="1:6" x14ac:dyDescent="0.35">
      <c r="A875" t="s">
        <v>1943</v>
      </c>
      <c r="B875" t="s">
        <v>46</v>
      </c>
      <c r="C875" s="14">
        <v>0</v>
      </c>
      <c r="D875" s="14">
        <v>0</v>
      </c>
      <c r="E875" s="14">
        <v>0</v>
      </c>
      <c r="F875" s="14">
        <v>0</v>
      </c>
    </row>
    <row r="876" spans="1:6" x14ac:dyDescent="0.35">
      <c r="A876" t="s">
        <v>1943</v>
      </c>
      <c r="B876" t="s">
        <v>44</v>
      </c>
      <c r="C876" s="14">
        <v>0</v>
      </c>
      <c r="D876" s="14">
        <v>0</v>
      </c>
      <c r="E876" s="14">
        <v>0</v>
      </c>
      <c r="F876" s="14">
        <v>0</v>
      </c>
    </row>
    <row r="877" spans="1:6" x14ac:dyDescent="0.35">
      <c r="A877" t="s">
        <v>1943</v>
      </c>
      <c r="B877" t="s">
        <v>45</v>
      </c>
      <c r="C877" s="14">
        <v>0</v>
      </c>
      <c r="D877" s="14">
        <v>0</v>
      </c>
      <c r="E877" s="14">
        <v>0</v>
      </c>
      <c r="F877" s="14">
        <v>0</v>
      </c>
    </row>
    <row r="878" spans="1:6" x14ac:dyDescent="0.35">
      <c r="A878" t="s">
        <v>1943</v>
      </c>
      <c r="B878" t="s">
        <v>47</v>
      </c>
      <c r="C878" s="14">
        <v>65853412632</v>
      </c>
      <c r="D878" s="14">
        <v>65868158023</v>
      </c>
      <c r="E878" s="14">
        <v>71337827835</v>
      </c>
      <c r="F878" s="14">
        <v>71265792262</v>
      </c>
    </row>
    <row r="879" spans="1:6" x14ac:dyDescent="0.35">
      <c r="A879" t="s">
        <v>1943</v>
      </c>
      <c r="B879" t="s">
        <v>44</v>
      </c>
      <c r="C879" s="14">
        <v>83622995915</v>
      </c>
      <c r="D879" s="14">
        <v>84742888325</v>
      </c>
      <c r="E879" s="14">
        <v>91987605208</v>
      </c>
      <c r="F879" s="14">
        <v>94993210911</v>
      </c>
    </row>
    <row r="880" spans="1:6" x14ac:dyDescent="0.35">
      <c r="A880" t="s">
        <v>1943</v>
      </c>
      <c r="B880" t="s">
        <v>45</v>
      </c>
      <c r="C880" s="14">
        <v>-17769583283</v>
      </c>
      <c r="D880" s="14">
        <v>-18874730302</v>
      </c>
      <c r="E880" s="14">
        <v>-20649777373</v>
      </c>
      <c r="F880" s="14">
        <v>-23727418649</v>
      </c>
    </row>
    <row r="881" spans="1:6" x14ac:dyDescent="0.35">
      <c r="A881" t="s">
        <v>1943</v>
      </c>
      <c r="B881" t="s">
        <v>48</v>
      </c>
      <c r="C881" s="14">
        <v>1773066914071</v>
      </c>
      <c r="D881" s="14">
        <v>1570332277547</v>
      </c>
      <c r="E881" s="14">
        <v>1456784566540</v>
      </c>
      <c r="F881" s="14">
        <v>1345379933498</v>
      </c>
    </row>
    <row r="882" spans="1:6" x14ac:dyDescent="0.35">
      <c r="A882" t="s">
        <v>1943</v>
      </c>
      <c r="B882" t="s">
        <v>44</v>
      </c>
      <c r="C882" s="14">
        <v>2616685673894</v>
      </c>
      <c r="D882" s="14">
        <v>2507128328047</v>
      </c>
      <c r="E882" s="14">
        <v>2507128328047</v>
      </c>
      <c r="F882" s="14">
        <v>2509257175775</v>
      </c>
    </row>
    <row r="883" spans="1:6" x14ac:dyDescent="0.35">
      <c r="A883" t="s">
        <v>1943</v>
      </c>
      <c r="B883" t="s">
        <v>45</v>
      </c>
      <c r="C883" s="14">
        <v>-843618759823</v>
      </c>
      <c r="D883" s="14">
        <v>-936796050500</v>
      </c>
      <c r="E883" s="14">
        <v>-1050343761507</v>
      </c>
      <c r="F883" s="14">
        <v>-1163877242277</v>
      </c>
    </row>
    <row r="884" spans="1:6" x14ac:dyDescent="0.35">
      <c r="A884" t="s">
        <v>1943</v>
      </c>
      <c r="B884" t="s">
        <v>49</v>
      </c>
      <c r="C884" s="14">
        <v>275954512618</v>
      </c>
      <c r="D884" s="14">
        <v>405953160121</v>
      </c>
      <c r="E884" s="14">
        <v>549127839666</v>
      </c>
      <c r="F884" s="14">
        <v>1607781748738</v>
      </c>
    </row>
    <row r="885" spans="1:6" x14ac:dyDescent="0.35">
      <c r="A885" t="s">
        <v>1943</v>
      </c>
      <c r="B885" t="s">
        <v>50</v>
      </c>
      <c r="C885" s="14">
        <v>0</v>
      </c>
      <c r="D885" s="14">
        <v>0</v>
      </c>
      <c r="E885" s="14">
        <v>0</v>
      </c>
      <c r="F885" s="14">
        <v>0</v>
      </c>
    </row>
    <row r="886" spans="1:6" x14ac:dyDescent="0.35">
      <c r="A886" t="s">
        <v>1943</v>
      </c>
      <c r="B886" t="s">
        <v>51</v>
      </c>
      <c r="C886" s="14">
        <v>275954512618</v>
      </c>
      <c r="D886" s="14">
        <v>405953160121</v>
      </c>
      <c r="E886" s="14">
        <v>549127839666</v>
      </c>
      <c r="F886" s="14">
        <v>1607781748738</v>
      </c>
    </row>
    <row r="887" spans="1:6" x14ac:dyDescent="0.35">
      <c r="A887" t="s">
        <v>1943</v>
      </c>
      <c r="B887" t="s">
        <v>52</v>
      </c>
      <c r="C887" s="14">
        <v>9287154637597</v>
      </c>
      <c r="D887" s="14">
        <v>6261443381524</v>
      </c>
      <c r="E887" s="14">
        <v>6490632669260</v>
      </c>
      <c r="F887" s="14">
        <v>6560455882295</v>
      </c>
    </row>
    <row r="888" spans="1:6" x14ac:dyDescent="0.35">
      <c r="A888" t="s">
        <v>1943</v>
      </c>
      <c r="B888" t="s">
        <v>53</v>
      </c>
      <c r="C888" s="14">
        <v>0</v>
      </c>
      <c r="D888" s="14">
        <v>0</v>
      </c>
      <c r="E888" s="14">
        <v>0</v>
      </c>
      <c r="F888" s="14">
        <v>0</v>
      </c>
    </row>
    <row r="889" spans="1:6" x14ac:dyDescent="0.35">
      <c r="A889" t="s">
        <v>1943</v>
      </c>
      <c r="B889" t="s">
        <v>54</v>
      </c>
      <c r="C889" s="14">
        <v>8449674018847</v>
      </c>
      <c r="D889" s="14">
        <v>5744934766391</v>
      </c>
      <c r="E889" s="14">
        <v>6174124054127</v>
      </c>
      <c r="F889" s="14">
        <v>6273947267162</v>
      </c>
    </row>
    <row r="890" spans="1:6" x14ac:dyDescent="0.35">
      <c r="A890" t="s">
        <v>1943</v>
      </c>
      <c r="B890" t="s">
        <v>55</v>
      </c>
      <c r="C890" s="14">
        <v>307894164509</v>
      </c>
      <c r="D890" s="14">
        <v>286508615133</v>
      </c>
      <c r="E890" s="14">
        <v>286508615133</v>
      </c>
      <c r="F890" s="14">
        <v>286508615133</v>
      </c>
    </row>
    <row r="891" spans="1:6" x14ac:dyDescent="0.35">
      <c r="A891" t="s">
        <v>1943</v>
      </c>
      <c r="B891" t="s">
        <v>56</v>
      </c>
      <c r="C891" s="14">
        <v>-413545759</v>
      </c>
      <c r="D891" s="14">
        <v>0</v>
      </c>
      <c r="E891" s="14">
        <v>0</v>
      </c>
      <c r="F891" s="14">
        <v>0</v>
      </c>
    </row>
    <row r="892" spans="1:6" x14ac:dyDescent="0.35">
      <c r="A892" t="s">
        <v>1943</v>
      </c>
      <c r="B892" t="s">
        <v>57</v>
      </c>
      <c r="C892" s="14">
        <v>530000000000</v>
      </c>
      <c r="D892" s="14">
        <v>230000000000</v>
      </c>
      <c r="E892" s="14">
        <v>30000000000</v>
      </c>
      <c r="F892" s="14">
        <v>0</v>
      </c>
    </row>
    <row r="893" spans="1:6" x14ac:dyDescent="0.35">
      <c r="A893" t="s">
        <v>1943</v>
      </c>
      <c r="B893" t="s">
        <v>58</v>
      </c>
      <c r="C893" s="14">
        <v>550040530278</v>
      </c>
      <c r="D893" s="14">
        <v>688419503078</v>
      </c>
      <c r="E893" s="14">
        <v>969213422961</v>
      </c>
      <c r="F893" s="14">
        <v>940677946223</v>
      </c>
    </row>
    <row r="894" spans="1:6" x14ac:dyDescent="0.35">
      <c r="A894" t="s">
        <v>1943</v>
      </c>
      <c r="B894" t="s">
        <v>59</v>
      </c>
      <c r="C894" s="14">
        <v>273455227228</v>
      </c>
      <c r="D894" s="14">
        <v>329728703772</v>
      </c>
      <c r="E894" s="14">
        <v>328606640226</v>
      </c>
      <c r="F894" s="14">
        <v>348026033938</v>
      </c>
    </row>
    <row r="895" spans="1:6" x14ac:dyDescent="0.35">
      <c r="A895" t="s">
        <v>1943</v>
      </c>
      <c r="B895" t="s">
        <v>60</v>
      </c>
      <c r="C895" s="14">
        <v>33850243817</v>
      </c>
      <c r="D895" s="14">
        <v>40983442290</v>
      </c>
      <c r="E895" s="14">
        <v>47747812720</v>
      </c>
      <c r="F895" s="14">
        <v>70390079479</v>
      </c>
    </row>
    <row r="896" spans="1:6" x14ac:dyDescent="0.35">
      <c r="A896" t="s">
        <v>1943</v>
      </c>
      <c r="B896" t="s">
        <v>61</v>
      </c>
      <c r="C896" s="14">
        <v>0</v>
      </c>
      <c r="D896" s="14">
        <v>9578302877</v>
      </c>
      <c r="E896" s="14">
        <v>9509596563</v>
      </c>
      <c r="F896" s="14">
        <v>9311028385</v>
      </c>
    </row>
    <row r="897" spans="1:6" x14ac:dyDescent="0.35">
      <c r="A897" t="s">
        <v>1943</v>
      </c>
      <c r="B897" t="s">
        <v>62</v>
      </c>
      <c r="C897" s="14">
        <v>0</v>
      </c>
      <c r="D897" s="14">
        <v>0</v>
      </c>
      <c r="E897" s="14">
        <v>0</v>
      </c>
      <c r="F897" s="14">
        <v>0</v>
      </c>
    </row>
    <row r="898" spans="1:6" x14ac:dyDescent="0.35">
      <c r="A898" t="s">
        <v>1943</v>
      </c>
      <c r="B898" t="s">
        <v>63</v>
      </c>
      <c r="C898" s="14">
        <v>242735059233</v>
      </c>
      <c r="D898" s="14">
        <v>308129054139</v>
      </c>
      <c r="E898" s="14">
        <v>583349373452</v>
      </c>
      <c r="F898" s="14">
        <v>512950804421</v>
      </c>
    </row>
    <row r="899" spans="1:6" x14ac:dyDescent="0.35">
      <c r="A899" t="s">
        <v>1943</v>
      </c>
      <c r="B899" t="s">
        <v>64</v>
      </c>
      <c r="C899" s="14">
        <v>20530453734936</v>
      </c>
      <c r="D899" s="14">
        <v>31827003374458</v>
      </c>
      <c r="E899" s="14">
        <v>33914556733508</v>
      </c>
      <c r="F899" s="14">
        <v>34912272846093</v>
      </c>
    </row>
    <row r="900" spans="1:6" x14ac:dyDescent="0.35">
      <c r="A900" t="s">
        <v>1943</v>
      </c>
      <c r="B900" t="s">
        <v>65</v>
      </c>
      <c r="C900" s="14">
        <v>0</v>
      </c>
      <c r="D900" s="14">
        <v>0</v>
      </c>
      <c r="E900" s="14">
        <v>0</v>
      </c>
      <c r="F900" s="14">
        <v>0</v>
      </c>
    </row>
    <row r="901" spans="1:6" x14ac:dyDescent="0.35">
      <c r="A901" t="s">
        <v>1943</v>
      </c>
      <c r="B901" t="s">
        <v>66</v>
      </c>
      <c r="C901" s="14">
        <v>8317804815307</v>
      </c>
      <c r="D901" s="14">
        <v>15469126320834</v>
      </c>
      <c r="E901" s="14">
        <v>14710864120770</v>
      </c>
      <c r="F901" s="14">
        <v>14142171608105</v>
      </c>
    </row>
    <row r="902" spans="1:6" x14ac:dyDescent="0.35">
      <c r="A902" t="s">
        <v>1943</v>
      </c>
      <c r="B902" t="s">
        <v>67</v>
      </c>
      <c r="C902" s="14">
        <v>3443435067856</v>
      </c>
      <c r="D902" s="14">
        <v>4062369793461</v>
      </c>
      <c r="E902" s="14">
        <v>4086212882813</v>
      </c>
      <c r="F902" s="14">
        <v>3944551522493</v>
      </c>
    </row>
    <row r="903" spans="1:6" x14ac:dyDescent="0.35">
      <c r="A903" t="s">
        <v>1943</v>
      </c>
      <c r="B903" t="s">
        <v>68</v>
      </c>
      <c r="C903" s="14">
        <v>633005027354</v>
      </c>
      <c r="D903" s="14">
        <v>659734149361</v>
      </c>
      <c r="E903" s="14">
        <v>649942308673</v>
      </c>
      <c r="F903" s="14">
        <v>619168441200</v>
      </c>
    </row>
    <row r="904" spans="1:6" x14ac:dyDescent="0.35">
      <c r="A904" t="s">
        <v>1943</v>
      </c>
      <c r="B904" t="s">
        <v>69</v>
      </c>
      <c r="C904" s="14">
        <v>790665979447</v>
      </c>
      <c r="D904" s="14">
        <v>821856327767</v>
      </c>
      <c r="E904" s="14">
        <v>810443650832</v>
      </c>
      <c r="F904" s="14">
        <v>706892085785</v>
      </c>
    </row>
    <row r="905" spans="1:6" x14ac:dyDescent="0.35">
      <c r="A905" t="s">
        <v>1943</v>
      </c>
      <c r="B905" t="s">
        <v>70</v>
      </c>
      <c r="C905" s="14">
        <v>74565360847</v>
      </c>
      <c r="D905" s="14">
        <v>258734682600</v>
      </c>
      <c r="E905" s="14">
        <v>291983466228</v>
      </c>
      <c r="F905" s="14">
        <v>203100791499</v>
      </c>
    </row>
    <row r="906" spans="1:6" x14ac:dyDescent="0.35">
      <c r="A906" t="s">
        <v>1943</v>
      </c>
      <c r="B906" t="s">
        <v>71</v>
      </c>
      <c r="C906" s="14">
        <v>43099301593</v>
      </c>
      <c r="D906" s="14">
        <v>49177188081</v>
      </c>
      <c r="E906" s="14">
        <v>70958413908</v>
      </c>
      <c r="F906" s="14">
        <v>59634113558</v>
      </c>
    </row>
    <row r="907" spans="1:6" x14ac:dyDescent="0.35">
      <c r="A907" t="s">
        <v>1943</v>
      </c>
      <c r="B907" t="s">
        <v>72</v>
      </c>
      <c r="C907" s="14">
        <v>526830482550</v>
      </c>
      <c r="D907" s="14">
        <v>870977279778</v>
      </c>
      <c r="E907" s="14">
        <v>573773399392</v>
      </c>
      <c r="F907" s="14">
        <v>639350330826</v>
      </c>
    </row>
    <row r="908" spans="1:6" x14ac:dyDescent="0.35">
      <c r="A908" t="s">
        <v>1943</v>
      </c>
      <c r="B908" t="s">
        <v>73</v>
      </c>
      <c r="C908" s="14">
        <v>0</v>
      </c>
      <c r="D908" s="14">
        <v>0</v>
      </c>
      <c r="E908" s="14">
        <v>0</v>
      </c>
      <c r="F908" s="14">
        <v>0</v>
      </c>
    </row>
    <row r="909" spans="1:6" x14ac:dyDescent="0.35">
      <c r="A909" t="s">
        <v>1943</v>
      </c>
      <c r="B909" t="s">
        <v>74</v>
      </c>
      <c r="C909" s="14">
        <v>0</v>
      </c>
      <c r="D909" s="14">
        <v>0</v>
      </c>
      <c r="E909" s="14">
        <v>0</v>
      </c>
      <c r="F909" s="14">
        <v>0</v>
      </c>
    </row>
    <row r="910" spans="1:6" x14ac:dyDescent="0.35">
      <c r="A910" t="s">
        <v>1943</v>
      </c>
      <c r="B910" t="s">
        <v>75</v>
      </c>
      <c r="C910" s="14">
        <v>7751271002</v>
      </c>
      <c r="D910" s="14">
        <v>1670313750</v>
      </c>
      <c r="E910" s="14">
        <v>1017889392</v>
      </c>
      <c r="F910" s="14">
        <v>2121159459</v>
      </c>
    </row>
    <row r="911" spans="1:6" x14ac:dyDescent="0.35">
      <c r="A911" t="s">
        <v>1943</v>
      </c>
      <c r="B911" t="s">
        <v>76</v>
      </c>
      <c r="C911" s="14">
        <v>85219286381</v>
      </c>
      <c r="D911" s="14">
        <v>142022151735</v>
      </c>
      <c r="E911" s="14">
        <v>219514673044</v>
      </c>
      <c r="F911" s="14">
        <v>465542804067</v>
      </c>
    </row>
    <row r="912" spans="1:6" x14ac:dyDescent="0.35">
      <c r="A912" t="s">
        <v>1943</v>
      </c>
      <c r="B912" t="s">
        <v>77</v>
      </c>
      <c r="C912" s="14">
        <v>1264637519063</v>
      </c>
      <c r="D912" s="14">
        <v>1233985836561</v>
      </c>
      <c r="E912" s="14">
        <v>1455134067019</v>
      </c>
      <c r="F912" s="14">
        <v>1237930873038</v>
      </c>
    </row>
    <row r="913" spans="1:6" x14ac:dyDescent="0.35">
      <c r="A913" t="s">
        <v>1943</v>
      </c>
      <c r="B913" t="s">
        <v>78</v>
      </c>
      <c r="C913" s="14">
        <v>14777538849</v>
      </c>
      <c r="D913" s="14">
        <v>20118884268</v>
      </c>
      <c r="E913" s="14">
        <v>10556886638</v>
      </c>
      <c r="F913" s="14">
        <v>5569432641</v>
      </c>
    </row>
    <row r="914" spans="1:6" x14ac:dyDescent="0.35">
      <c r="A914" t="s">
        <v>1943</v>
      </c>
      <c r="B914" t="s">
        <v>79</v>
      </c>
      <c r="C914" s="14">
        <v>2883300770</v>
      </c>
      <c r="D914" s="14">
        <v>4092979560</v>
      </c>
      <c r="E914" s="14">
        <v>2888127687</v>
      </c>
      <c r="F914" s="14">
        <v>5241490420</v>
      </c>
    </row>
    <row r="915" spans="1:6" x14ac:dyDescent="0.35">
      <c r="A915" t="s">
        <v>1943</v>
      </c>
      <c r="B915" t="s">
        <v>80</v>
      </c>
      <c r="C915" s="14">
        <v>0</v>
      </c>
      <c r="D915" s="14">
        <v>0</v>
      </c>
      <c r="E915" s="14">
        <v>0</v>
      </c>
      <c r="F915" s="14">
        <v>0</v>
      </c>
    </row>
    <row r="916" spans="1:6" x14ac:dyDescent="0.35">
      <c r="A916" t="s">
        <v>1943</v>
      </c>
      <c r="B916" t="s">
        <v>81</v>
      </c>
      <c r="C916" s="14">
        <v>0</v>
      </c>
      <c r="D916" s="14">
        <v>0</v>
      </c>
      <c r="E916" s="14">
        <v>0</v>
      </c>
      <c r="F916" s="14">
        <v>0</v>
      </c>
    </row>
    <row r="917" spans="1:6" x14ac:dyDescent="0.35">
      <c r="A917" t="s">
        <v>1943</v>
      </c>
      <c r="B917" t="s">
        <v>82</v>
      </c>
      <c r="C917" s="14">
        <v>4874369747451</v>
      </c>
      <c r="D917" s="14">
        <v>11406756527373</v>
      </c>
      <c r="E917" s="14">
        <v>10624651237957</v>
      </c>
      <c r="F917" s="14">
        <v>10197620085612</v>
      </c>
    </row>
    <row r="918" spans="1:6" x14ac:dyDescent="0.35">
      <c r="A918" t="s">
        <v>1943</v>
      </c>
      <c r="B918" t="s">
        <v>83</v>
      </c>
      <c r="C918" s="14">
        <v>0</v>
      </c>
      <c r="D918" s="14">
        <v>0</v>
      </c>
      <c r="E918" s="14">
        <v>0</v>
      </c>
      <c r="F918" s="14">
        <v>0</v>
      </c>
    </row>
    <row r="919" spans="1:6" x14ac:dyDescent="0.35">
      <c r="A919" t="s">
        <v>1943</v>
      </c>
      <c r="B919" t="s">
        <v>84</v>
      </c>
      <c r="C919" s="14">
        <v>0</v>
      </c>
      <c r="D919" s="14">
        <v>0</v>
      </c>
      <c r="E919" s="14">
        <v>0</v>
      </c>
      <c r="F919" s="14">
        <v>0</v>
      </c>
    </row>
    <row r="920" spans="1:6" x14ac:dyDescent="0.35">
      <c r="A920" t="s">
        <v>1943</v>
      </c>
      <c r="B920" t="s">
        <v>85</v>
      </c>
      <c r="C920" s="14">
        <v>0</v>
      </c>
      <c r="D920" s="14">
        <v>0</v>
      </c>
      <c r="E920" s="14">
        <v>0</v>
      </c>
      <c r="F920" s="14">
        <v>0</v>
      </c>
    </row>
    <row r="921" spans="1:6" x14ac:dyDescent="0.35">
      <c r="A921" t="s">
        <v>1943</v>
      </c>
      <c r="B921" t="s">
        <v>86</v>
      </c>
      <c r="C921" s="14">
        <v>0</v>
      </c>
      <c r="D921" s="14">
        <v>0</v>
      </c>
      <c r="E921" s="14">
        <v>0</v>
      </c>
      <c r="F921" s="14">
        <v>0</v>
      </c>
    </row>
    <row r="922" spans="1:6" x14ac:dyDescent="0.35">
      <c r="A922" t="s">
        <v>1943</v>
      </c>
      <c r="B922" t="s">
        <v>87</v>
      </c>
      <c r="C922" s="14">
        <v>0</v>
      </c>
      <c r="D922" s="14">
        <v>0</v>
      </c>
      <c r="E922" s="14">
        <v>0</v>
      </c>
      <c r="F922" s="14">
        <v>0</v>
      </c>
    </row>
    <row r="923" spans="1:6" x14ac:dyDescent="0.35">
      <c r="A923" t="s">
        <v>1943</v>
      </c>
      <c r="B923" t="s">
        <v>88</v>
      </c>
      <c r="C923" s="14">
        <v>264597567171</v>
      </c>
      <c r="D923" s="14">
        <v>0</v>
      </c>
      <c r="E923" s="14">
        <v>1147727272</v>
      </c>
      <c r="F923" s="14">
        <v>329545456</v>
      </c>
    </row>
    <row r="924" spans="1:6" x14ac:dyDescent="0.35">
      <c r="A924" t="s">
        <v>1943</v>
      </c>
      <c r="B924" t="s">
        <v>89</v>
      </c>
      <c r="C924" s="14">
        <v>231568542182</v>
      </c>
      <c r="D924" s="14">
        <v>444716864549</v>
      </c>
      <c r="E924" s="14">
        <v>450928600880</v>
      </c>
      <c r="F924" s="14">
        <v>450928256128</v>
      </c>
    </row>
    <row r="925" spans="1:6" x14ac:dyDescent="0.35">
      <c r="A925" t="s">
        <v>1943</v>
      </c>
      <c r="B925" t="s">
        <v>90</v>
      </c>
      <c r="C925" s="14">
        <v>4334710938577</v>
      </c>
      <c r="D925" s="14">
        <v>10739972813508</v>
      </c>
      <c r="E925" s="14">
        <v>9945950959393</v>
      </c>
      <c r="F925" s="14">
        <v>9504888072199</v>
      </c>
    </row>
    <row r="926" spans="1:6" x14ac:dyDescent="0.35">
      <c r="A926" t="s">
        <v>1943</v>
      </c>
      <c r="B926" t="s">
        <v>91</v>
      </c>
      <c r="C926" s="14">
        <v>0</v>
      </c>
      <c r="D926" s="14">
        <v>0</v>
      </c>
      <c r="E926" s="14">
        <v>0</v>
      </c>
      <c r="F926" s="14">
        <v>0</v>
      </c>
    </row>
    <row r="927" spans="1:6" x14ac:dyDescent="0.35">
      <c r="A927" t="s">
        <v>1943</v>
      </c>
      <c r="B927" t="s">
        <v>92</v>
      </c>
      <c r="C927" s="14">
        <v>0</v>
      </c>
      <c r="D927" s="14">
        <v>0</v>
      </c>
      <c r="E927" s="14">
        <v>0</v>
      </c>
      <c r="F927" s="14">
        <v>0</v>
      </c>
    </row>
    <row r="928" spans="1:6" x14ac:dyDescent="0.35">
      <c r="A928" t="s">
        <v>1943</v>
      </c>
      <c r="B928" t="s">
        <v>93</v>
      </c>
      <c r="C928" s="14">
        <v>0</v>
      </c>
      <c r="D928" s="14">
        <v>189180328850</v>
      </c>
      <c r="E928" s="14">
        <v>189101286239</v>
      </c>
      <c r="F928" s="14">
        <v>189101286239</v>
      </c>
    </row>
    <row r="929" spans="1:6" x14ac:dyDescent="0.35">
      <c r="A929" t="s">
        <v>1943</v>
      </c>
      <c r="B929" t="s">
        <v>94</v>
      </c>
      <c r="C929" s="14">
        <v>43492699521</v>
      </c>
      <c r="D929" s="14">
        <v>32886520466</v>
      </c>
      <c r="E929" s="14">
        <v>37522664173</v>
      </c>
      <c r="F929" s="14">
        <v>52372925590</v>
      </c>
    </row>
    <row r="930" spans="1:6" x14ac:dyDescent="0.35">
      <c r="A930" t="s">
        <v>1943</v>
      </c>
      <c r="B930" t="s">
        <v>95</v>
      </c>
      <c r="C930" s="14">
        <v>0</v>
      </c>
      <c r="D930" s="14">
        <v>0</v>
      </c>
      <c r="E930" s="14">
        <v>0</v>
      </c>
      <c r="F930" s="14">
        <v>0</v>
      </c>
    </row>
    <row r="931" spans="1:6" x14ac:dyDescent="0.35">
      <c r="A931" t="s">
        <v>1943</v>
      </c>
      <c r="B931" t="s">
        <v>96</v>
      </c>
      <c r="C931" s="14">
        <v>12212648919629</v>
      </c>
      <c r="D931" s="14">
        <v>16357877053624</v>
      </c>
      <c r="E931" s="14">
        <v>19203692612738</v>
      </c>
      <c r="F931" s="14">
        <v>20770101237988</v>
      </c>
    </row>
    <row r="932" spans="1:6" x14ac:dyDescent="0.35">
      <c r="A932" t="s">
        <v>1943</v>
      </c>
      <c r="B932" t="s">
        <v>97</v>
      </c>
      <c r="C932" s="14">
        <v>12212648919629</v>
      </c>
      <c r="D932" s="14">
        <v>16357877053624</v>
      </c>
      <c r="E932" s="14">
        <v>19203692612738</v>
      </c>
      <c r="F932" s="14">
        <v>20770101237988</v>
      </c>
    </row>
    <row r="933" spans="1:6" x14ac:dyDescent="0.35">
      <c r="A933" t="s">
        <v>1943</v>
      </c>
      <c r="B933" t="s">
        <v>98</v>
      </c>
      <c r="C933" s="14">
        <v>3100588410000</v>
      </c>
      <c r="D933" s="14">
        <v>3100588410000</v>
      </c>
      <c r="E933" s="14">
        <v>3564104840000</v>
      </c>
      <c r="F933" s="14">
        <v>4097142600000</v>
      </c>
    </row>
    <row r="934" spans="1:6" x14ac:dyDescent="0.35">
      <c r="A934" t="s">
        <v>1943</v>
      </c>
      <c r="B934" t="s">
        <v>99</v>
      </c>
      <c r="C934" s="14">
        <v>3100588410000</v>
      </c>
      <c r="D934" s="14">
        <v>3100588410000</v>
      </c>
      <c r="E934" s="14">
        <v>3564104840000</v>
      </c>
      <c r="F934" s="14">
        <v>4097142600000</v>
      </c>
    </row>
    <row r="935" spans="1:6" x14ac:dyDescent="0.35">
      <c r="A935" t="s">
        <v>1943</v>
      </c>
      <c r="B935" t="s">
        <v>100</v>
      </c>
      <c r="C935" s="14">
        <v>0</v>
      </c>
      <c r="D935" s="14">
        <v>0</v>
      </c>
      <c r="E935" s="14">
        <v>0</v>
      </c>
      <c r="F935" s="14">
        <v>0</v>
      </c>
    </row>
    <row r="936" spans="1:6" x14ac:dyDescent="0.35">
      <c r="A936" t="s">
        <v>1943</v>
      </c>
      <c r="B936" t="s">
        <v>101</v>
      </c>
      <c r="C936" s="14">
        <v>1050489310786</v>
      </c>
      <c r="D936" s="14">
        <v>1050489310786</v>
      </c>
      <c r="E936" s="14">
        <v>1050489310786</v>
      </c>
      <c r="F936" s="14">
        <v>1050489310786</v>
      </c>
    </row>
    <row r="937" spans="1:6" x14ac:dyDescent="0.35">
      <c r="A937" t="s">
        <v>1943</v>
      </c>
      <c r="B937" t="s">
        <v>102</v>
      </c>
      <c r="C937" s="14">
        <v>0</v>
      </c>
      <c r="D937" s="14">
        <v>0</v>
      </c>
      <c r="E937" s="14">
        <v>0</v>
      </c>
      <c r="F937" s="14">
        <v>0</v>
      </c>
    </row>
    <row r="938" spans="1:6" x14ac:dyDescent="0.35">
      <c r="A938" t="s">
        <v>1943</v>
      </c>
      <c r="B938" t="s">
        <v>103</v>
      </c>
      <c r="C938" s="14">
        <v>0</v>
      </c>
      <c r="D938" s="14">
        <v>0</v>
      </c>
      <c r="E938" s="14">
        <v>0</v>
      </c>
      <c r="F938" s="14">
        <v>0</v>
      </c>
    </row>
    <row r="939" spans="1:6" x14ac:dyDescent="0.35">
      <c r="A939" t="s">
        <v>1943</v>
      </c>
      <c r="B939" t="s">
        <v>104</v>
      </c>
      <c r="C939" s="14">
        <v>-47622230162</v>
      </c>
      <c r="D939" s="14">
        <v>-47622230162</v>
      </c>
      <c r="E939" s="14">
        <v>-47622230162</v>
      </c>
      <c r="F939" s="14">
        <v>-47622230162</v>
      </c>
    </row>
    <row r="940" spans="1:6" x14ac:dyDescent="0.35">
      <c r="A940" t="s">
        <v>1943</v>
      </c>
      <c r="B940" t="s">
        <v>105</v>
      </c>
      <c r="C940" s="14">
        <v>0</v>
      </c>
      <c r="D940" s="14">
        <v>0</v>
      </c>
      <c r="E940" s="14">
        <v>0</v>
      </c>
      <c r="F940" s="14">
        <v>0</v>
      </c>
    </row>
    <row r="941" spans="1:6" x14ac:dyDescent="0.35">
      <c r="A941" t="s">
        <v>1943</v>
      </c>
      <c r="B941" t="s">
        <v>106</v>
      </c>
      <c r="C941" s="14">
        <v>0</v>
      </c>
      <c r="D941" s="14">
        <v>0</v>
      </c>
      <c r="E941" s="14">
        <v>0</v>
      </c>
      <c r="F941" s="14">
        <v>0</v>
      </c>
    </row>
    <row r="942" spans="1:6" x14ac:dyDescent="0.35">
      <c r="A942" t="s">
        <v>1943</v>
      </c>
      <c r="B942" t="s">
        <v>107</v>
      </c>
      <c r="C942" s="14">
        <v>234721594748</v>
      </c>
      <c r="D942" s="14">
        <v>234678637677</v>
      </c>
      <c r="E942" s="14">
        <v>234678637677</v>
      </c>
      <c r="F942" s="14">
        <v>415591264689</v>
      </c>
    </row>
    <row r="943" spans="1:6" x14ac:dyDescent="0.35">
      <c r="A943" t="s">
        <v>1943</v>
      </c>
      <c r="B943" t="s">
        <v>108</v>
      </c>
      <c r="C943" s="14">
        <v>0</v>
      </c>
      <c r="D943" s="14">
        <v>0</v>
      </c>
      <c r="E943" s="14">
        <v>0</v>
      </c>
      <c r="F943" s="14">
        <v>0</v>
      </c>
    </row>
    <row r="944" spans="1:6" x14ac:dyDescent="0.35">
      <c r="A944" t="s">
        <v>1943</v>
      </c>
      <c r="B944" t="s">
        <v>109</v>
      </c>
      <c r="C944" s="14">
        <v>0</v>
      </c>
      <c r="D944" s="14">
        <v>0</v>
      </c>
      <c r="E944" s="14">
        <v>0</v>
      </c>
      <c r="F944" s="14">
        <v>0</v>
      </c>
    </row>
    <row r="945" spans="1:6" x14ac:dyDescent="0.35">
      <c r="A945" t="s">
        <v>1943</v>
      </c>
      <c r="B945" t="s">
        <v>110</v>
      </c>
      <c r="C945" s="14">
        <v>7114818742145</v>
      </c>
      <c r="D945" s="14">
        <v>8963840558977</v>
      </c>
      <c r="E945" s="14">
        <v>10704620223639</v>
      </c>
      <c r="F945" s="14">
        <v>11802464925759</v>
      </c>
    </row>
    <row r="946" spans="1:6" x14ac:dyDescent="0.35">
      <c r="A946" t="s">
        <v>1943</v>
      </c>
      <c r="B946" t="s">
        <v>111</v>
      </c>
      <c r="C946" s="14">
        <v>1628076208584</v>
      </c>
      <c r="D946" s="14">
        <v>1855079628131</v>
      </c>
      <c r="E946" s="14">
        <v>8012103633221</v>
      </c>
      <c r="F946" s="14">
        <v>9614148267291</v>
      </c>
    </row>
    <row r="947" spans="1:6" x14ac:dyDescent="0.35">
      <c r="A947" t="s">
        <v>1943</v>
      </c>
      <c r="B947" t="s">
        <v>112</v>
      </c>
      <c r="C947" s="14">
        <v>5486742533561</v>
      </c>
      <c r="D947" s="14">
        <v>7108760930846</v>
      </c>
      <c r="E947" s="14">
        <v>2692516590418</v>
      </c>
      <c r="F947" s="14">
        <v>2188316658468</v>
      </c>
    </row>
    <row r="948" spans="1:6" x14ac:dyDescent="0.35">
      <c r="A948" t="s">
        <v>1943</v>
      </c>
      <c r="B948" t="s">
        <v>113</v>
      </c>
      <c r="C948" s="14">
        <v>0</v>
      </c>
      <c r="D948" s="14">
        <v>0</v>
      </c>
      <c r="E948" s="14">
        <v>0</v>
      </c>
      <c r="F948" s="14">
        <v>0</v>
      </c>
    </row>
    <row r="949" spans="1:6" x14ac:dyDescent="0.35">
      <c r="A949" t="s">
        <v>1943</v>
      </c>
      <c r="B949" t="s">
        <v>114</v>
      </c>
      <c r="C949" s="14">
        <v>759653092112</v>
      </c>
      <c r="D949" s="14">
        <v>3055902366346</v>
      </c>
      <c r="E949" s="14">
        <v>3697421830798</v>
      </c>
      <c r="F949" s="14">
        <v>3452035366916</v>
      </c>
    </row>
    <row r="950" spans="1:6" x14ac:dyDescent="0.35">
      <c r="A950" t="s">
        <v>1943</v>
      </c>
      <c r="B950" t="s">
        <v>115</v>
      </c>
      <c r="C950" s="14">
        <v>0</v>
      </c>
      <c r="D950" s="14">
        <v>0</v>
      </c>
      <c r="E950" s="14">
        <v>0</v>
      </c>
      <c r="F950" s="14">
        <v>0</v>
      </c>
    </row>
    <row r="951" spans="1:6" x14ac:dyDescent="0.35">
      <c r="A951" t="s">
        <v>1943</v>
      </c>
      <c r="B951" t="s">
        <v>116</v>
      </c>
      <c r="C951" s="14">
        <v>0</v>
      </c>
      <c r="D951" s="14">
        <v>0</v>
      </c>
      <c r="E951" s="14">
        <v>0</v>
      </c>
      <c r="F951" s="14">
        <v>0</v>
      </c>
    </row>
    <row r="952" spans="1:6" x14ac:dyDescent="0.35">
      <c r="A952" t="s">
        <v>1943</v>
      </c>
      <c r="B952" t="s">
        <v>117</v>
      </c>
      <c r="C952" s="14">
        <v>0</v>
      </c>
      <c r="D952" s="14">
        <v>0</v>
      </c>
      <c r="E952" s="14">
        <v>0</v>
      </c>
      <c r="F952" s="14">
        <v>0</v>
      </c>
    </row>
    <row r="953" spans="1:6" x14ac:dyDescent="0.35">
      <c r="A953" t="s">
        <v>1943</v>
      </c>
      <c r="B953" t="s">
        <v>118</v>
      </c>
      <c r="C953" s="14">
        <v>20530453734936</v>
      </c>
      <c r="D953" s="14">
        <v>31827003374458</v>
      </c>
      <c r="E953" s="14">
        <v>33914556733508</v>
      </c>
      <c r="F953" s="14">
        <v>34912272846093</v>
      </c>
    </row>
    <row r="954" spans="1:6" x14ac:dyDescent="0.35">
      <c r="A954" t="s">
        <v>1958</v>
      </c>
      <c r="B954" t="s">
        <v>6</v>
      </c>
      <c r="C954" s="14">
        <v>0</v>
      </c>
      <c r="D954" s="14">
        <v>0</v>
      </c>
      <c r="E954" s="14">
        <v>0</v>
      </c>
      <c r="F954" s="14">
        <v>0</v>
      </c>
    </row>
    <row r="955" spans="1:6" x14ac:dyDescent="0.35">
      <c r="A955" t="s">
        <v>1958</v>
      </c>
      <c r="B955" t="s">
        <v>7</v>
      </c>
      <c r="C955" s="14">
        <v>100021195558</v>
      </c>
      <c r="D955" s="14">
        <v>159699899959</v>
      </c>
      <c r="E955" s="14">
        <v>203064085050</v>
      </c>
      <c r="F955" s="14">
        <v>196548132130</v>
      </c>
    </row>
    <row r="956" spans="1:6" x14ac:dyDescent="0.35">
      <c r="A956" t="s">
        <v>1958</v>
      </c>
      <c r="B956" t="s">
        <v>8</v>
      </c>
      <c r="C956" s="14">
        <v>4005735990</v>
      </c>
      <c r="D956" s="14">
        <v>23910422402</v>
      </c>
      <c r="E956" s="14">
        <v>82532622419</v>
      </c>
      <c r="F956" s="14">
        <v>3907257691</v>
      </c>
    </row>
    <row r="957" spans="1:6" x14ac:dyDescent="0.35">
      <c r="A957" t="s">
        <v>1958</v>
      </c>
      <c r="B957" t="s">
        <v>9</v>
      </c>
      <c r="C957" s="14">
        <v>4005735990</v>
      </c>
      <c r="D957" s="14">
        <v>23910422402</v>
      </c>
      <c r="E957" s="14">
        <v>82532622419</v>
      </c>
      <c r="F957" s="14">
        <v>3907257691</v>
      </c>
    </row>
    <row r="958" spans="1:6" x14ac:dyDescent="0.35">
      <c r="A958" t="s">
        <v>1958</v>
      </c>
      <c r="B958" t="s">
        <v>10</v>
      </c>
      <c r="C958" s="14">
        <v>0</v>
      </c>
      <c r="D958" s="14">
        <v>0</v>
      </c>
      <c r="E958" s="14">
        <v>0</v>
      </c>
      <c r="F958" s="14">
        <v>0</v>
      </c>
    </row>
    <row r="959" spans="1:6" x14ac:dyDescent="0.35">
      <c r="A959" t="s">
        <v>1958</v>
      </c>
      <c r="B959" t="s">
        <v>11</v>
      </c>
      <c r="C959" s="14">
        <v>0</v>
      </c>
      <c r="D959" s="14">
        <v>0</v>
      </c>
      <c r="E959" s="14">
        <v>0</v>
      </c>
      <c r="F959" s="14">
        <v>0</v>
      </c>
    </row>
    <row r="960" spans="1:6" x14ac:dyDescent="0.35">
      <c r="A960" t="s">
        <v>1958</v>
      </c>
      <c r="B960" t="s">
        <v>12</v>
      </c>
      <c r="C960" s="14">
        <v>0</v>
      </c>
      <c r="D960" s="14">
        <v>0</v>
      </c>
      <c r="E960" s="14">
        <v>0</v>
      </c>
      <c r="F960" s="14">
        <v>0</v>
      </c>
    </row>
    <row r="961" spans="1:6" x14ac:dyDescent="0.35">
      <c r="A961" t="s">
        <v>1958</v>
      </c>
      <c r="B961" t="s">
        <v>13</v>
      </c>
      <c r="C961" s="14">
        <v>0</v>
      </c>
      <c r="D961" s="14">
        <v>0</v>
      </c>
      <c r="E961" s="14">
        <v>0</v>
      </c>
      <c r="F961" s="14">
        <v>0</v>
      </c>
    </row>
    <row r="962" spans="1:6" x14ac:dyDescent="0.35">
      <c r="A962" t="s">
        <v>1958</v>
      </c>
      <c r="B962" t="s">
        <v>14</v>
      </c>
      <c r="C962" s="14">
        <v>0</v>
      </c>
      <c r="D962" s="14">
        <v>0</v>
      </c>
      <c r="E962" s="14">
        <v>0</v>
      </c>
      <c r="F962" s="14">
        <v>0</v>
      </c>
    </row>
    <row r="963" spans="1:6" x14ac:dyDescent="0.35">
      <c r="A963" t="s">
        <v>1958</v>
      </c>
      <c r="B963" t="s">
        <v>15</v>
      </c>
      <c r="C963" s="14">
        <v>91510299816</v>
      </c>
      <c r="D963" s="14">
        <v>117524036190</v>
      </c>
      <c r="E963" s="14">
        <v>118863070794</v>
      </c>
      <c r="F963" s="14">
        <v>192335164438</v>
      </c>
    </row>
    <row r="964" spans="1:6" x14ac:dyDescent="0.35">
      <c r="A964" t="s">
        <v>1958</v>
      </c>
      <c r="B964" t="s">
        <v>16</v>
      </c>
      <c r="C964" s="14">
        <v>49063025057</v>
      </c>
      <c r="D964" s="14">
        <v>59874896470</v>
      </c>
      <c r="E964" s="14">
        <v>68242327282</v>
      </c>
      <c r="F964" s="14">
        <v>87028879344</v>
      </c>
    </row>
    <row r="965" spans="1:6" x14ac:dyDescent="0.35">
      <c r="A965" t="s">
        <v>1958</v>
      </c>
      <c r="B965" t="s">
        <v>17</v>
      </c>
      <c r="C965" s="14">
        <v>39882894330</v>
      </c>
      <c r="D965" s="14">
        <v>53688790798</v>
      </c>
      <c r="E965" s="14">
        <v>45577291611</v>
      </c>
      <c r="F965" s="14">
        <v>8360501880</v>
      </c>
    </row>
    <row r="966" spans="1:6" x14ac:dyDescent="0.35">
      <c r="A966" t="s">
        <v>1958</v>
      </c>
      <c r="B966" t="s">
        <v>18</v>
      </c>
      <c r="C966" s="14">
        <v>0</v>
      </c>
      <c r="D966" s="14">
        <v>0</v>
      </c>
      <c r="E966" s="14">
        <v>0</v>
      </c>
      <c r="F966" s="14">
        <v>0</v>
      </c>
    </row>
    <row r="967" spans="1:6" x14ac:dyDescent="0.35">
      <c r="A967" t="s">
        <v>1958</v>
      </c>
      <c r="B967" t="s">
        <v>19</v>
      </c>
      <c r="C967" s="14">
        <v>0</v>
      </c>
      <c r="D967" s="14">
        <v>0</v>
      </c>
      <c r="E967" s="14">
        <v>0</v>
      </c>
      <c r="F967" s="14">
        <v>0</v>
      </c>
    </row>
    <row r="968" spans="1:6" x14ac:dyDescent="0.35">
      <c r="A968" t="s">
        <v>1958</v>
      </c>
      <c r="B968" t="s">
        <v>20</v>
      </c>
      <c r="C968" s="14">
        <v>0</v>
      </c>
      <c r="D968" s="14">
        <v>0</v>
      </c>
      <c r="E968" s="14">
        <v>0</v>
      </c>
      <c r="F968" s="14">
        <v>0</v>
      </c>
    </row>
    <row r="969" spans="1:6" x14ac:dyDescent="0.35">
      <c r="A969" t="s">
        <v>1958</v>
      </c>
      <c r="B969" t="s">
        <v>21</v>
      </c>
      <c r="C969" s="14">
        <v>2564380429</v>
      </c>
      <c r="D969" s="14">
        <v>3960348922</v>
      </c>
      <c r="E969" s="14">
        <v>5043451901</v>
      </c>
      <c r="F969" s="14">
        <v>96945783214</v>
      </c>
    </row>
    <row r="970" spans="1:6" x14ac:dyDescent="0.35">
      <c r="A970" t="s">
        <v>1958</v>
      </c>
      <c r="B970" t="s">
        <v>22</v>
      </c>
      <c r="C970" s="14">
        <v>0</v>
      </c>
      <c r="D970" s="14">
        <v>0</v>
      </c>
      <c r="E970" s="14">
        <v>0</v>
      </c>
      <c r="F970" s="14">
        <v>0</v>
      </c>
    </row>
    <row r="971" spans="1:6" x14ac:dyDescent="0.35">
      <c r="A971" t="s">
        <v>1958</v>
      </c>
      <c r="B971" t="s">
        <v>23</v>
      </c>
      <c r="C971" s="14">
        <v>0</v>
      </c>
      <c r="D971" s="14">
        <v>0</v>
      </c>
      <c r="E971" s="14">
        <v>0</v>
      </c>
      <c r="F971" s="14">
        <v>0</v>
      </c>
    </row>
    <row r="972" spans="1:6" x14ac:dyDescent="0.35">
      <c r="A972" t="s">
        <v>1958</v>
      </c>
      <c r="B972" t="s">
        <v>24</v>
      </c>
      <c r="C972" s="14">
        <v>0</v>
      </c>
      <c r="D972" s="14">
        <v>0</v>
      </c>
      <c r="E972" s="14">
        <v>0</v>
      </c>
      <c r="F972" s="14">
        <v>0</v>
      </c>
    </row>
    <row r="973" spans="1:6" x14ac:dyDescent="0.35">
      <c r="A973" t="s">
        <v>1958</v>
      </c>
      <c r="B973" t="s">
        <v>25</v>
      </c>
      <c r="C973" s="14">
        <v>0</v>
      </c>
      <c r="D973" s="14">
        <v>0</v>
      </c>
      <c r="E973" s="14">
        <v>0</v>
      </c>
      <c r="F973" s="14">
        <v>0</v>
      </c>
    </row>
    <row r="974" spans="1:6" x14ac:dyDescent="0.35">
      <c r="A974" t="s">
        <v>1958</v>
      </c>
      <c r="B974" t="s">
        <v>26</v>
      </c>
      <c r="C974" s="14">
        <v>0</v>
      </c>
      <c r="D974" s="14">
        <v>0</v>
      </c>
      <c r="E974" s="14">
        <v>0</v>
      </c>
      <c r="F974" s="14">
        <v>0</v>
      </c>
    </row>
    <row r="975" spans="1:6" x14ac:dyDescent="0.35">
      <c r="A975" t="s">
        <v>1958</v>
      </c>
      <c r="B975" t="s">
        <v>27</v>
      </c>
      <c r="C975" s="14">
        <v>4505159752</v>
      </c>
      <c r="D975" s="14">
        <v>18265441367</v>
      </c>
      <c r="E975" s="14">
        <v>1668391837</v>
      </c>
      <c r="F975" s="14">
        <v>305710001</v>
      </c>
    </row>
    <row r="976" spans="1:6" x14ac:dyDescent="0.35">
      <c r="A976" t="s">
        <v>1958</v>
      </c>
      <c r="B976" t="s">
        <v>28</v>
      </c>
      <c r="C976" s="14">
        <v>201685562</v>
      </c>
      <c r="D976" s="14">
        <v>12610108782</v>
      </c>
      <c r="E976" s="14">
        <v>1643426690</v>
      </c>
      <c r="F976" s="14">
        <v>305710001</v>
      </c>
    </row>
    <row r="977" spans="1:6" x14ac:dyDescent="0.35">
      <c r="A977" t="s">
        <v>1958</v>
      </c>
      <c r="B977" t="s">
        <v>29</v>
      </c>
      <c r="C977" s="14">
        <v>4303474190</v>
      </c>
      <c r="D977" s="14">
        <v>5655332585</v>
      </c>
      <c r="E977" s="14">
        <v>24965147</v>
      </c>
      <c r="F977" s="14">
        <v>0</v>
      </c>
    </row>
    <row r="978" spans="1:6" x14ac:dyDescent="0.35">
      <c r="A978" t="s">
        <v>1958</v>
      </c>
      <c r="B978" t="s">
        <v>30</v>
      </c>
      <c r="C978" s="14">
        <v>0</v>
      </c>
      <c r="D978" s="14">
        <v>0</v>
      </c>
      <c r="E978" s="14">
        <v>0</v>
      </c>
      <c r="F978" s="14">
        <v>0</v>
      </c>
    </row>
    <row r="979" spans="1:6" x14ac:dyDescent="0.35">
      <c r="A979" t="s">
        <v>1958</v>
      </c>
      <c r="B979" t="s">
        <v>31</v>
      </c>
      <c r="C979" s="14">
        <v>0</v>
      </c>
      <c r="D979" s="14">
        <v>0</v>
      </c>
      <c r="E979" s="14">
        <v>0</v>
      </c>
      <c r="F979" s="14">
        <v>0</v>
      </c>
    </row>
    <row r="980" spans="1:6" x14ac:dyDescent="0.35">
      <c r="A980" t="s">
        <v>1958</v>
      </c>
      <c r="B980" t="s">
        <v>32</v>
      </c>
      <c r="C980" s="14">
        <v>0</v>
      </c>
      <c r="D980" s="14">
        <v>0</v>
      </c>
      <c r="E980" s="14">
        <v>0</v>
      </c>
      <c r="F980" s="14">
        <v>0</v>
      </c>
    </row>
    <row r="981" spans="1:6" x14ac:dyDescent="0.35">
      <c r="A981" t="s">
        <v>1958</v>
      </c>
      <c r="B981" t="s">
        <v>33</v>
      </c>
      <c r="C981" s="14">
        <v>4623434381307</v>
      </c>
      <c r="D981" s="14">
        <v>4593922207859</v>
      </c>
      <c r="E981" s="14">
        <v>4393559156031</v>
      </c>
      <c r="F981" s="14">
        <v>4179988266151</v>
      </c>
    </row>
    <row r="982" spans="1:6" x14ac:dyDescent="0.35">
      <c r="A982" t="s">
        <v>1958</v>
      </c>
      <c r="B982" t="s">
        <v>34</v>
      </c>
      <c r="C982" s="14">
        <v>0</v>
      </c>
      <c r="D982" s="14">
        <v>0</v>
      </c>
      <c r="E982" s="14">
        <v>0</v>
      </c>
      <c r="F982" s="14">
        <v>0</v>
      </c>
    </row>
    <row r="983" spans="1:6" x14ac:dyDescent="0.35">
      <c r="A983" t="s">
        <v>1958</v>
      </c>
      <c r="B983" t="s">
        <v>35</v>
      </c>
      <c r="C983" s="14">
        <v>0</v>
      </c>
      <c r="D983" s="14">
        <v>0</v>
      </c>
      <c r="E983" s="14">
        <v>0</v>
      </c>
      <c r="F983" s="14">
        <v>0</v>
      </c>
    </row>
    <row r="984" spans="1:6" x14ac:dyDescent="0.35">
      <c r="A984" t="s">
        <v>1958</v>
      </c>
      <c r="B984" t="s">
        <v>36</v>
      </c>
      <c r="C984" s="14">
        <v>0</v>
      </c>
      <c r="D984" s="14">
        <v>0</v>
      </c>
      <c r="E984" s="14">
        <v>0</v>
      </c>
      <c r="F984" s="14">
        <v>0</v>
      </c>
    </row>
    <row r="985" spans="1:6" x14ac:dyDescent="0.35">
      <c r="A985" t="s">
        <v>1958</v>
      </c>
      <c r="B985" t="s">
        <v>37</v>
      </c>
      <c r="C985" s="14">
        <v>0</v>
      </c>
      <c r="D985" s="14">
        <v>0</v>
      </c>
      <c r="E985" s="14">
        <v>0</v>
      </c>
      <c r="F985" s="14">
        <v>0</v>
      </c>
    </row>
    <row r="986" spans="1:6" x14ac:dyDescent="0.35">
      <c r="A986" t="s">
        <v>1958</v>
      </c>
      <c r="B986" t="s">
        <v>38</v>
      </c>
      <c r="C986" s="14">
        <v>0</v>
      </c>
      <c r="D986" s="14">
        <v>0</v>
      </c>
      <c r="E986" s="14">
        <v>0</v>
      </c>
      <c r="F986" s="14">
        <v>0</v>
      </c>
    </row>
    <row r="987" spans="1:6" x14ac:dyDescent="0.35">
      <c r="A987" t="s">
        <v>1958</v>
      </c>
      <c r="B987" t="s">
        <v>39</v>
      </c>
      <c r="C987" s="14">
        <v>0</v>
      </c>
      <c r="D987" s="14">
        <v>0</v>
      </c>
      <c r="E987" s="14">
        <v>0</v>
      </c>
      <c r="F987" s="14">
        <v>0</v>
      </c>
    </row>
    <row r="988" spans="1:6" x14ac:dyDescent="0.35">
      <c r="A988" t="s">
        <v>1958</v>
      </c>
      <c r="B988" t="s">
        <v>40</v>
      </c>
      <c r="C988" s="14">
        <v>0</v>
      </c>
      <c r="D988" s="14">
        <v>0</v>
      </c>
      <c r="E988" s="14">
        <v>0</v>
      </c>
      <c r="F988" s="14">
        <v>0</v>
      </c>
    </row>
    <row r="989" spans="1:6" x14ac:dyDescent="0.35">
      <c r="A989" t="s">
        <v>1958</v>
      </c>
      <c r="B989" t="s">
        <v>41</v>
      </c>
      <c r="C989" s="14">
        <v>0</v>
      </c>
      <c r="D989" s="14">
        <v>0</v>
      </c>
      <c r="E989" s="14">
        <v>0</v>
      </c>
      <c r="F989" s="14">
        <v>0</v>
      </c>
    </row>
    <row r="990" spans="1:6" x14ac:dyDescent="0.35">
      <c r="A990" t="s">
        <v>1958</v>
      </c>
      <c r="B990" t="s">
        <v>42</v>
      </c>
      <c r="C990" s="14">
        <v>3657429177860</v>
      </c>
      <c r="D990" s="14">
        <v>4435236049078</v>
      </c>
      <c r="E990" s="14">
        <v>4240290844108</v>
      </c>
      <c r="F990" s="14">
        <v>4034548028839</v>
      </c>
    </row>
    <row r="991" spans="1:6" x14ac:dyDescent="0.35">
      <c r="A991" t="s">
        <v>1958</v>
      </c>
      <c r="B991" t="s">
        <v>43</v>
      </c>
      <c r="C991" s="14">
        <v>3657281450960</v>
      </c>
      <c r="D991" s="14">
        <v>4435088322178</v>
      </c>
      <c r="E991" s="14">
        <v>4240143117208</v>
      </c>
      <c r="F991" s="14">
        <v>4034400301939</v>
      </c>
    </row>
    <row r="992" spans="1:6" x14ac:dyDescent="0.35">
      <c r="A992" t="s">
        <v>1958</v>
      </c>
      <c r="B992" t="s">
        <v>44</v>
      </c>
      <c r="C992" s="14">
        <v>4060490880354</v>
      </c>
      <c r="D992" s="14">
        <v>5044663343303</v>
      </c>
      <c r="E992" s="14">
        <v>5055677710378</v>
      </c>
      <c r="F992" s="14">
        <v>5055677710378</v>
      </c>
    </row>
    <row r="993" spans="1:6" x14ac:dyDescent="0.35">
      <c r="A993" t="s">
        <v>1958</v>
      </c>
      <c r="B993" t="s">
        <v>45</v>
      </c>
      <c r="C993" s="14">
        <v>-403209429394</v>
      </c>
      <c r="D993" s="14">
        <v>-609575021125</v>
      </c>
      <c r="E993" s="14">
        <v>-815534593170</v>
      </c>
      <c r="F993" s="14">
        <v>-1021277408439</v>
      </c>
    </row>
    <row r="994" spans="1:6" x14ac:dyDescent="0.35">
      <c r="A994" t="s">
        <v>1958</v>
      </c>
      <c r="B994" t="s">
        <v>46</v>
      </c>
      <c r="C994" s="14">
        <v>0</v>
      </c>
      <c r="D994" s="14">
        <v>0</v>
      </c>
      <c r="E994" s="14">
        <v>0</v>
      </c>
      <c r="F994" s="14">
        <v>0</v>
      </c>
    </row>
    <row r="995" spans="1:6" x14ac:dyDescent="0.35">
      <c r="A995" t="s">
        <v>1958</v>
      </c>
      <c r="B995" t="s">
        <v>44</v>
      </c>
      <c r="C995" s="14">
        <v>0</v>
      </c>
      <c r="D995" s="14">
        <v>0</v>
      </c>
      <c r="E995" s="14">
        <v>0</v>
      </c>
      <c r="F995" s="14">
        <v>0</v>
      </c>
    </row>
    <row r="996" spans="1:6" x14ac:dyDescent="0.35">
      <c r="A996" t="s">
        <v>1958</v>
      </c>
      <c r="B996" t="s">
        <v>45</v>
      </c>
      <c r="C996" s="14">
        <v>0</v>
      </c>
      <c r="D996" s="14">
        <v>0</v>
      </c>
      <c r="E996" s="14">
        <v>0</v>
      </c>
      <c r="F996" s="14">
        <v>0</v>
      </c>
    </row>
    <row r="997" spans="1:6" x14ac:dyDescent="0.35">
      <c r="A997" t="s">
        <v>1958</v>
      </c>
      <c r="B997" t="s">
        <v>47</v>
      </c>
      <c r="C997" s="14">
        <v>147726900</v>
      </c>
      <c r="D997" s="14">
        <v>147726900</v>
      </c>
      <c r="E997" s="14">
        <v>147726900</v>
      </c>
      <c r="F997" s="14">
        <v>147726900</v>
      </c>
    </row>
    <row r="998" spans="1:6" x14ac:dyDescent="0.35">
      <c r="A998" t="s">
        <v>1958</v>
      </c>
      <c r="B998" t="s">
        <v>44</v>
      </c>
      <c r="C998" s="14">
        <v>147726900</v>
      </c>
      <c r="D998" s="14">
        <v>147726900</v>
      </c>
      <c r="E998" s="14">
        <v>147726900</v>
      </c>
      <c r="F998" s="14">
        <v>147726900</v>
      </c>
    </row>
    <row r="999" spans="1:6" x14ac:dyDescent="0.35">
      <c r="A999" t="s">
        <v>1958</v>
      </c>
      <c r="B999" t="s">
        <v>45</v>
      </c>
      <c r="C999" s="14">
        <v>0</v>
      </c>
      <c r="D999" s="14">
        <v>0</v>
      </c>
      <c r="E999" s="14">
        <v>0</v>
      </c>
      <c r="F999" s="14">
        <v>0</v>
      </c>
    </row>
    <row r="1000" spans="1:6" x14ac:dyDescent="0.35">
      <c r="A1000" t="s">
        <v>1958</v>
      </c>
      <c r="B1000" t="s">
        <v>48</v>
      </c>
      <c r="C1000" s="14">
        <v>0</v>
      </c>
      <c r="D1000" s="14">
        <v>0</v>
      </c>
      <c r="E1000" s="14">
        <v>0</v>
      </c>
      <c r="F1000" s="14">
        <v>0</v>
      </c>
    </row>
    <row r="1001" spans="1:6" x14ac:dyDescent="0.35">
      <c r="A1001" t="s">
        <v>1958</v>
      </c>
      <c r="B1001" t="s">
        <v>44</v>
      </c>
      <c r="C1001" s="14">
        <v>0</v>
      </c>
      <c r="D1001" s="14">
        <v>0</v>
      </c>
      <c r="E1001" s="14">
        <v>0</v>
      </c>
      <c r="F1001" s="14">
        <v>0</v>
      </c>
    </row>
    <row r="1002" spans="1:6" x14ac:dyDescent="0.35">
      <c r="A1002" t="s">
        <v>1958</v>
      </c>
      <c r="B1002" t="s">
        <v>45</v>
      </c>
      <c r="C1002" s="14">
        <v>0</v>
      </c>
      <c r="D1002" s="14">
        <v>0</v>
      </c>
      <c r="E1002" s="14">
        <v>0</v>
      </c>
      <c r="F1002" s="14">
        <v>0</v>
      </c>
    </row>
    <row r="1003" spans="1:6" x14ac:dyDescent="0.35">
      <c r="A1003" t="s">
        <v>1958</v>
      </c>
      <c r="B1003" t="s">
        <v>49</v>
      </c>
      <c r="C1003" s="14">
        <v>849305203447</v>
      </c>
      <c r="D1003" s="14">
        <v>41846615423</v>
      </c>
      <c r="E1003" s="14">
        <v>45742613523</v>
      </c>
      <c r="F1003" s="14">
        <v>46066687597</v>
      </c>
    </row>
    <row r="1004" spans="1:6" x14ac:dyDescent="0.35">
      <c r="A1004" t="s">
        <v>1958</v>
      </c>
      <c r="B1004" t="s">
        <v>50</v>
      </c>
      <c r="C1004" s="14">
        <v>0</v>
      </c>
      <c r="D1004" s="14">
        <v>0</v>
      </c>
      <c r="E1004" s="14">
        <v>0</v>
      </c>
      <c r="F1004" s="14">
        <v>0</v>
      </c>
    </row>
    <row r="1005" spans="1:6" x14ac:dyDescent="0.35">
      <c r="A1005" t="s">
        <v>1958</v>
      </c>
      <c r="B1005" t="s">
        <v>51</v>
      </c>
      <c r="C1005" s="14">
        <v>849305203447</v>
      </c>
      <c r="D1005" s="14">
        <v>41846615423</v>
      </c>
      <c r="E1005" s="14">
        <v>45742613523</v>
      </c>
      <c r="F1005" s="14">
        <v>46066687597</v>
      </c>
    </row>
    <row r="1006" spans="1:6" x14ac:dyDescent="0.35">
      <c r="A1006" t="s">
        <v>1958</v>
      </c>
      <c r="B1006" t="s">
        <v>52</v>
      </c>
      <c r="C1006" s="14">
        <v>116700000000</v>
      </c>
      <c r="D1006" s="14">
        <v>116700000000</v>
      </c>
      <c r="E1006" s="14">
        <v>107367506880</v>
      </c>
      <c r="F1006" s="14">
        <v>99296899070</v>
      </c>
    </row>
    <row r="1007" spans="1:6" x14ac:dyDescent="0.35">
      <c r="A1007" t="s">
        <v>1958</v>
      </c>
      <c r="B1007" t="s">
        <v>53</v>
      </c>
      <c r="C1007" s="14">
        <v>0</v>
      </c>
      <c r="D1007" s="14">
        <v>0</v>
      </c>
      <c r="E1007" s="14">
        <v>0</v>
      </c>
      <c r="F1007" s="14">
        <v>0</v>
      </c>
    </row>
    <row r="1008" spans="1:6" x14ac:dyDescent="0.35">
      <c r="A1008" t="s">
        <v>1958</v>
      </c>
      <c r="B1008" t="s">
        <v>54</v>
      </c>
      <c r="C1008" s="14">
        <v>115500000000</v>
      </c>
      <c r="D1008" s="14">
        <v>115500000000</v>
      </c>
      <c r="E1008" s="14">
        <v>115500000000</v>
      </c>
      <c r="F1008" s="14">
        <v>115500000000</v>
      </c>
    </row>
    <row r="1009" spans="1:6" x14ac:dyDescent="0.35">
      <c r="A1009" t="s">
        <v>1958</v>
      </c>
      <c r="B1009" t="s">
        <v>55</v>
      </c>
      <c r="C1009" s="14">
        <v>0</v>
      </c>
      <c r="D1009" s="14">
        <v>0</v>
      </c>
      <c r="E1009" s="14">
        <v>0</v>
      </c>
      <c r="F1009" s="14">
        <v>0</v>
      </c>
    </row>
    <row r="1010" spans="1:6" x14ac:dyDescent="0.35">
      <c r="A1010" t="s">
        <v>1958</v>
      </c>
      <c r="B1010" t="s">
        <v>56</v>
      </c>
      <c r="C1010" s="14">
        <v>0</v>
      </c>
      <c r="D1010" s="14">
        <v>0</v>
      </c>
      <c r="E1010" s="14">
        <v>-9332493120</v>
      </c>
      <c r="F1010" s="14">
        <v>-17203100930</v>
      </c>
    </row>
    <row r="1011" spans="1:6" x14ac:dyDescent="0.35">
      <c r="A1011" t="s">
        <v>1958</v>
      </c>
      <c r="B1011" t="s">
        <v>57</v>
      </c>
      <c r="C1011" s="14">
        <v>1200000000</v>
      </c>
      <c r="D1011" s="14">
        <v>1200000000</v>
      </c>
      <c r="E1011" s="14">
        <v>1200000000</v>
      </c>
      <c r="F1011" s="14">
        <v>1000000000</v>
      </c>
    </row>
    <row r="1012" spans="1:6" x14ac:dyDescent="0.35">
      <c r="A1012" t="s">
        <v>1958</v>
      </c>
      <c r="B1012" t="s">
        <v>58</v>
      </c>
      <c r="C1012" s="14">
        <v>0</v>
      </c>
      <c r="D1012" s="14">
        <v>139543358</v>
      </c>
      <c r="E1012" s="14">
        <v>158191520</v>
      </c>
      <c r="F1012" s="14">
        <v>76650645</v>
      </c>
    </row>
    <row r="1013" spans="1:6" x14ac:dyDescent="0.35">
      <c r="A1013" t="s">
        <v>1958</v>
      </c>
      <c r="B1013" t="s">
        <v>59</v>
      </c>
      <c r="C1013" s="14">
        <v>0</v>
      </c>
      <c r="D1013" s="14">
        <v>139543358</v>
      </c>
      <c r="E1013" s="14">
        <v>158191520</v>
      </c>
      <c r="F1013" s="14">
        <v>76650645</v>
      </c>
    </row>
    <row r="1014" spans="1:6" x14ac:dyDescent="0.35">
      <c r="A1014" t="s">
        <v>1958</v>
      </c>
      <c r="B1014" t="s">
        <v>60</v>
      </c>
      <c r="C1014" s="14">
        <v>0</v>
      </c>
      <c r="D1014" s="14">
        <v>0</v>
      </c>
      <c r="E1014" s="14">
        <v>0</v>
      </c>
      <c r="F1014" s="14">
        <v>0</v>
      </c>
    </row>
    <row r="1015" spans="1:6" x14ac:dyDescent="0.35">
      <c r="A1015" t="s">
        <v>1958</v>
      </c>
      <c r="B1015" t="s">
        <v>61</v>
      </c>
      <c r="C1015" s="14">
        <v>0</v>
      </c>
      <c r="D1015" s="14">
        <v>0</v>
      </c>
      <c r="E1015" s="14">
        <v>0</v>
      </c>
      <c r="F1015" s="14">
        <v>0</v>
      </c>
    </row>
    <row r="1016" spans="1:6" x14ac:dyDescent="0.35">
      <c r="A1016" t="s">
        <v>1958</v>
      </c>
      <c r="B1016" t="s">
        <v>62</v>
      </c>
      <c r="C1016" s="14">
        <v>0</v>
      </c>
      <c r="D1016" s="14">
        <v>0</v>
      </c>
      <c r="E1016" s="14">
        <v>0</v>
      </c>
      <c r="F1016" s="14">
        <v>0</v>
      </c>
    </row>
    <row r="1017" spans="1:6" x14ac:dyDescent="0.35">
      <c r="A1017" t="s">
        <v>1958</v>
      </c>
      <c r="B1017" t="s">
        <v>63</v>
      </c>
      <c r="C1017" s="14">
        <v>0</v>
      </c>
      <c r="D1017" s="14">
        <v>0</v>
      </c>
      <c r="E1017" s="14">
        <v>0</v>
      </c>
      <c r="F1017" s="14">
        <v>0</v>
      </c>
    </row>
    <row r="1018" spans="1:6" x14ac:dyDescent="0.35">
      <c r="A1018" t="s">
        <v>1958</v>
      </c>
      <c r="B1018" t="s">
        <v>64</v>
      </c>
      <c r="C1018" s="14">
        <v>4723455576865</v>
      </c>
      <c r="D1018" s="14">
        <v>4753622107818</v>
      </c>
      <c r="E1018" s="14">
        <v>4596623241081</v>
      </c>
      <c r="F1018" s="14">
        <v>4376536398281</v>
      </c>
    </row>
    <row r="1019" spans="1:6" x14ac:dyDescent="0.35">
      <c r="A1019" t="s">
        <v>1958</v>
      </c>
      <c r="B1019" t="s">
        <v>65</v>
      </c>
      <c r="C1019" s="14">
        <v>0</v>
      </c>
      <c r="D1019" s="14">
        <v>0</v>
      </c>
      <c r="E1019" s="14">
        <v>0</v>
      </c>
      <c r="F1019" s="14">
        <v>0</v>
      </c>
    </row>
    <row r="1020" spans="1:6" x14ac:dyDescent="0.35">
      <c r="A1020" t="s">
        <v>1958</v>
      </c>
      <c r="B1020" t="s">
        <v>66</v>
      </c>
      <c r="C1020" s="14">
        <v>3070762127471</v>
      </c>
      <c r="D1020" s="14">
        <v>2993654974270</v>
      </c>
      <c r="E1020" s="14">
        <v>2681227669549</v>
      </c>
      <c r="F1020" s="14">
        <v>2394946335835</v>
      </c>
    </row>
    <row r="1021" spans="1:6" x14ac:dyDescent="0.35">
      <c r="A1021" t="s">
        <v>1958</v>
      </c>
      <c r="B1021" t="s">
        <v>67</v>
      </c>
      <c r="C1021" s="14">
        <v>410533567409</v>
      </c>
      <c r="D1021" s="14">
        <v>426140968558</v>
      </c>
      <c r="E1021" s="14">
        <v>404805731851</v>
      </c>
      <c r="F1021" s="14">
        <v>411430445361</v>
      </c>
    </row>
    <row r="1022" spans="1:6" x14ac:dyDescent="0.35">
      <c r="A1022" t="s">
        <v>1958</v>
      </c>
      <c r="B1022" t="s">
        <v>68</v>
      </c>
      <c r="C1022" s="14">
        <v>84171081719</v>
      </c>
      <c r="D1022" s="14">
        <v>10813830817</v>
      </c>
      <c r="E1022" s="14">
        <v>2478197420</v>
      </c>
      <c r="F1022" s="14">
        <v>5826473835</v>
      </c>
    </row>
    <row r="1023" spans="1:6" x14ac:dyDescent="0.35">
      <c r="A1023" t="s">
        <v>1958</v>
      </c>
      <c r="B1023" t="s">
        <v>69</v>
      </c>
      <c r="C1023" s="14">
        <v>0</v>
      </c>
      <c r="D1023" s="14">
        <v>0</v>
      </c>
      <c r="E1023" s="14">
        <v>0</v>
      </c>
      <c r="F1023" s="14">
        <v>0</v>
      </c>
    </row>
    <row r="1024" spans="1:6" x14ac:dyDescent="0.35">
      <c r="A1024" t="s">
        <v>1958</v>
      </c>
      <c r="B1024" t="s">
        <v>70</v>
      </c>
      <c r="C1024" s="14">
        <v>12974217068</v>
      </c>
      <c r="D1024" s="14">
        <v>25434780174</v>
      </c>
      <c r="E1024" s="14">
        <v>36859120014</v>
      </c>
      <c r="F1024" s="14">
        <v>27402864797</v>
      </c>
    </row>
    <row r="1025" spans="1:6" x14ac:dyDescent="0.35">
      <c r="A1025" t="s">
        <v>1958</v>
      </c>
      <c r="B1025" t="s">
        <v>71</v>
      </c>
      <c r="C1025" s="14">
        <v>3078357229</v>
      </c>
      <c r="D1025" s="14">
        <v>1691202568</v>
      </c>
      <c r="E1025" s="14">
        <v>4524745099</v>
      </c>
      <c r="F1025" s="14">
        <v>5293108325</v>
      </c>
    </row>
    <row r="1026" spans="1:6" x14ac:dyDescent="0.35">
      <c r="A1026" t="s">
        <v>1958</v>
      </c>
      <c r="B1026" t="s">
        <v>72</v>
      </c>
      <c r="C1026" s="14">
        <v>12025165845</v>
      </c>
      <c r="D1026" s="14">
        <v>15479746692</v>
      </c>
      <c r="E1026" s="14">
        <v>13140579203</v>
      </c>
      <c r="F1026" s="14">
        <v>10861882822</v>
      </c>
    </row>
    <row r="1027" spans="1:6" x14ac:dyDescent="0.35">
      <c r="A1027" t="s">
        <v>1958</v>
      </c>
      <c r="B1027" t="s">
        <v>73</v>
      </c>
      <c r="C1027" s="14">
        <v>0</v>
      </c>
      <c r="D1027" s="14">
        <v>0</v>
      </c>
      <c r="E1027" s="14">
        <v>0</v>
      </c>
      <c r="F1027" s="14">
        <v>0</v>
      </c>
    </row>
    <row r="1028" spans="1:6" x14ac:dyDescent="0.35">
      <c r="A1028" t="s">
        <v>1958</v>
      </c>
      <c r="B1028" t="s">
        <v>74</v>
      </c>
      <c r="C1028" s="14">
        <v>0</v>
      </c>
      <c r="D1028" s="14">
        <v>0</v>
      </c>
      <c r="E1028" s="14">
        <v>0</v>
      </c>
      <c r="F1028" s="14">
        <v>0</v>
      </c>
    </row>
    <row r="1029" spans="1:6" x14ac:dyDescent="0.35">
      <c r="A1029" t="s">
        <v>1958</v>
      </c>
      <c r="B1029" t="s">
        <v>75</v>
      </c>
      <c r="C1029" s="14">
        <v>0</v>
      </c>
      <c r="D1029" s="14">
        <v>0</v>
      </c>
      <c r="E1029" s="14">
        <v>0</v>
      </c>
      <c r="F1029" s="14">
        <v>0</v>
      </c>
    </row>
    <row r="1030" spans="1:6" x14ac:dyDescent="0.35">
      <c r="A1030" t="s">
        <v>1958</v>
      </c>
      <c r="B1030" t="s">
        <v>76</v>
      </c>
      <c r="C1030" s="14">
        <v>24722745548</v>
      </c>
      <c r="D1030" s="14">
        <v>19194696495</v>
      </c>
      <c r="E1030" s="14">
        <v>41679181187</v>
      </c>
      <c r="F1030" s="14">
        <v>39307434610</v>
      </c>
    </row>
    <row r="1031" spans="1:6" x14ac:dyDescent="0.35">
      <c r="A1031" t="s">
        <v>1958</v>
      </c>
      <c r="B1031" t="s">
        <v>77</v>
      </c>
      <c r="C1031" s="14">
        <v>273562000000</v>
      </c>
      <c r="D1031" s="14">
        <v>346189634000</v>
      </c>
      <c r="E1031" s="14">
        <v>292905477598</v>
      </c>
      <c r="F1031" s="14">
        <v>302308360620</v>
      </c>
    </row>
    <row r="1032" spans="1:6" x14ac:dyDescent="0.35">
      <c r="A1032" t="s">
        <v>1958</v>
      </c>
      <c r="B1032" t="s">
        <v>78</v>
      </c>
      <c r="C1032" s="14">
        <v>0</v>
      </c>
      <c r="D1032" s="14">
        <v>0</v>
      </c>
      <c r="E1032" s="14">
        <v>0</v>
      </c>
      <c r="F1032" s="14">
        <v>0</v>
      </c>
    </row>
    <row r="1033" spans="1:6" x14ac:dyDescent="0.35">
      <c r="A1033" t="s">
        <v>1958</v>
      </c>
      <c r="B1033" t="s">
        <v>79</v>
      </c>
      <c r="C1033" s="14">
        <v>0</v>
      </c>
      <c r="D1033" s="14">
        <v>7337077812</v>
      </c>
      <c r="E1033" s="14">
        <v>13218431330</v>
      </c>
      <c r="F1033" s="14">
        <v>20430320352</v>
      </c>
    </row>
    <row r="1034" spans="1:6" x14ac:dyDescent="0.35">
      <c r="A1034" t="s">
        <v>1958</v>
      </c>
      <c r="B1034" t="s">
        <v>80</v>
      </c>
      <c r="C1034" s="14">
        <v>0</v>
      </c>
      <c r="D1034" s="14">
        <v>0</v>
      </c>
      <c r="E1034" s="14">
        <v>0</v>
      </c>
      <c r="F1034" s="14">
        <v>0</v>
      </c>
    </row>
    <row r="1035" spans="1:6" x14ac:dyDescent="0.35">
      <c r="A1035" t="s">
        <v>1958</v>
      </c>
      <c r="B1035" t="s">
        <v>81</v>
      </c>
      <c r="C1035" s="14">
        <v>0</v>
      </c>
      <c r="D1035" s="14">
        <v>0</v>
      </c>
      <c r="E1035" s="14">
        <v>0</v>
      </c>
      <c r="F1035" s="14">
        <v>0</v>
      </c>
    </row>
    <row r="1036" spans="1:6" x14ac:dyDescent="0.35">
      <c r="A1036" t="s">
        <v>1958</v>
      </c>
      <c r="B1036" t="s">
        <v>82</v>
      </c>
      <c r="C1036" s="14">
        <v>2660228560062</v>
      </c>
      <c r="D1036" s="14">
        <v>2567514005712</v>
      </c>
      <c r="E1036" s="14">
        <v>2276421937698</v>
      </c>
      <c r="F1036" s="14">
        <v>1983515890474</v>
      </c>
    </row>
    <row r="1037" spans="1:6" x14ac:dyDescent="0.35">
      <c r="A1037" t="s">
        <v>1958</v>
      </c>
      <c r="B1037" t="s">
        <v>83</v>
      </c>
      <c r="C1037" s="14">
        <v>378808650231</v>
      </c>
      <c r="D1037" s="14">
        <v>375051600231</v>
      </c>
      <c r="E1037" s="14">
        <v>267510689621</v>
      </c>
      <c r="F1037" s="14">
        <v>0</v>
      </c>
    </row>
    <row r="1038" spans="1:6" x14ac:dyDescent="0.35">
      <c r="A1038" t="s">
        <v>1958</v>
      </c>
      <c r="B1038" t="s">
        <v>84</v>
      </c>
      <c r="C1038" s="14">
        <v>0</v>
      </c>
      <c r="D1038" s="14">
        <v>0</v>
      </c>
      <c r="E1038" s="14">
        <v>0</v>
      </c>
      <c r="F1038" s="14">
        <v>0</v>
      </c>
    </row>
    <row r="1039" spans="1:6" x14ac:dyDescent="0.35">
      <c r="A1039" t="s">
        <v>1958</v>
      </c>
      <c r="B1039" t="s">
        <v>85</v>
      </c>
      <c r="C1039" s="14">
        <v>0</v>
      </c>
      <c r="D1039" s="14">
        <v>0</v>
      </c>
      <c r="E1039" s="14">
        <v>0</v>
      </c>
      <c r="F1039" s="14">
        <v>0</v>
      </c>
    </row>
    <row r="1040" spans="1:6" x14ac:dyDescent="0.35">
      <c r="A1040" t="s">
        <v>1958</v>
      </c>
      <c r="B1040" t="s">
        <v>86</v>
      </c>
      <c r="C1040" s="14">
        <v>0</v>
      </c>
      <c r="D1040" s="14">
        <v>0</v>
      </c>
      <c r="E1040" s="14">
        <v>0</v>
      </c>
      <c r="F1040" s="14">
        <v>0</v>
      </c>
    </row>
    <row r="1041" spans="1:6" x14ac:dyDescent="0.35">
      <c r="A1041" t="s">
        <v>1958</v>
      </c>
      <c r="B1041" t="s">
        <v>87</v>
      </c>
      <c r="C1041" s="14">
        <v>0</v>
      </c>
      <c r="D1041" s="14">
        <v>0</v>
      </c>
      <c r="E1041" s="14">
        <v>0</v>
      </c>
      <c r="F1041" s="14">
        <v>0</v>
      </c>
    </row>
    <row r="1042" spans="1:6" x14ac:dyDescent="0.35">
      <c r="A1042" t="s">
        <v>1958</v>
      </c>
      <c r="B1042" t="s">
        <v>88</v>
      </c>
      <c r="C1042" s="14">
        <v>0</v>
      </c>
      <c r="D1042" s="14">
        <v>0</v>
      </c>
      <c r="E1042" s="14">
        <v>0</v>
      </c>
      <c r="F1042" s="14">
        <v>0</v>
      </c>
    </row>
    <row r="1043" spans="1:6" x14ac:dyDescent="0.35">
      <c r="A1043" t="s">
        <v>1958</v>
      </c>
      <c r="B1043" t="s">
        <v>89</v>
      </c>
      <c r="C1043" s="14">
        <v>125307948000</v>
      </c>
      <c r="D1043" s="14">
        <v>125307948000</v>
      </c>
      <c r="E1043" s="14">
        <v>125307948000</v>
      </c>
      <c r="F1043" s="14">
        <v>125307948000</v>
      </c>
    </row>
    <row r="1044" spans="1:6" x14ac:dyDescent="0.35">
      <c r="A1044" t="s">
        <v>1958</v>
      </c>
      <c r="B1044" t="s">
        <v>90</v>
      </c>
      <c r="C1044" s="14">
        <v>2156111961831</v>
      </c>
      <c r="D1044" s="14">
        <v>2067154457481</v>
      </c>
      <c r="E1044" s="14">
        <v>1883603300077</v>
      </c>
      <c r="F1044" s="14">
        <v>1858207942474</v>
      </c>
    </row>
    <row r="1045" spans="1:6" x14ac:dyDescent="0.35">
      <c r="A1045" t="s">
        <v>1958</v>
      </c>
      <c r="B1045" t="s">
        <v>91</v>
      </c>
      <c r="C1045" s="14">
        <v>0</v>
      </c>
      <c r="D1045" s="14">
        <v>0</v>
      </c>
      <c r="E1045" s="14">
        <v>0</v>
      </c>
      <c r="F1045" s="14">
        <v>0</v>
      </c>
    </row>
    <row r="1046" spans="1:6" x14ac:dyDescent="0.35">
      <c r="A1046" t="s">
        <v>1958</v>
      </c>
      <c r="B1046" t="s">
        <v>92</v>
      </c>
      <c r="C1046" s="14">
        <v>0</v>
      </c>
      <c r="D1046" s="14">
        <v>0</v>
      </c>
      <c r="E1046" s="14">
        <v>0</v>
      </c>
      <c r="F1046" s="14">
        <v>0</v>
      </c>
    </row>
    <row r="1047" spans="1:6" x14ac:dyDescent="0.35">
      <c r="A1047" t="s">
        <v>1958</v>
      </c>
      <c r="B1047" t="s">
        <v>93</v>
      </c>
      <c r="C1047" s="14">
        <v>0</v>
      </c>
      <c r="D1047" s="14">
        <v>0</v>
      </c>
      <c r="E1047" s="14">
        <v>0</v>
      </c>
      <c r="F1047" s="14">
        <v>0</v>
      </c>
    </row>
    <row r="1048" spans="1:6" x14ac:dyDescent="0.35">
      <c r="A1048" t="s">
        <v>1958</v>
      </c>
      <c r="B1048" t="s">
        <v>94</v>
      </c>
      <c r="C1048" s="14">
        <v>0</v>
      </c>
      <c r="D1048" s="14">
        <v>0</v>
      </c>
      <c r="E1048" s="14">
        <v>0</v>
      </c>
      <c r="F1048" s="14">
        <v>0</v>
      </c>
    </row>
    <row r="1049" spans="1:6" x14ac:dyDescent="0.35">
      <c r="A1049" t="s">
        <v>1958</v>
      </c>
      <c r="B1049" t="s">
        <v>95</v>
      </c>
      <c r="C1049" s="14">
        <v>0</v>
      </c>
      <c r="D1049" s="14">
        <v>0</v>
      </c>
      <c r="E1049" s="14">
        <v>0</v>
      </c>
      <c r="F1049" s="14">
        <v>0</v>
      </c>
    </row>
    <row r="1050" spans="1:6" x14ac:dyDescent="0.35">
      <c r="A1050" t="s">
        <v>1958</v>
      </c>
      <c r="B1050" t="s">
        <v>96</v>
      </c>
      <c r="C1050" s="14">
        <v>1652693449394</v>
      </c>
      <c r="D1050" s="14">
        <v>1759967133548</v>
      </c>
      <c r="E1050" s="14">
        <v>1915395571532</v>
      </c>
      <c r="F1050" s="14">
        <v>1981590062446</v>
      </c>
    </row>
    <row r="1051" spans="1:6" x14ac:dyDescent="0.35">
      <c r="A1051" t="s">
        <v>1958</v>
      </c>
      <c r="B1051" t="s">
        <v>97</v>
      </c>
      <c r="C1051" s="14">
        <v>1652693449394</v>
      </c>
      <c r="D1051" s="14">
        <v>1759967133548</v>
      </c>
      <c r="E1051" s="14">
        <v>1915395571532</v>
      </c>
      <c r="F1051" s="14">
        <v>1981590062446</v>
      </c>
    </row>
    <row r="1052" spans="1:6" x14ac:dyDescent="0.35">
      <c r="A1052" t="s">
        <v>1958</v>
      </c>
      <c r="B1052" t="s">
        <v>98</v>
      </c>
      <c r="C1052" s="14">
        <v>1350000000000</v>
      </c>
      <c r="D1052" s="14">
        <v>1457999040000</v>
      </c>
      <c r="E1052" s="14">
        <v>1574629370000</v>
      </c>
      <c r="F1052" s="14">
        <v>1700575930000</v>
      </c>
    </row>
    <row r="1053" spans="1:6" x14ac:dyDescent="0.35">
      <c r="A1053" t="s">
        <v>1958</v>
      </c>
      <c r="B1053" t="s">
        <v>99</v>
      </c>
      <c r="C1053" s="14">
        <v>1350000000000</v>
      </c>
      <c r="D1053" s="14">
        <v>1457999040000</v>
      </c>
      <c r="E1053" s="14">
        <v>1574629370000</v>
      </c>
      <c r="F1053" s="14">
        <v>1700575930000</v>
      </c>
    </row>
    <row r="1054" spans="1:6" x14ac:dyDescent="0.35">
      <c r="A1054" t="s">
        <v>1958</v>
      </c>
      <c r="B1054" t="s">
        <v>100</v>
      </c>
      <c r="C1054" s="14">
        <v>0</v>
      </c>
      <c r="D1054" s="14">
        <v>0</v>
      </c>
      <c r="E1054" s="14">
        <v>0</v>
      </c>
      <c r="F1054" s="14">
        <v>0</v>
      </c>
    </row>
    <row r="1055" spans="1:6" x14ac:dyDescent="0.35">
      <c r="A1055" t="s">
        <v>1958</v>
      </c>
      <c r="B1055" t="s">
        <v>101</v>
      </c>
      <c r="C1055" s="14">
        <v>0</v>
      </c>
      <c r="D1055" s="14">
        <v>0</v>
      </c>
      <c r="E1055" s="14">
        <v>0</v>
      </c>
      <c r="F1055" s="14">
        <v>0</v>
      </c>
    </row>
    <row r="1056" spans="1:6" x14ac:dyDescent="0.35">
      <c r="A1056" t="s">
        <v>1958</v>
      </c>
      <c r="B1056" t="s">
        <v>102</v>
      </c>
      <c r="C1056" s="14">
        <v>0</v>
      </c>
      <c r="D1056" s="14">
        <v>0</v>
      </c>
      <c r="E1056" s="14">
        <v>0</v>
      </c>
      <c r="F1056" s="14">
        <v>0</v>
      </c>
    </row>
    <row r="1057" spans="1:6" x14ac:dyDescent="0.35">
      <c r="A1057" t="s">
        <v>1958</v>
      </c>
      <c r="B1057" t="s">
        <v>103</v>
      </c>
      <c r="C1057" s="14">
        <v>0</v>
      </c>
      <c r="D1057" s="14">
        <v>0</v>
      </c>
      <c r="E1057" s="14">
        <v>0</v>
      </c>
      <c r="F1057" s="14">
        <v>0</v>
      </c>
    </row>
    <row r="1058" spans="1:6" x14ac:dyDescent="0.35">
      <c r="A1058" t="s">
        <v>1958</v>
      </c>
      <c r="B1058" t="s">
        <v>104</v>
      </c>
      <c r="C1058" s="14">
        <v>0</v>
      </c>
      <c r="D1058" s="14">
        <v>0</v>
      </c>
      <c r="E1058" s="14">
        <v>0</v>
      </c>
      <c r="F1058" s="14">
        <v>0</v>
      </c>
    </row>
    <row r="1059" spans="1:6" x14ac:dyDescent="0.35">
      <c r="A1059" t="s">
        <v>1958</v>
      </c>
      <c r="B1059" t="s">
        <v>105</v>
      </c>
      <c r="C1059" s="14">
        <v>0</v>
      </c>
      <c r="D1059" s="14">
        <v>0</v>
      </c>
      <c r="E1059" s="14">
        <v>0</v>
      </c>
      <c r="F1059" s="14">
        <v>0</v>
      </c>
    </row>
    <row r="1060" spans="1:6" x14ac:dyDescent="0.35">
      <c r="A1060" t="s">
        <v>1958</v>
      </c>
      <c r="B1060" t="s">
        <v>106</v>
      </c>
      <c r="C1060" s="14">
        <v>0</v>
      </c>
      <c r="D1060" s="14">
        <v>0</v>
      </c>
      <c r="E1060" s="14">
        <v>0</v>
      </c>
      <c r="F1060" s="14">
        <v>0</v>
      </c>
    </row>
    <row r="1061" spans="1:6" x14ac:dyDescent="0.35">
      <c r="A1061" t="s">
        <v>1958</v>
      </c>
      <c r="B1061" t="s">
        <v>107</v>
      </c>
      <c r="C1061" s="14">
        <v>0</v>
      </c>
      <c r="D1061" s="14">
        <v>0</v>
      </c>
      <c r="E1061" s="14">
        <v>0</v>
      </c>
      <c r="F1061" s="14">
        <v>0</v>
      </c>
    </row>
    <row r="1062" spans="1:6" x14ac:dyDescent="0.35">
      <c r="A1062" t="s">
        <v>1958</v>
      </c>
      <c r="B1062" t="s">
        <v>108</v>
      </c>
      <c r="C1062" s="14">
        <v>0</v>
      </c>
      <c r="D1062" s="14">
        <v>0</v>
      </c>
      <c r="E1062" s="14">
        <v>0</v>
      </c>
      <c r="F1062" s="14">
        <v>0</v>
      </c>
    </row>
    <row r="1063" spans="1:6" x14ac:dyDescent="0.35">
      <c r="A1063" t="s">
        <v>1958</v>
      </c>
      <c r="B1063" t="s">
        <v>109</v>
      </c>
      <c r="C1063" s="14">
        <v>0</v>
      </c>
      <c r="D1063" s="14">
        <v>0</v>
      </c>
      <c r="E1063" s="14">
        <v>0</v>
      </c>
      <c r="F1063" s="14">
        <v>0</v>
      </c>
    </row>
    <row r="1064" spans="1:6" x14ac:dyDescent="0.35">
      <c r="A1064" t="s">
        <v>1958</v>
      </c>
      <c r="B1064" t="s">
        <v>110</v>
      </c>
      <c r="C1064" s="14">
        <v>302693449394</v>
      </c>
      <c r="D1064" s="14">
        <v>301968093548</v>
      </c>
      <c r="E1064" s="14">
        <v>340766201532</v>
      </c>
      <c r="F1064" s="14">
        <v>281014132446</v>
      </c>
    </row>
    <row r="1065" spans="1:6" x14ac:dyDescent="0.35">
      <c r="A1065" t="s">
        <v>1958</v>
      </c>
      <c r="B1065" t="s">
        <v>111</v>
      </c>
      <c r="C1065" s="14">
        <v>105617963537</v>
      </c>
      <c r="D1065" s="14">
        <v>114610761966</v>
      </c>
      <c r="E1065" s="14">
        <v>177461117830</v>
      </c>
      <c r="F1065" s="14">
        <v>204021336510</v>
      </c>
    </row>
    <row r="1066" spans="1:6" x14ac:dyDescent="0.35">
      <c r="A1066" t="s">
        <v>1958</v>
      </c>
      <c r="B1066" t="s">
        <v>112</v>
      </c>
      <c r="C1066" s="14">
        <v>197075485857</v>
      </c>
      <c r="D1066" s="14">
        <v>187357331582</v>
      </c>
      <c r="E1066" s="14">
        <v>163305083702</v>
      </c>
      <c r="F1066" s="14">
        <v>76992795936</v>
      </c>
    </row>
    <row r="1067" spans="1:6" x14ac:dyDescent="0.35">
      <c r="A1067" t="s">
        <v>1958</v>
      </c>
      <c r="B1067" t="s">
        <v>113</v>
      </c>
      <c r="C1067" s="14">
        <v>0</v>
      </c>
      <c r="D1067" s="14">
        <v>0</v>
      </c>
      <c r="E1067" s="14">
        <v>0</v>
      </c>
      <c r="F1067" s="14">
        <v>0</v>
      </c>
    </row>
    <row r="1068" spans="1:6" x14ac:dyDescent="0.35">
      <c r="A1068" t="s">
        <v>1958</v>
      </c>
      <c r="B1068" t="s">
        <v>114</v>
      </c>
      <c r="C1068" s="14">
        <v>0</v>
      </c>
      <c r="D1068" s="14">
        <v>0</v>
      </c>
      <c r="E1068" s="14">
        <v>0</v>
      </c>
      <c r="F1068" s="14">
        <v>0</v>
      </c>
    </row>
    <row r="1069" spans="1:6" x14ac:dyDescent="0.35">
      <c r="A1069" t="s">
        <v>1958</v>
      </c>
      <c r="B1069" t="s">
        <v>115</v>
      </c>
      <c r="C1069" s="14">
        <v>0</v>
      </c>
      <c r="D1069" s="14">
        <v>0</v>
      </c>
      <c r="E1069" s="14">
        <v>0</v>
      </c>
      <c r="F1069" s="14">
        <v>0</v>
      </c>
    </row>
    <row r="1070" spans="1:6" x14ac:dyDescent="0.35">
      <c r="A1070" t="s">
        <v>1958</v>
      </c>
      <c r="B1070" t="s">
        <v>116</v>
      </c>
      <c r="C1070" s="14">
        <v>0</v>
      </c>
      <c r="D1070" s="14">
        <v>0</v>
      </c>
      <c r="E1070" s="14">
        <v>0</v>
      </c>
      <c r="F1070" s="14">
        <v>0</v>
      </c>
    </row>
    <row r="1071" spans="1:6" x14ac:dyDescent="0.35">
      <c r="A1071" t="s">
        <v>1958</v>
      </c>
      <c r="B1071" t="s">
        <v>117</v>
      </c>
      <c r="C1071" s="14">
        <v>0</v>
      </c>
      <c r="D1071" s="14">
        <v>0</v>
      </c>
      <c r="E1071" s="14">
        <v>0</v>
      </c>
      <c r="F1071" s="14">
        <v>0</v>
      </c>
    </row>
    <row r="1072" spans="1:6" x14ac:dyDescent="0.35">
      <c r="A1072" t="s">
        <v>1958</v>
      </c>
      <c r="B1072" t="s">
        <v>118</v>
      </c>
      <c r="C1072" s="14">
        <v>4723455576865</v>
      </c>
      <c r="D1072" s="14">
        <v>4753622107818</v>
      </c>
      <c r="E1072" s="14">
        <v>4596623241081</v>
      </c>
      <c r="F1072" s="14">
        <v>4376536398281</v>
      </c>
    </row>
    <row r="1073" spans="1:6" x14ac:dyDescent="0.35">
      <c r="A1073" t="s">
        <v>1944</v>
      </c>
      <c r="B1073" t="s">
        <v>6</v>
      </c>
      <c r="C1073" s="14">
        <v>0</v>
      </c>
      <c r="D1073" s="14">
        <v>0</v>
      </c>
      <c r="E1073" s="14">
        <v>0</v>
      </c>
      <c r="F1073" s="14">
        <v>0</v>
      </c>
    </row>
    <row r="1074" spans="1:6" x14ac:dyDescent="0.35">
      <c r="A1074" t="s">
        <v>1944</v>
      </c>
      <c r="B1074" t="s">
        <v>7</v>
      </c>
      <c r="C1074" s="14">
        <v>2705270497902</v>
      </c>
      <c r="D1074" s="14">
        <v>3614355908113</v>
      </c>
      <c r="E1074" s="14">
        <v>2098129113741</v>
      </c>
      <c r="F1074" s="14">
        <v>1609922985563</v>
      </c>
    </row>
    <row r="1075" spans="1:6" x14ac:dyDescent="0.35">
      <c r="A1075" t="s">
        <v>1944</v>
      </c>
      <c r="B1075" t="s">
        <v>8</v>
      </c>
      <c r="C1075" s="14">
        <v>302027563394</v>
      </c>
      <c r="D1075" s="14">
        <v>319646400604</v>
      </c>
      <c r="E1075" s="14">
        <v>198299196901</v>
      </c>
      <c r="F1075" s="14">
        <v>127329031923</v>
      </c>
    </row>
    <row r="1076" spans="1:6" x14ac:dyDescent="0.35">
      <c r="A1076" t="s">
        <v>1944</v>
      </c>
      <c r="B1076" t="s">
        <v>9</v>
      </c>
      <c r="C1076" s="14">
        <v>161568601954</v>
      </c>
      <c r="D1076" s="14">
        <v>67846400604</v>
      </c>
      <c r="E1076" s="14">
        <v>89753201780</v>
      </c>
      <c r="F1076" s="14">
        <v>54829031923</v>
      </c>
    </row>
    <row r="1077" spans="1:6" x14ac:dyDescent="0.35">
      <c r="A1077" t="s">
        <v>1944</v>
      </c>
      <c r="B1077" t="s">
        <v>10</v>
      </c>
      <c r="C1077" s="14">
        <v>140458961440</v>
      </c>
      <c r="D1077" s="14">
        <v>251800000000</v>
      </c>
      <c r="E1077" s="14">
        <v>108545995121</v>
      </c>
      <c r="F1077" s="14">
        <v>72500000000</v>
      </c>
    </row>
    <row r="1078" spans="1:6" x14ac:dyDescent="0.35">
      <c r="A1078" t="s">
        <v>1944</v>
      </c>
      <c r="B1078" t="s">
        <v>11</v>
      </c>
      <c r="C1078" s="14">
        <v>643700000000</v>
      </c>
      <c r="D1078" s="14">
        <v>194034492305</v>
      </c>
      <c r="E1078" s="14">
        <v>146000000000</v>
      </c>
      <c r="F1078" s="14">
        <v>145000000000</v>
      </c>
    </row>
    <row r="1079" spans="1:6" x14ac:dyDescent="0.35">
      <c r="A1079" t="s">
        <v>1944</v>
      </c>
      <c r="B1079" t="s">
        <v>12</v>
      </c>
      <c r="C1079" s="14">
        <v>0</v>
      </c>
      <c r="D1079" s="14">
        <v>0</v>
      </c>
      <c r="E1079" s="14">
        <v>0</v>
      </c>
      <c r="F1079" s="14">
        <v>0</v>
      </c>
    </row>
    <row r="1080" spans="1:6" x14ac:dyDescent="0.35">
      <c r="A1080" t="s">
        <v>1944</v>
      </c>
      <c r="B1080" t="s">
        <v>13</v>
      </c>
      <c r="C1080" s="14">
        <v>0</v>
      </c>
      <c r="D1080" s="14">
        <v>0</v>
      </c>
      <c r="E1080" s="14">
        <v>0</v>
      </c>
      <c r="F1080" s="14">
        <v>0</v>
      </c>
    </row>
    <row r="1081" spans="1:6" x14ac:dyDescent="0.35">
      <c r="A1081" t="s">
        <v>1944</v>
      </c>
      <c r="B1081" t="s">
        <v>14</v>
      </c>
      <c r="C1081" s="14">
        <v>643700000000</v>
      </c>
      <c r="D1081" s="14">
        <v>194034492305</v>
      </c>
      <c r="E1081" s="14">
        <v>146000000000</v>
      </c>
      <c r="F1081" s="14">
        <v>145000000000</v>
      </c>
    </row>
    <row r="1082" spans="1:6" x14ac:dyDescent="0.35">
      <c r="A1082" t="s">
        <v>1944</v>
      </c>
      <c r="B1082" t="s">
        <v>15</v>
      </c>
      <c r="C1082" s="14">
        <v>1570012606432</v>
      </c>
      <c r="D1082" s="14">
        <v>2733839768543</v>
      </c>
      <c r="E1082" s="14">
        <v>1628470632510</v>
      </c>
      <c r="F1082" s="14">
        <v>1241292754775</v>
      </c>
    </row>
    <row r="1083" spans="1:6" x14ac:dyDescent="0.35">
      <c r="A1083" t="s">
        <v>1944</v>
      </c>
      <c r="B1083" t="s">
        <v>16</v>
      </c>
      <c r="C1083" s="14">
        <v>901720084044</v>
      </c>
      <c r="D1083" s="14">
        <v>2682580463584</v>
      </c>
      <c r="E1083" s="14">
        <v>1591390266802</v>
      </c>
      <c r="F1083" s="14">
        <v>1178538447369</v>
      </c>
    </row>
    <row r="1084" spans="1:6" x14ac:dyDescent="0.35">
      <c r="A1084" t="s">
        <v>1944</v>
      </c>
      <c r="B1084" t="s">
        <v>17</v>
      </c>
      <c r="C1084" s="14">
        <v>675353406313</v>
      </c>
      <c r="D1084" s="14">
        <v>26259943582</v>
      </c>
      <c r="E1084" s="14">
        <v>16815076221</v>
      </c>
      <c r="F1084" s="14">
        <v>34514249084</v>
      </c>
    </row>
    <row r="1085" spans="1:6" x14ac:dyDescent="0.35">
      <c r="A1085" t="s">
        <v>1944</v>
      </c>
      <c r="B1085" t="s">
        <v>18</v>
      </c>
      <c r="C1085" s="14">
        <v>0</v>
      </c>
      <c r="D1085" s="14">
        <v>0</v>
      </c>
      <c r="E1085" s="14">
        <v>0</v>
      </c>
      <c r="F1085" s="14">
        <v>0</v>
      </c>
    </row>
    <row r="1086" spans="1:6" x14ac:dyDescent="0.35">
      <c r="A1086" t="s">
        <v>1944</v>
      </c>
      <c r="B1086" t="s">
        <v>19</v>
      </c>
      <c r="C1086" s="14">
        <v>0</v>
      </c>
      <c r="D1086" s="14">
        <v>0</v>
      </c>
      <c r="E1086" s="14">
        <v>0</v>
      </c>
      <c r="F1086" s="14">
        <v>0</v>
      </c>
    </row>
    <row r="1087" spans="1:6" x14ac:dyDescent="0.35">
      <c r="A1087" t="s">
        <v>1944</v>
      </c>
      <c r="B1087" t="s">
        <v>20</v>
      </c>
      <c r="C1087" s="14">
        <v>0</v>
      </c>
      <c r="D1087" s="14">
        <v>0</v>
      </c>
      <c r="E1087" s="14">
        <v>0</v>
      </c>
      <c r="F1087" s="14">
        <v>0</v>
      </c>
    </row>
    <row r="1088" spans="1:6" x14ac:dyDescent="0.35">
      <c r="A1088" t="s">
        <v>1944</v>
      </c>
      <c r="B1088" t="s">
        <v>21</v>
      </c>
      <c r="C1088" s="14">
        <v>16818787124</v>
      </c>
      <c r="D1088" s="14">
        <v>51593257702</v>
      </c>
      <c r="E1088" s="14">
        <v>64971777049</v>
      </c>
      <c r="F1088" s="14">
        <v>78529681705</v>
      </c>
    </row>
    <row r="1089" spans="1:6" x14ac:dyDescent="0.35">
      <c r="A1089" t="s">
        <v>1944</v>
      </c>
      <c r="B1089" t="s">
        <v>22</v>
      </c>
      <c r="C1089" s="14">
        <v>-23879671049</v>
      </c>
      <c r="D1089" s="14">
        <v>-26593896325</v>
      </c>
      <c r="E1089" s="14">
        <v>-44706487562</v>
      </c>
      <c r="F1089" s="14">
        <v>-50289623383</v>
      </c>
    </row>
    <row r="1090" spans="1:6" x14ac:dyDescent="0.35">
      <c r="A1090" t="s">
        <v>1944</v>
      </c>
      <c r="B1090" t="s">
        <v>23</v>
      </c>
      <c r="C1090" s="14">
        <v>0</v>
      </c>
      <c r="D1090" s="14">
        <v>0</v>
      </c>
      <c r="E1090" s="14">
        <v>0</v>
      </c>
      <c r="F1090" s="14">
        <v>0</v>
      </c>
    </row>
    <row r="1091" spans="1:6" x14ac:dyDescent="0.35">
      <c r="A1091" t="s">
        <v>1944</v>
      </c>
      <c r="B1091" t="s">
        <v>24</v>
      </c>
      <c r="C1091" s="14">
        <v>162896911682</v>
      </c>
      <c r="D1091" s="14">
        <v>300274847039</v>
      </c>
      <c r="E1091" s="14">
        <v>83958011477</v>
      </c>
      <c r="F1091" s="14">
        <v>72386965450</v>
      </c>
    </row>
    <row r="1092" spans="1:6" x14ac:dyDescent="0.35">
      <c r="A1092" t="s">
        <v>1944</v>
      </c>
      <c r="B1092" t="s">
        <v>25</v>
      </c>
      <c r="C1092" s="14">
        <v>162896911682</v>
      </c>
      <c r="D1092" s="14">
        <v>300274847039</v>
      </c>
      <c r="E1092" s="14">
        <v>87406165659</v>
      </c>
      <c r="F1092" s="14">
        <v>72386965450</v>
      </c>
    </row>
    <row r="1093" spans="1:6" x14ac:dyDescent="0.35">
      <c r="A1093" t="s">
        <v>1944</v>
      </c>
      <c r="B1093" t="s">
        <v>26</v>
      </c>
      <c r="C1093" s="14">
        <v>0</v>
      </c>
      <c r="D1093" s="14">
        <v>0</v>
      </c>
      <c r="E1093" s="14">
        <v>-3448154182</v>
      </c>
      <c r="F1093" s="14">
        <v>0</v>
      </c>
    </row>
    <row r="1094" spans="1:6" x14ac:dyDescent="0.35">
      <c r="A1094" t="s">
        <v>1944</v>
      </c>
      <c r="B1094" t="s">
        <v>27</v>
      </c>
      <c r="C1094" s="14">
        <v>26633416394</v>
      </c>
      <c r="D1094" s="14">
        <v>66560399622</v>
      </c>
      <c r="E1094" s="14">
        <v>41401272853</v>
      </c>
      <c r="F1094" s="14">
        <v>23914233415</v>
      </c>
    </row>
    <row r="1095" spans="1:6" x14ac:dyDescent="0.35">
      <c r="A1095" t="s">
        <v>1944</v>
      </c>
      <c r="B1095" t="s">
        <v>28</v>
      </c>
      <c r="C1095" s="14">
        <v>4427899963</v>
      </c>
      <c r="D1095" s="14">
        <v>4693628552</v>
      </c>
      <c r="E1095" s="14">
        <v>4550192383</v>
      </c>
      <c r="F1095" s="14">
        <v>6283542984</v>
      </c>
    </row>
    <row r="1096" spans="1:6" x14ac:dyDescent="0.35">
      <c r="A1096" t="s">
        <v>1944</v>
      </c>
      <c r="B1096" t="s">
        <v>29</v>
      </c>
      <c r="C1096" s="14">
        <v>22205516431</v>
      </c>
      <c r="D1096" s="14">
        <v>61613356415</v>
      </c>
      <c r="E1096" s="14">
        <v>36750339653</v>
      </c>
      <c r="F1096" s="14">
        <v>17549195290</v>
      </c>
    </row>
    <row r="1097" spans="1:6" x14ac:dyDescent="0.35">
      <c r="A1097" t="s">
        <v>1944</v>
      </c>
      <c r="B1097" t="s">
        <v>30</v>
      </c>
      <c r="C1097" s="14">
        <v>0</v>
      </c>
      <c r="D1097" s="14">
        <v>253414655</v>
      </c>
      <c r="E1097" s="14">
        <v>100740817</v>
      </c>
      <c r="F1097" s="14">
        <v>81495141</v>
      </c>
    </row>
    <row r="1098" spans="1:6" x14ac:dyDescent="0.35">
      <c r="A1098" t="s">
        <v>1944</v>
      </c>
      <c r="B1098" t="s">
        <v>31</v>
      </c>
      <c r="C1098" s="14">
        <v>0</v>
      </c>
      <c r="D1098" s="14">
        <v>0</v>
      </c>
      <c r="E1098" s="14">
        <v>0</v>
      </c>
      <c r="F1098" s="14">
        <v>0</v>
      </c>
    </row>
    <row r="1099" spans="1:6" x14ac:dyDescent="0.35">
      <c r="A1099" t="s">
        <v>1944</v>
      </c>
      <c r="B1099" t="s">
        <v>32</v>
      </c>
      <c r="C1099" s="14">
        <v>0</v>
      </c>
      <c r="D1099" s="14">
        <v>0</v>
      </c>
      <c r="E1099" s="14">
        <v>0</v>
      </c>
      <c r="F1099" s="14">
        <v>0</v>
      </c>
    </row>
    <row r="1100" spans="1:6" x14ac:dyDescent="0.35">
      <c r="A1100" t="s">
        <v>1944</v>
      </c>
      <c r="B1100" t="s">
        <v>33</v>
      </c>
      <c r="C1100" s="14">
        <v>630746016928</v>
      </c>
      <c r="D1100" s="14">
        <v>851389296092</v>
      </c>
      <c r="E1100" s="14">
        <v>890625561488</v>
      </c>
      <c r="F1100" s="14">
        <v>851122544747</v>
      </c>
    </row>
    <row r="1101" spans="1:6" x14ac:dyDescent="0.35">
      <c r="A1101" t="s">
        <v>1944</v>
      </c>
      <c r="B1101" t="s">
        <v>34</v>
      </c>
      <c r="C1101" s="14">
        <v>3786517740</v>
      </c>
      <c r="D1101" s="14">
        <v>2000600000</v>
      </c>
      <c r="E1101" s="14">
        <v>1950978000</v>
      </c>
      <c r="F1101" s="14">
        <v>2073191943</v>
      </c>
    </row>
    <row r="1102" spans="1:6" x14ac:dyDescent="0.35">
      <c r="A1102" t="s">
        <v>1944</v>
      </c>
      <c r="B1102" t="s">
        <v>35</v>
      </c>
      <c r="C1102" s="14">
        <v>0</v>
      </c>
      <c r="D1102" s="14">
        <v>0</v>
      </c>
      <c r="E1102" s="14">
        <v>0</v>
      </c>
      <c r="F1102" s="14">
        <v>0</v>
      </c>
    </row>
    <row r="1103" spans="1:6" x14ac:dyDescent="0.35">
      <c r="A1103" t="s">
        <v>1944</v>
      </c>
      <c r="B1103" t="s">
        <v>36</v>
      </c>
      <c r="C1103" s="14">
        <v>0</v>
      </c>
      <c r="D1103" s="14">
        <v>0</v>
      </c>
      <c r="E1103" s="14">
        <v>0</v>
      </c>
      <c r="F1103" s="14">
        <v>0</v>
      </c>
    </row>
    <row r="1104" spans="1:6" x14ac:dyDescent="0.35">
      <c r="A1104" t="s">
        <v>1944</v>
      </c>
      <c r="B1104" t="s">
        <v>37</v>
      </c>
      <c r="C1104" s="14">
        <v>0</v>
      </c>
      <c r="D1104" s="14">
        <v>0</v>
      </c>
      <c r="E1104" s="14">
        <v>0</v>
      </c>
      <c r="F1104" s="14">
        <v>0</v>
      </c>
    </row>
    <row r="1105" spans="1:6" x14ac:dyDescent="0.35">
      <c r="A1105" t="s">
        <v>1944</v>
      </c>
      <c r="B1105" t="s">
        <v>38</v>
      </c>
      <c r="C1105" s="14">
        <v>0</v>
      </c>
      <c r="D1105" s="14">
        <v>0</v>
      </c>
      <c r="E1105" s="14">
        <v>0</v>
      </c>
      <c r="F1105" s="14">
        <v>0</v>
      </c>
    </row>
    <row r="1106" spans="1:6" x14ac:dyDescent="0.35">
      <c r="A1106" t="s">
        <v>1944</v>
      </c>
      <c r="B1106" t="s">
        <v>39</v>
      </c>
      <c r="C1106" s="14">
        <v>0</v>
      </c>
      <c r="D1106" s="14">
        <v>0</v>
      </c>
      <c r="E1106" s="14">
        <v>0</v>
      </c>
      <c r="F1106" s="14">
        <v>0</v>
      </c>
    </row>
    <row r="1107" spans="1:6" x14ac:dyDescent="0.35">
      <c r="A1107" t="s">
        <v>1944</v>
      </c>
      <c r="B1107" t="s">
        <v>40</v>
      </c>
      <c r="C1107" s="14">
        <v>3786517740</v>
      </c>
      <c r="D1107" s="14">
        <v>2000600000</v>
      </c>
      <c r="E1107" s="14">
        <v>1950978000</v>
      </c>
      <c r="F1107" s="14">
        <v>2073191943</v>
      </c>
    </row>
    <row r="1108" spans="1:6" x14ac:dyDescent="0.35">
      <c r="A1108" t="s">
        <v>1944</v>
      </c>
      <c r="B1108" t="s">
        <v>41</v>
      </c>
      <c r="C1108" s="14">
        <v>0</v>
      </c>
      <c r="D1108" s="14">
        <v>0</v>
      </c>
      <c r="E1108" s="14">
        <v>0</v>
      </c>
      <c r="F1108" s="14">
        <v>0</v>
      </c>
    </row>
    <row r="1109" spans="1:6" x14ac:dyDescent="0.35">
      <c r="A1109" t="s">
        <v>1944</v>
      </c>
      <c r="B1109" t="s">
        <v>42</v>
      </c>
      <c r="C1109" s="14">
        <v>350789195471</v>
      </c>
      <c r="D1109" s="14">
        <v>444109931723</v>
      </c>
      <c r="E1109" s="14">
        <v>466184362727</v>
      </c>
      <c r="F1109" s="14">
        <v>444540426031</v>
      </c>
    </row>
    <row r="1110" spans="1:6" x14ac:dyDescent="0.35">
      <c r="A1110" t="s">
        <v>1944</v>
      </c>
      <c r="B1110" t="s">
        <v>43</v>
      </c>
      <c r="C1110" s="14">
        <v>192525602681</v>
      </c>
      <c r="D1110" s="14">
        <v>295210084194</v>
      </c>
      <c r="E1110" s="14">
        <v>323619797179</v>
      </c>
      <c r="F1110" s="14">
        <v>305166064970</v>
      </c>
    </row>
    <row r="1111" spans="1:6" x14ac:dyDescent="0.35">
      <c r="A1111" t="s">
        <v>1944</v>
      </c>
      <c r="B1111" t="s">
        <v>44</v>
      </c>
      <c r="C1111" s="14">
        <v>300634956666</v>
      </c>
      <c r="D1111" s="14">
        <v>433733196280</v>
      </c>
      <c r="E1111" s="14">
        <v>496140691043</v>
      </c>
      <c r="F1111" s="14">
        <v>519479651798</v>
      </c>
    </row>
    <row r="1112" spans="1:6" x14ac:dyDescent="0.35">
      <c r="A1112" t="s">
        <v>1944</v>
      </c>
      <c r="B1112" t="s">
        <v>45</v>
      </c>
      <c r="C1112" s="14">
        <v>-108109353985</v>
      </c>
      <c r="D1112" s="14">
        <v>-138523112086</v>
      </c>
      <c r="E1112" s="14">
        <v>-172520893864</v>
      </c>
      <c r="F1112" s="14">
        <v>-214313586828</v>
      </c>
    </row>
    <row r="1113" spans="1:6" x14ac:dyDescent="0.35">
      <c r="A1113" t="s">
        <v>1944</v>
      </c>
      <c r="B1113" t="s">
        <v>46</v>
      </c>
      <c r="C1113" s="14">
        <v>0</v>
      </c>
      <c r="D1113" s="14">
        <v>0</v>
      </c>
      <c r="E1113" s="14">
        <v>0</v>
      </c>
      <c r="F1113" s="14">
        <v>0</v>
      </c>
    </row>
    <row r="1114" spans="1:6" x14ac:dyDescent="0.35">
      <c r="A1114" t="s">
        <v>1944</v>
      </c>
      <c r="B1114" t="s">
        <v>44</v>
      </c>
      <c r="C1114" s="14">
        <v>0</v>
      </c>
      <c r="D1114" s="14">
        <v>0</v>
      </c>
      <c r="E1114" s="14">
        <v>0</v>
      </c>
      <c r="F1114" s="14">
        <v>0</v>
      </c>
    </row>
    <row r="1115" spans="1:6" x14ac:dyDescent="0.35">
      <c r="A1115" t="s">
        <v>1944</v>
      </c>
      <c r="B1115" t="s">
        <v>45</v>
      </c>
      <c r="C1115" s="14">
        <v>0</v>
      </c>
      <c r="D1115" s="14">
        <v>0</v>
      </c>
      <c r="E1115" s="14">
        <v>0</v>
      </c>
      <c r="F1115" s="14">
        <v>0</v>
      </c>
    </row>
    <row r="1116" spans="1:6" x14ac:dyDescent="0.35">
      <c r="A1116" t="s">
        <v>1944</v>
      </c>
      <c r="B1116" t="s">
        <v>47</v>
      </c>
      <c r="C1116" s="14">
        <v>158263592790</v>
      </c>
      <c r="D1116" s="14">
        <v>148899847529</v>
      </c>
      <c r="E1116" s="14">
        <v>142564565548</v>
      </c>
      <c r="F1116" s="14">
        <v>139374361061</v>
      </c>
    </row>
    <row r="1117" spans="1:6" x14ac:dyDescent="0.35">
      <c r="A1117" t="s">
        <v>1944</v>
      </c>
      <c r="B1117" t="s">
        <v>44</v>
      </c>
      <c r="C1117" s="14">
        <v>202021905121</v>
      </c>
      <c r="D1117" s="14">
        <v>204297244254</v>
      </c>
      <c r="E1117" s="14">
        <v>206158526754</v>
      </c>
      <c r="F1117" s="14">
        <v>208489164524</v>
      </c>
    </row>
    <row r="1118" spans="1:6" x14ac:dyDescent="0.35">
      <c r="A1118" t="s">
        <v>1944</v>
      </c>
      <c r="B1118" t="s">
        <v>45</v>
      </c>
      <c r="C1118" s="14">
        <v>-43758312331</v>
      </c>
      <c r="D1118" s="14">
        <v>-55397396725</v>
      </c>
      <c r="E1118" s="14">
        <v>-63593961206</v>
      </c>
      <c r="F1118" s="14">
        <v>-69114803463</v>
      </c>
    </row>
    <row r="1119" spans="1:6" x14ac:dyDescent="0.35">
      <c r="A1119" t="s">
        <v>1944</v>
      </c>
      <c r="B1119" t="s">
        <v>48</v>
      </c>
      <c r="C1119" s="14">
        <v>0</v>
      </c>
      <c r="D1119" s="14">
        <v>0</v>
      </c>
      <c r="E1119" s="14">
        <v>0</v>
      </c>
      <c r="F1119" s="14">
        <v>0</v>
      </c>
    </row>
    <row r="1120" spans="1:6" x14ac:dyDescent="0.35">
      <c r="A1120" t="s">
        <v>1944</v>
      </c>
      <c r="B1120" t="s">
        <v>44</v>
      </c>
      <c r="C1120" s="14">
        <v>0</v>
      </c>
      <c r="D1120" s="14">
        <v>0</v>
      </c>
      <c r="E1120" s="14">
        <v>0</v>
      </c>
      <c r="F1120" s="14">
        <v>0</v>
      </c>
    </row>
    <row r="1121" spans="1:6" x14ac:dyDescent="0.35">
      <c r="A1121" t="s">
        <v>1944</v>
      </c>
      <c r="B1121" t="s">
        <v>45</v>
      </c>
      <c r="C1121" s="14">
        <v>0</v>
      </c>
      <c r="D1121" s="14">
        <v>0</v>
      </c>
      <c r="E1121" s="14">
        <v>0</v>
      </c>
      <c r="F1121" s="14">
        <v>0</v>
      </c>
    </row>
    <row r="1122" spans="1:6" x14ac:dyDescent="0.35">
      <c r="A1122" t="s">
        <v>1944</v>
      </c>
      <c r="B1122" t="s">
        <v>49</v>
      </c>
      <c r="C1122" s="14">
        <v>70071223819</v>
      </c>
      <c r="D1122" s="14">
        <v>42146789160</v>
      </c>
      <c r="E1122" s="14">
        <v>14483286172</v>
      </c>
      <c r="F1122" s="14">
        <v>14669869473</v>
      </c>
    </row>
    <row r="1123" spans="1:6" x14ac:dyDescent="0.35">
      <c r="A1123" t="s">
        <v>1944</v>
      </c>
      <c r="B1123" t="s">
        <v>50</v>
      </c>
      <c r="C1123" s="14">
        <v>0</v>
      </c>
      <c r="D1123" s="14">
        <v>0</v>
      </c>
      <c r="E1123" s="14">
        <v>0</v>
      </c>
      <c r="F1123" s="14">
        <v>0</v>
      </c>
    </row>
    <row r="1124" spans="1:6" x14ac:dyDescent="0.35">
      <c r="A1124" t="s">
        <v>1944</v>
      </c>
      <c r="B1124" t="s">
        <v>51</v>
      </c>
      <c r="C1124" s="14">
        <v>70071223819</v>
      </c>
      <c r="D1124" s="14">
        <v>42146789160</v>
      </c>
      <c r="E1124" s="14">
        <v>14483286172</v>
      </c>
      <c r="F1124" s="14">
        <v>14669869473</v>
      </c>
    </row>
    <row r="1125" spans="1:6" x14ac:dyDescent="0.35">
      <c r="A1125" t="s">
        <v>1944</v>
      </c>
      <c r="B1125" t="s">
        <v>52</v>
      </c>
      <c r="C1125" s="14">
        <v>202392848862</v>
      </c>
      <c r="D1125" s="14">
        <v>356342100600</v>
      </c>
      <c r="E1125" s="14">
        <v>402262446773</v>
      </c>
      <c r="F1125" s="14">
        <v>382473449471</v>
      </c>
    </row>
    <row r="1126" spans="1:6" x14ac:dyDescent="0.35">
      <c r="A1126" t="s">
        <v>1944</v>
      </c>
      <c r="B1126" t="s">
        <v>53</v>
      </c>
      <c r="C1126" s="14">
        <v>0</v>
      </c>
      <c r="D1126" s="14">
        <v>0</v>
      </c>
      <c r="E1126" s="14">
        <v>0</v>
      </c>
      <c r="F1126" s="14">
        <v>0</v>
      </c>
    </row>
    <row r="1127" spans="1:6" x14ac:dyDescent="0.35">
      <c r="A1127" t="s">
        <v>1944</v>
      </c>
      <c r="B1127" t="s">
        <v>54</v>
      </c>
      <c r="C1127" s="14">
        <v>184364250000</v>
      </c>
      <c r="D1127" s="14">
        <v>335935250000</v>
      </c>
      <c r="E1127" s="14">
        <v>394037700000</v>
      </c>
      <c r="F1127" s="14">
        <v>394037700000</v>
      </c>
    </row>
    <row r="1128" spans="1:6" x14ac:dyDescent="0.35">
      <c r="A1128" t="s">
        <v>1944</v>
      </c>
      <c r="B1128" t="s">
        <v>55</v>
      </c>
      <c r="C1128" s="14">
        <v>18406850600</v>
      </c>
      <c r="D1128" s="14">
        <v>20406850600</v>
      </c>
      <c r="E1128" s="14">
        <v>37901650600</v>
      </c>
      <c r="F1128" s="14">
        <v>42024050600</v>
      </c>
    </row>
    <row r="1129" spans="1:6" x14ac:dyDescent="0.35">
      <c r="A1129" t="s">
        <v>1944</v>
      </c>
      <c r="B1129" t="s">
        <v>56</v>
      </c>
      <c r="C1129" s="14">
        <v>-378251738</v>
      </c>
      <c r="D1129" s="14">
        <v>0</v>
      </c>
      <c r="E1129" s="14">
        <v>-29676903827</v>
      </c>
      <c r="F1129" s="14">
        <v>-53588301129</v>
      </c>
    </row>
    <row r="1130" spans="1:6" x14ac:dyDescent="0.35">
      <c r="A1130" t="s">
        <v>1944</v>
      </c>
      <c r="B1130" t="s">
        <v>57</v>
      </c>
      <c r="C1130" s="14">
        <v>0</v>
      </c>
      <c r="D1130" s="14">
        <v>0</v>
      </c>
      <c r="E1130" s="14">
        <v>0</v>
      </c>
      <c r="F1130" s="14">
        <v>0</v>
      </c>
    </row>
    <row r="1131" spans="1:6" x14ac:dyDescent="0.35">
      <c r="A1131" t="s">
        <v>1944</v>
      </c>
      <c r="B1131" t="s">
        <v>58</v>
      </c>
      <c r="C1131" s="14">
        <v>3706231036</v>
      </c>
      <c r="D1131" s="14">
        <v>6789874609</v>
      </c>
      <c r="E1131" s="14">
        <v>5744487816</v>
      </c>
      <c r="F1131" s="14">
        <v>7365607829</v>
      </c>
    </row>
    <row r="1132" spans="1:6" x14ac:dyDescent="0.35">
      <c r="A1132" t="s">
        <v>1944</v>
      </c>
      <c r="B1132" t="s">
        <v>59</v>
      </c>
      <c r="C1132" s="14">
        <v>3030948185</v>
      </c>
      <c r="D1132" s="14">
        <v>6114591758</v>
      </c>
      <c r="E1132" s="14">
        <v>5364281416</v>
      </c>
      <c r="F1132" s="14">
        <v>6504235091</v>
      </c>
    </row>
    <row r="1133" spans="1:6" x14ac:dyDescent="0.35">
      <c r="A1133" t="s">
        <v>1944</v>
      </c>
      <c r="B1133" t="s">
        <v>60</v>
      </c>
      <c r="C1133" s="14">
        <v>675282851</v>
      </c>
      <c r="D1133" s="14">
        <v>675282851</v>
      </c>
      <c r="E1133" s="14">
        <v>380206400</v>
      </c>
      <c r="F1133" s="14">
        <v>861372738</v>
      </c>
    </row>
    <row r="1134" spans="1:6" x14ac:dyDescent="0.35">
      <c r="A1134" t="s">
        <v>1944</v>
      </c>
      <c r="B1134" t="s">
        <v>61</v>
      </c>
      <c r="C1134" s="14">
        <v>0</v>
      </c>
      <c r="D1134" s="14">
        <v>0</v>
      </c>
      <c r="E1134" s="14">
        <v>0</v>
      </c>
      <c r="F1134" s="14">
        <v>0</v>
      </c>
    </row>
    <row r="1135" spans="1:6" x14ac:dyDescent="0.35">
      <c r="A1135" t="s">
        <v>1944</v>
      </c>
      <c r="B1135" t="s">
        <v>62</v>
      </c>
      <c r="C1135" s="14">
        <v>0</v>
      </c>
      <c r="D1135" s="14">
        <v>0</v>
      </c>
      <c r="E1135" s="14">
        <v>0</v>
      </c>
      <c r="F1135" s="14">
        <v>0</v>
      </c>
    </row>
    <row r="1136" spans="1:6" x14ac:dyDescent="0.35">
      <c r="A1136" t="s">
        <v>1944</v>
      </c>
      <c r="B1136" t="s">
        <v>63</v>
      </c>
      <c r="C1136" s="14">
        <v>0</v>
      </c>
      <c r="D1136" s="14">
        <v>0</v>
      </c>
      <c r="E1136" s="14">
        <v>0</v>
      </c>
      <c r="F1136" s="14">
        <v>0</v>
      </c>
    </row>
    <row r="1137" spans="1:6" x14ac:dyDescent="0.35">
      <c r="A1137" t="s">
        <v>1944</v>
      </c>
      <c r="B1137" t="s">
        <v>64</v>
      </c>
      <c r="C1137" s="14">
        <v>3336016514830</v>
      </c>
      <c r="D1137" s="14">
        <v>4465745204205</v>
      </c>
      <c r="E1137" s="14">
        <v>2988754675229</v>
      </c>
      <c r="F1137" s="14">
        <v>2461045530310</v>
      </c>
    </row>
    <row r="1138" spans="1:6" x14ac:dyDescent="0.35">
      <c r="A1138" t="s">
        <v>1944</v>
      </c>
      <c r="B1138" t="s">
        <v>65</v>
      </c>
      <c r="C1138" s="14">
        <v>0</v>
      </c>
      <c r="D1138" s="14">
        <v>0</v>
      </c>
      <c r="E1138" s="14">
        <v>0</v>
      </c>
      <c r="F1138" s="14">
        <v>0</v>
      </c>
    </row>
    <row r="1139" spans="1:6" x14ac:dyDescent="0.35">
      <c r="A1139" t="s">
        <v>1944</v>
      </c>
      <c r="B1139" t="s">
        <v>66</v>
      </c>
      <c r="C1139" s="14">
        <v>2168751588374</v>
      </c>
      <c r="D1139" s="14">
        <v>3089533383397</v>
      </c>
      <c r="E1139" s="14">
        <v>1632445126016</v>
      </c>
      <c r="F1139" s="14">
        <v>1127315847579</v>
      </c>
    </row>
    <row r="1140" spans="1:6" x14ac:dyDescent="0.35">
      <c r="A1140" t="s">
        <v>1944</v>
      </c>
      <c r="B1140" t="s">
        <v>67</v>
      </c>
      <c r="C1140" s="14">
        <v>1706152857849</v>
      </c>
      <c r="D1140" s="14">
        <v>3039343389632</v>
      </c>
      <c r="E1140" s="14">
        <v>1595899189785</v>
      </c>
      <c r="F1140" s="14">
        <v>1086718507736</v>
      </c>
    </row>
    <row r="1141" spans="1:6" x14ac:dyDescent="0.35">
      <c r="A1141" t="s">
        <v>1944</v>
      </c>
      <c r="B1141" t="s">
        <v>68</v>
      </c>
      <c r="C1141" s="14">
        <v>989719035120</v>
      </c>
      <c r="D1141" s="14">
        <v>2367034544811</v>
      </c>
      <c r="E1141" s="14">
        <v>1104997406013</v>
      </c>
      <c r="F1141" s="14">
        <v>476428962667</v>
      </c>
    </row>
    <row r="1142" spans="1:6" x14ac:dyDescent="0.35">
      <c r="A1142" t="s">
        <v>1944</v>
      </c>
      <c r="B1142" t="s">
        <v>69</v>
      </c>
      <c r="C1142" s="14">
        <v>176491013841</v>
      </c>
      <c r="D1142" s="14">
        <v>69489539605</v>
      </c>
      <c r="E1142" s="14">
        <v>44847858640</v>
      </c>
      <c r="F1142" s="14">
        <v>49677771955</v>
      </c>
    </row>
    <row r="1143" spans="1:6" x14ac:dyDescent="0.35">
      <c r="A1143" t="s">
        <v>1944</v>
      </c>
      <c r="B1143" t="s">
        <v>70</v>
      </c>
      <c r="C1143" s="14">
        <v>48658749156</v>
      </c>
      <c r="D1143" s="14">
        <v>35202883882</v>
      </c>
      <c r="E1143" s="14">
        <v>8023556936</v>
      </c>
      <c r="F1143" s="14">
        <v>17249968694</v>
      </c>
    </row>
    <row r="1144" spans="1:6" x14ac:dyDescent="0.35">
      <c r="A1144" t="s">
        <v>1944</v>
      </c>
      <c r="B1144" t="s">
        <v>71</v>
      </c>
      <c r="C1144" s="14">
        <v>199852771368</v>
      </c>
      <c r="D1144" s="14">
        <v>195282066098</v>
      </c>
      <c r="E1144" s="14">
        <v>116313331297</v>
      </c>
      <c r="F1144" s="14">
        <v>159890903401</v>
      </c>
    </row>
    <row r="1145" spans="1:6" x14ac:dyDescent="0.35">
      <c r="A1145" t="s">
        <v>1944</v>
      </c>
      <c r="B1145" t="s">
        <v>72</v>
      </c>
      <c r="C1145" s="14">
        <v>108390505794</v>
      </c>
      <c r="D1145" s="14">
        <v>72902674859</v>
      </c>
      <c r="E1145" s="14">
        <v>49614382273</v>
      </c>
      <c r="F1145" s="14">
        <v>26607159346</v>
      </c>
    </row>
    <row r="1146" spans="1:6" x14ac:dyDescent="0.35">
      <c r="A1146" t="s">
        <v>1944</v>
      </c>
      <c r="B1146" t="s">
        <v>73</v>
      </c>
      <c r="C1146" s="14">
        <v>0</v>
      </c>
      <c r="D1146" s="14">
        <v>0</v>
      </c>
      <c r="E1146" s="14">
        <v>0</v>
      </c>
      <c r="F1146" s="14">
        <v>0</v>
      </c>
    </row>
    <row r="1147" spans="1:6" x14ac:dyDescent="0.35">
      <c r="A1147" t="s">
        <v>1944</v>
      </c>
      <c r="B1147" t="s">
        <v>74</v>
      </c>
      <c r="C1147" s="14">
        <v>0</v>
      </c>
      <c r="D1147" s="14">
        <v>0</v>
      </c>
      <c r="E1147" s="14">
        <v>0</v>
      </c>
      <c r="F1147" s="14">
        <v>0</v>
      </c>
    </row>
    <row r="1148" spans="1:6" x14ac:dyDescent="0.35">
      <c r="A1148" t="s">
        <v>1944</v>
      </c>
      <c r="B1148" t="s">
        <v>75</v>
      </c>
      <c r="C1148" s="14">
        <v>1865025225</v>
      </c>
      <c r="D1148" s="14">
        <v>2258025225</v>
      </c>
      <c r="E1148" s="14">
        <v>751354786</v>
      </c>
      <c r="F1148" s="14">
        <v>358354786</v>
      </c>
    </row>
    <row r="1149" spans="1:6" x14ac:dyDescent="0.35">
      <c r="A1149" t="s">
        <v>1944</v>
      </c>
      <c r="B1149" t="s">
        <v>76</v>
      </c>
      <c r="C1149" s="14">
        <v>96845655577</v>
      </c>
      <c r="D1149" s="14">
        <v>50388867200</v>
      </c>
      <c r="E1149" s="14">
        <v>60562871605</v>
      </c>
      <c r="F1149" s="14">
        <v>69269623960</v>
      </c>
    </row>
    <row r="1150" spans="1:6" x14ac:dyDescent="0.35">
      <c r="A1150" t="s">
        <v>1944</v>
      </c>
      <c r="B1150" t="s">
        <v>77</v>
      </c>
      <c r="C1150" s="14">
        <v>55322166900</v>
      </c>
      <c r="D1150" s="14">
        <v>136349646693</v>
      </c>
      <c r="E1150" s="14">
        <v>124077354475</v>
      </c>
      <c r="F1150" s="14">
        <v>206823689835</v>
      </c>
    </row>
    <row r="1151" spans="1:6" x14ac:dyDescent="0.35">
      <c r="A1151" t="s">
        <v>1944</v>
      </c>
      <c r="B1151" t="s">
        <v>78</v>
      </c>
      <c r="C1151" s="14">
        <v>8291209051</v>
      </c>
      <c r="D1151" s="14">
        <v>76630961522</v>
      </c>
      <c r="E1151" s="14">
        <v>31049099138</v>
      </c>
      <c r="F1151" s="14">
        <v>26991774239</v>
      </c>
    </row>
    <row r="1152" spans="1:6" x14ac:dyDescent="0.35">
      <c r="A1152" t="s">
        <v>1944</v>
      </c>
      <c r="B1152" t="s">
        <v>79</v>
      </c>
      <c r="C1152" s="14">
        <v>20716725817</v>
      </c>
      <c r="D1152" s="14">
        <v>33804179737</v>
      </c>
      <c r="E1152" s="14">
        <v>55661974622</v>
      </c>
      <c r="F1152" s="14">
        <v>53420298853</v>
      </c>
    </row>
    <row r="1153" spans="1:6" x14ac:dyDescent="0.35">
      <c r="A1153" t="s">
        <v>1944</v>
      </c>
      <c r="B1153" t="s">
        <v>80</v>
      </c>
      <c r="C1153" s="14">
        <v>0</v>
      </c>
      <c r="D1153" s="14">
        <v>0</v>
      </c>
      <c r="E1153" s="14">
        <v>0</v>
      </c>
      <c r="F1153" s="14">
        <v>0</v>
      </c>
    </row>
    <row r="1154" spans="1:6" x14ac:dyDescent="0.35">
      <c r="A1154" t="s">
        <v>1944</v>
      </c>
      <c r="B1154" t="s">
        <v>81</v>
      </c>
      <c r="C1154" s="14">
        <v>0</v>
      </c>
      <c r="D1154" s="14">
        <v>0</v>
      </c>
      <c r="E1154" s="14">
        <v>0</v>
      </c>
      <c r="F1154" s="14">
        <v>0</v>
      </c>
    </row>
    <row r="1155" spans="1:6" x14ac:dyDescent="0.35">
      <c r="A1155" t="s">
        <v>1944</v>
      </c>
      <c r="B1155" t="s">
        <v>82</v>
      </c>
      <c r="C1155" s="14">
        <v>462598730525</v>
      </c>
      <c r="D1155" s="14">
        <v>50189993765</v>
      </c>
      <c r="E1155" s="14">
        <v>36545936231</v>
      </c>
      <c r="F1155" s="14">
        <v>40597339843</v>
      </c>
    </row>
    <row r="1156" spans="1:6" x14ac:dyDescent="0.35">
      <c r="A1156" t="s">
        <v>1944</v>
      </c>
      <c r="B1156" t="s">
        <v>83</v>
      </c>
      <c r="C1156" s="14">
        <v>0</v>
      </c>
      <c r="D1156" s="14">
        <v>23640353</v>
      </c>
      <c r="E1156" s="14">
        <v>47989376</v>
      </c>
      <c r="F1156" s="14">
        <v>0</v>
      </c>
    </row>
    <row r="1157" spans="1:6" x14ac:dyDescent="0.35">
      <c r="A1157" t="s">
        <v>1944</v>
      </c>
      <c r="B1157" t="s">
        <v>84</v>
      </c>
      <c r="C1157" s="14">
        <v>229588158100</v>
      </c>
      <c r="D1157" s="14">
        <v>2241081250</v>
      </c>
      <c r="E1157" s="14">
        <v>2241081250</v>
      </c>
      <c r="F1157" s="14">
        <v>2241081250</v>
      </c>
    </row>
    <row r="1158" spans="1:6" x14ac:dyDescent="0.35">
      <c r="A1158" t="s">
        <v>1944</v>
      </c>
      <c r="B1158" t="s">
        <v>85</v>
      </c>
      <c r="C1158" s="14">
        <v>1482494554</v>
      </c>
      <c r="D1158" s="14">
        <v>2002371621</v>
      </c>
      <c r="E1158" s="14">
        <v>0</v>
      </c>
      <c r="F1158" s="14">
        <v>0</v>
      </c>
    </row>
    <row r="1159" spans="1:6" x14ac:dyDescent="0.35">
      <c r="A1159" t="s">
        <v>1944</v>
      </c>
      <c r="B1159" t="s">
        <v>86</v>
      </c>
      <c r="C1159" s="14">
        <v>0</v>
      </c>
      <c r="D1159" s="14">
        <v>17329235568</v>
      </c>
      <c r="E1159" s="14">
        <v>0</v>
      </c>
      <c r="F1159" s="14">
        <v>0</v>
      </c>
    </row>
    <row r="1160" spans="1:6" x14ac:dyDescent="0.35">
      <c r="A1160" t="s">
        <v>1944</v>
      </c>
      <c r="B1160" t="s">
        <v>87</v>
      </c>
      <c r="C1160" s="14">
        <v>0</v>
      </c>
      <c r="D1160" s="14">
        <v>0</v>
      </c>
      <c r="E1160" s="14">
        <v>0</v>
      </c>
      <c r="F1160" s="14">
        <v>0</v>
      </c>
    </row>
    <row r="1161" spans="1:6" x14ac:dyDescent="0.35">
      <c r="A1161" t="s">
        <v>1944</v>
      </c>
      <c r="B1161" t="s">
        <v>88</v>
      </c>
      <c r="C1161" s="14">
        <v>0</v>
      </c>
      <c r="D1161" s="14">
        <v>0</v>
      </c>
      <c r="E1161" s="14">
        <v>0</v>
      </c>
      <c r="F1161" s="14">
        <v>0</v>
      </c>
    </row>
    <row r="1162" spans="1:6" x14ac:dyDescent="0.35">
      <c r="A1162" t="s">
        <v>1944</v>
      </c>
      <c r="B1162" t="s">
        <v>89</v>
      </c>
      <c r="C1162" s="14">
        <v>0</v>
      </c>
      <c r="D1162" s="14">
        <v>0</v>
      </c>
      <c r="E1162" s="14">
        <v>0</v>
      </c>
      <c r="F1162" s="14">
        <v>1511330028</v>
      </c>
    </row>
    <row r="1163" spans="1:6" x14ac:dyDescent="0.35">
      <c r="A1163" t="s">
        <v>1944</v>
      </c>
      <c r="B1163" t="s">
        <v>90</v>
      </c>
      <c r="C1163" s="14">
        <v>17329235568</v>
      </c>
      <c r="D1163" s="14">
        <v>0</v>
      </c>
      <c r="E1163" s="14">
        <v>0</v>
      </c>
      <c r="F1163" s="14">
        <v>0</v>
      </c>
    </row>
    <row r="1164" spans="1:6" x14ac:dyDescent="0.35">
      <c r="A1164" t="s">
        <v>1944</v>
      </c>
      <c r="B1164" t="s">
        <v>91</v>
      </c>
      <c r="C1164" s="14">
        <v>0</v>
      </c>
      <c r="D1164" s="14">
        <v>0</v>
      </c>
      <c r="E1164" s="14">
        <v>0</v>
      </c>
      <c r="F1164" s="14">
        <v>0</v>
      </c>
    </row>
    <row r="1165" spans="1:6" x14ac:dyDescent="0.35">
      <c r="A1165" t="s">
        <v>1944</v>
      </c>
      <c r="B1165" t="s">
        <v>92</v>
      </c>
      <c r="C1165" s="14">
        <v>0</v>
      </c>
      <c r="D1165" s="14">
        <v>0</v>
      </c>
      <c r="E1165" s="14">
        <v>0</v>
      </c>
      <c r="F1165" s="14">
        <v>0</v>
      </c>
    </row>
    <row r="1166" spans="1:6" x14ac:dyDescent="0.35">
      <c r="A1166" t="s">
        <v>1944</v>
      </c>
      <c r="B1166" t="s">
        <v>93</v>
      </c>
      <c r="C1166" s="14">
        <v>0</v>
      </c>
      <c r="D1166" s="14">
        <v>0</v>
      </c>
      <c r="E1166" s="14">
        <v>0</v>
      </c>
      <c r="F1166" s="14">
        <v>0</v>
      </c>
    </row>
    <row r="1167" spans="1:6" x14ac:dyDescent="0.35">
      <c r="A1167" t="s">
        <v>1944</v>
      </c>
      <c r="B1167" t="s">
        <v>94</v>
      </c>
      <c r="C1167" s="14">
        <v>213458481931</v>
      </c>
      <c r="D1167" s="14">
        <v>28163221201</v>
      </c>
      <c r="E1167" s="14">
        <v>34115421833</v>
      </c>
      <c r="F1167" s="14">
        <v>36844928565</v>
      </c>
    </row>
    <row r="1168" spans="1:6" x14ac:dyDescent="0.35">
      <c r="A1168" t="s">
        <v>1944</v>
      </c>
      <c r="B1168" t="s">
        <v>95</v>
      </c>
      <c r="C1168" s="14">
        <v>740360372</v>
      </c>
      <c r="D1168" s="14">
        <v>430443772</v>
      </c>
      <c r="E1168" s="14">
        <v>141443772</v>
      </c>
      <c r="F1168" s="14">
        <v>0</v>
      </c>
    </row>
    <row r="1169" spans="1:6" x14ac:dyDescent="0.35">
      <c r="A1169" t="s">
        <v>1944</v>
      </c>
      <c r="B1169" t="s">
        <v>96</v>
      </c>
      <c r="C1169" s="14">
        <v>1167264926456</v>
      </c>
      <c r="D1169" s="14">
        <v>1376211820808</v>
      </c>
      <c r="E1169" s="14">
        <v>1356309549213</v>
      </c>
      <c r="F1169" s="14">
        <v>1333729682731</v>
      </c>
    </row>
    <row r="1170" spans="1:6" x14ac:dyDescent="0.35">
      <c r="A1170" t="s">
        <v>1944</v>
      </c>
      <c r="B1170" t="s">
        <v>97</v>
      </c>
      <c r="C1170" s="14">
        <v>1167214401059</v>
      </c>
      <c r="D1170" s="14">
        <v>1376161295411</v>
      </c>
      <c r="E1170" s="14">
        <v>1356259023816</v>
      </c>
      <c r="F1170" s="14">
        <v>1333679157334</v>
      </c>
    </row>
    <row r="1171" spans="1:6" x14ac:dyDescent="0.35">
      <c r="A1171" t="s">
        <v>1944</v>
      </c>
      <c r="B1171" t="s">
        <v>98</v>
      </c>
      <c r="C1171" s="14">
        <v>360149520000</v>
      </c>
      <c r="D1171" s="14">
        <v>450181410000</v>
      </c>
      <c r="E1171" s="14">
        <v>675261650000</v>
      </c>
      <c r="F1171" s="14">
        <v>675261650000</v>
      </c>
    </row>
    <row r="1172" spans="1:6" x14ac:dyDescent="0.35">
      <c r="A1172" t="s">
        <v>1944</v>
      </c>
      <c r="B1172" t="s">
        <v>99</v>
      </c>
      <c r="C1172" s="14">
        <v>360149520000</v>
      </c>
      <c r="D1172" s="14">
        <v>450181410000</v>
      </c>
      <c r="E1172" s="14">
        <v>675261650000</v>
      </c>
      <c r="F1172" s="14">
        <v>675261650000</v>
      </c>
    </row>
    <row r="1173" spans="1:6" x14ac:dyDescent="0.35">
      <c r="A1173" t="s">
        <v>1944</v>
      </c>
      <c r="B1173" t="s">
        <v>100</v>
      </c>
      <c r="C1173" s="14">
        <v>0</v>
      </c>
      <c r="D1173" s="14">
        <v>0</v>
      </c>
      <c r="E1173" s="14">
        <v>0</v>
      </c>
      <c r="F1173" s="14">
        <v>0</v>
      </c>
    </row>
    <row r="1174" spans="1:6" x14ac:dyDescent="0.35">
      <c r="A1174" t="s">
        <v>1944</v>
      </c>
      <c r="B1174" t="s">
        <v>101</v>
      </c>
      <c r="C1174" s="14">
        <v>4922641050</v>
      </c>
      <c r="D1174" s="14">
        <v>4922641050</v>
      </c>
      <c r="E1174" s="14">
        <v>4922641050</v>
      </c>
      <c r="F1174" s="14">
        <v>4922641050</v>
      </c>
    </row>
    <row r="1175" spans="1:6" x14ac:dyDescent="0.35">
      <c r="A1175" t="s">
        <v>1944</v>
      </c>
      <c r="B1175" t="s">
        <v>102</v>
      </c>
      <c r="C1175" s="14">
        <v>0</v>
      </c>
      <c r="D1175" s="14">
        <v>0</v>
      </c>
      <c r="E1175" s="14">
        <v>0</v>
      </c>
      <c r="F1175" s="14">
        <v>0</v>
      </c>
    </row>
    <row r="1176" spans="1:6" x14ac:dyDescent="0.35">
      <c r="A1176" t="s">
        <v>1944</v>
      </c>
      <c r="B1176" t="s">
        <v>103</v>
      </c>
      <c r="C1176" s="14">
        <v>12641457169</v>
      </c>
      <c r="D1176" s="14">
        <v>12641457169</v>
      </c>
      <c r="E1176" s="14">
        <v>12641457169</v>
      </c>
      <c r="F1176" s="14">
        <v>12641457169</v>
      </c>
    </row>
    <row r="1177" spans="1:6" x14ac:dyDescent="0.35">
      <c r="A1177" t="s">
        <v>1944</v>
      </c>
      <c r="B1177" t="s">
        <v>104</v>
      </c>
      <c r="C1177" s="14">
        <v>0</v>
      </c>
      <c r="D1177" s="14">
        <v>0</v>
      </c>
      <c r="E1177" s="14">
        <v>0</v>
      </c>
      <c r="F1177" s="14">
        <v>0</v>
      </c>
    </row>
    <row r="1178" spans="1:6" x14ac:dyDescent="0.35">
      <c r="A1178" t="s">
        <v>1944</v>
      </c>
      <c r="B1178" t="s">
        <v>105</v>
      </c>
      <c r="C1178" s="14">
        <v>0</v>
      </c>
      <c r="D1178" s="14">
        <v>0</v>
      </c>
      <c r="E1178" s="14">
        <v>0</v>
      </c>
      <c r="F1178" s="14">
        <v>0</v>
      </c>
    </row>
    <row r="1179" spans="1:6" x14ac:dyDescent="0.35">
      <c r="A1179" t="s">
        <v>1944</v>
      </c>
      <c r="B1179" t="s">
        <v>106</v>
      </c>
      <c r="C1179" s="14">
        <v>0</v>
      </c>
      <c r="D1179" s="14">
        <v>0</v>
      </c>
      <c r="E1179" s="14">
        <v>0</v>
      </c>
      <c r="F1179" s="14">
        <v>0</v>
      </c>
    </row>
    <row r="1180" spans="1:6" x14ac:dyDescent="0.35">
      <c r="A1180" t="s">
        <v>1944</v>
      </c>
      <c r="B1180" t="s">
        <v>107</v>
      </c>
      <c r="C1180" s="14">
        <v>382230283648</v>
      </c>
      <c r="D1180" s="14">
        <v>460889943139</v>
      </c>
      <c r="E1180" s="14">
        <v>380193662909</v>
      </c>
      <c r="F1180" s="14">
        <v>380193662909</v>
      </c>
    </row>
    <row r="1181" spans="1:6" x14ac:dyDescent="0.35">
      <c r="A1181" t="s">
        <v>1944</v>
      </c>
      <c r="B1181" t="s">
        <v>108</v>
      </c>
      <c r="C1181" s="14">
        <v>0</v>
      </c>
      <c r="D1181" s="14">
        <v>0</v>
      </c>
      <c r="E1181" s="14">
        <v>0</v>
      </c>
      <c r="F1181" s="14">
        <v>0</v>
      </c>
    </row>
    <row r="1182" spans="1:6" x14ac:dyDescent="0.35">
      <c r="A1182" t="s">
        <v>1944</v>
      </c>
      <c r="B1182" t="s">
        <v>109</v>
      </c>
      <c r="C1182" s="14">
        <v>0</v>
      </c>
      <c r="D1182" s="14">
        <v>0</v>
      </c>
      <c r="E1182" s="14">
        <v>0</v>
      </c>
      <c r="F1182" s="14">
        <v>0</v>
      </c>
    </row>
    <row r="1183" spans="1:6" x14ac:dyDescent="0.35">
      <c r="A1183" t="s">
        <v>1944</v>
      </c>
      <c r="B1183" t="s">
        <v>110</v>
      </c>
      <c r="C1183" s="14">
        <v>407263844992</v>
      </c>
      <c r="D1183" s="14">
        <v>447519155853</v>
      </c>
      <c r="E1183" s="14">
        <v>283232924488</v>
      </c>
      <c r="F1183" s="14">
        <v>260653058006</v>
      </c>
    </row>
    <row r="1184" spans="1:6" x14ac:dyDescent="0.35">
      <c r="A1184" t="s">
        <v>1944</v>
      </c>
      <c r="B1184" t="s">
        <v>111</v>
      </c>
      <c r="C1184" s="14">
        <v>262198864970</v>
      </c>
      <c r="D1184" s="14">
        <v>271756448849</v>
      </c>
      <c r="E1184" s="14">
        <v>230346410198</v>
      </c>
      <c r="F1184" s="14">
        <v>207507037344</v>
      </c>
    </row>
    <row r="1185" spans="1:6" x14ac:dyDescent="0.35">
      <c r="A1185" t="s">
        <v>1944</v>
      </c>
      <c r="B1185" t="s">
        <v>112</v>
      </c>
      <c r="C1185" s="14">
        <v>145064980022</v>
      </c>
      <c r="D1185" s="14">
        <v>175762707004</v>
      </c>
      <c r="E1185" s="14">
        <v>52886514290</v>
      </c>
      <c r="F1185" s="14">
        <v>53146020662</v>
      </c>
    </row>
    <row r="1186" spans="1:6" x14ac:dyDescent="0.35">
      <c r="A1186" t="s">
        <v>1944</v>
      </c>
      <c r="B1186" t="s">
        <v>113</v>
      </c>
      <c r="C1186" s="14">
        <v>6654200</v>
      </c>
      <c r="D1186" s="14">
        <v>6688200</v>
      </c>
      <c r="E1186" s="14">
        <v>6688200</v>
      </c>
      <c r="F1186" s="14">
        <v>6688200</v>
      </c>
    </row>
    <row r="1187" spans="1:6" x14ac:dyDescent="0.35">
      <c r="A1187" t="s">
        <v>1944</v>
      </c>
      <c r="B1187" t="s">
        <v>114</v>
      </c>
      <c r="C1187" s="14">
        <v>0</v>
      </c>
      <c r="D1187" s="14">
        <v>0</v>
      </c>
      <c r="E1187" s="14">
        <v>0</v>
      </c>
      <c r="F1187" s="14">
        <v>0</v>
      </c>
    </row>
    <row r="1188" spans="1:6" x14ac:dyDescent="0.35">
      <c r="A1188" t="s">
        <v>1944</v>
      </c>
      <c r="B1188" t="s">
        <v>115</v>
      </c>
      <c r="C1188" s="14">
        <v>50525397</v>
      </c>
      <c r="D1188" s="14">
        <v>50525397</v>
      </c>
      <c r="E1188" s="14">
        <v>50525397</v>
      </c>
      <c r="F1188" s="14">
        <v>50525397</v>
      </c>
    </row>
    <row r="1189" spans="1:6" x14ac:dyDescent="0.35">
      <c r="A1189" t="s">
        <v>1944</v>
      </c>
      <c r="B1189" t="s">
        <v>116</v>
      </c>
      <c r="C1189" s="14">
        <v>50525397</v>
      </c>
      <c r="D1189" s="14">
        <v>50525397</v>
      </c>
      <c r="E1189" s="14">
        <v>50525397</v>
      </c>
      <c r="F1189" s="14">
        <v>50525397</v>
      </c>
    </row>
    <row r="1190" spans="1:6" x14ac:dyDescent="0.35">
      <c r="A1190" t="s">
        <v>1944</v>
      </c>
      <c r="B1190" t="s">
        <v>117</v>
      </c>
      <c r="C1190" s="14">
        <v>0</v>
      </c>
      <c r="D1190" s="14">
        <v>0</v>
      </c>
      <c r="E1190" s="14">
        <v>0</v>
      </c>
      <c r="F1190" s="14">
        <v>0</v>
      </c>
    </row>
    <row r="1191" spans="1:6" x14ac:dyDescent="0.35">
      <c r="A1191" t="s">
        <v>1944</v>
      </c>
      <c r="B1191" t="s">
        <v>118</v>
      </c>
      <c r="C1191" s="14">
        <v>3336016514830</v>
      </c>
      <c r="D1191" s="14">
        <v>4465745204205</v>
      </c>
      <c r="E1191" s="14">
        <v>2988754675229</v>
      </c>
      <c r="F1191" s="14">
        <v>2461045530310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25FA-5712-425E-98C6-CCD074499D31}">
  <dimension ref="A1:F421"/>
  <sheetViews>
    <sheetView workbookViewId="0"/>
  </sheetViews>
  <sheetFormatPr defaultRowHeight="14.5" x14ac:dyDescent="0.35"/>
  <cols>
    <col min="1" max="1" width="16.453125" bestFit="1" customWidth="1"/>
    <col min="2" max="2" width="80.7265625" bestFit="1" customWidth="1"/>
    <col min="3" max="6" width="12.453125" bestFit="1" customWidth="1"/>
  </cols>
  <sheetData>
    <row r="1" spans="1:6" x14ac:dyDescent="0.35">
      <c r="A1" t="s">
        <v>0</v>
      </c>
      <c r="B1" t="s">
        <v>152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1936</v>
      </c>
      <c r="B2" t="s">
        <v>153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1936</v>
      </c>
      <c r="B3" t="s">
        <v>1959</v>
      </c>
      <c r="C3">
        <v>624305442889</v>
      </c>
      <c r="D3">
        <v>786296291797</v>
      </c>
      <c r="E3">
        <v>0</v>
      </c>
      <c r="F3">
        <v>0</v>
      </c>
    </row>
    <row r="4" spans="1:6" x14ac:dyDescent="0.35">
      <c r="A4" t="s">
        <v>1936</v>
      </c>
      <c r="B4" t="s">
        <v>1960</v>
      </c>
      <c r="C4">
        <v>0</v>
      </c>
      <c r="D4">
        <v>0</v>
      </c>
      <c r="E4">
        <v>0</v>
      </c>
      <c r="F4">
        <v>0</v>
      </c>
    </row>
    <row r="5" spans="1:6" x14ac:dyDescent="0.35">
      <c r="A5" t="s">
        <v>1936</v>
      </c>
      <c r="B5" t="s">
        <v>1961</v>
      </c>
      <c r="C5">
        <v>291287520557</v>
      </c>
      <c r="D5">
        <v>412663425454</v>
      </c>
      <c r="E5">
        <v>0</v>
      </c>
      <c r="F5">
        <v>0</v>
      </c>
    </row>
    <row r="6" spans="1:6" x14ac:dyDescent="0.35">
      <c r="A6" t="s">
        <v>1936</v>
      </c>
      <c r="B6" t="s">
        <v>1962</v>
      </c>
      <c r="C6">
        <v>31823763668</v>
      </c>
      <c r="D6">
        <v>-49922183741</v>
      </c>
      <c r="E6">
        <v>0</v>
      </c>
      <c r="F6">
        <v>0</v>
      </c>
    </row>
    <row r="7" spans="1:6" x14ac:dyDescent="0.35">
      <c r="A7" t="s">
        <v>1936</v>
      </c>
      <c r="B7" t="s">
        <v>1963</v>
      </c>
      <c r="C7">
        <v>-328775136</v>
      </c>
      <c r="D7">
        <v>7825589517</v>
      </c>
      <c r="E7">
        <v>0</v>
      </c>
      <c r="F7">
        <v>0</v>
      </c>
    </row>
    <row r="8" spans="1:6" x14ac:dyDescent="0.35">
      <c r="A8" t="s">
        <v>1936</v>
      </c>
      <c r="B8" t="s">
        <v>1964</v>
      </c>
      <c r="C8">
        <v>-408081310236</v>
      </c>
      <c r="D8">
        <v>-125465147908</v>
      </c>
      <c r="E8">
        <v>0</v>
      </c>
      <c r="F8">
        <v>0</v>
      </c>
    </row>
    <row r="9" spans="1:6" x14ac:dyDescent="0.35">
      <c r="A9" t="s">
        <v>1936</v>
      </c>
      <c r="B9" t="s">
        <v>1965</v>
      </c>
      <c r="C9">
        <v>518022543070</v>
      </c>
      <c r="D9">
        <v>445545332734</v>
      </c>
      <c r="E9">
        <v>0</v>
      </c>
      <c r="F9">
        <v>0</v>
      </c>
    </row>
    <row r="10" spans="1:6" x14ac:dyDescent="0.35">
      <c r="A10" t="s">
        <v>1936</v>
      </c>
      <c r="B10" t="s">
        <v>1966</v>
      </c>
      <c r="C10">
        <v>1057029184812</v>
      </c>
      <c r="D10">
        <v>6390174000</v>
      </c>
      <c r="E10">
        <v>0</v>
      </c>
      <c r="F10">
        <v>0</v>
      </c>
    </row>
    <row r="11" spans="1:6" x14ac:dyDescent="0.35">
      <c r="A11" t="s">
        <v>1936</v>
      </c>
      <c r="B11" t="s">
        <v>1967</v>
      </c>
      <c r="C11">
        <v>0</v>
      </c>
      <c r="D11">
        <v>1483333481853</v>
      </c>
      <c r="E11">
        <v>0</v>
      </c>
      <c r="F11">
        <v>0</v>
      </c>
    </row>
    <row r="12" spans="1:6" x14ac:dyDescent="0.35">
      <c r="A12" t="s">
        <v>1936</v>
      </c>
      <c r="B12" t="s">
        <v>1968</v>
      </c>
      <c r="C12">
        <v>-206707756581</v>
      </c>
      <c r="D12">
        <v>-142052983583</v>
      </c>
      <c r="E12">
        <v>0</v>
      </c>
      <c r="F12">
        <v>0</v>
      </c>
    </row>
    <row r="13" spans="1:6" x14ac:dyDescent="0.35">
      <c r="A13" t="s">
        <v>1936</v>
      </c>
      <c r="B13" t="s">
        <v>1969</v>
      </c>
      <c r="C13">
        <v>-174862140894</v>
      </c>
      <c r="D13">
        <v>250578661566</v>
      </c>
      <c r="E13">
        <v>0</v>
      </c>
      <c r="F13">
        <v>0</v>
      </c>
    </row>
    <row r="14" spans="1:6" x14ac:dyDescent="0.35">
      <c r="A14" t="s">
        <v>1936</v>
      </c>
      <c r="B14" t="s">
        <v>1970</v>
      </c>
      <c r="C14">
        <v>-6806876811</v>
      </c>
      <c r="D14">
        <v>177751179390</v>
      </c>
      <c r="E14">
        <v>0</v>
      </c>
      <c r="F14">
        <v>0</v>
      </c>
    </row>
    <row r="15" spans="1:6" x14ac:dyDescent="0.35">
      <c r="A15" t="s">
        <v>1936</v>
      </c>
      <c r="B15" t="s">
        <v>1971</v>
      </c>
      <c r="C15">
        <v>14667163575</v>
      </c>
      <c r="D15">
        <v>-196695831233</v>
      </c>
      <c r="E15">
        <v>0</v>
      </c>
      <c r="F15">
        <v>0</v>
      </c>
    </row>
    <row r="16" spans="1:6" x14ac:dyDescent="0.35">
      <c r="A16" t="s">
        <v>1936</v>
      </c>
      <c r="B16" t="s">
        <v>1972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t="s">
        <v>1936</v>
      </c>
      <c r="B17" t="s">
        <v>1973</v>
      </c>
      <c r="C17">
        <v>-516296024145</v>
      </c>
      <c r="D17">
        <v>-457639875442</v>
      </c>
      <c r="E17">
        <v>0</v>
      </c>
      <c r="F17">
        <v>0</v>
      </c>
    </row>
    <row r="18" spans="1:6" x14ac:dyDescent="0.35">
      <c r="A18" t="s">
        <v>1936</v>
      </c>
      <c r="B18" t="s">
        <v>1974</v>
      </c>
      <c r="C18">
        <v>-29084462823</v>
      </c>
      <c r="D18">
        <v>-26169763374</v>
      </c>
      <c r="E18">
        <v>0</v>
      </c>
      <c r="F18">
        <v>0</v>
      </c>
    </row>
    <row r="19" spans="1:6" x14ac:dyDescent="0.35">
      <c r="A19" t="s">
        <v>1936</v>
      </c>
      <c r="B19" t="s">
        <v>1975</v>
      </c>
      <c r="C19">
        <v>6735654500</v>
      </c>
      <c r="D19">
        <v>0</v>
      </c>
      <c r="E19">
        <v>0</v>
      </c>
      <c r="F19">
        <v>0</v>
      </c>
    </row>
    <row r="20" spans="1:6" x14ac:dyDescent="0.35">
      <c r="A20" t="s">
        <v>1936</v>
      </c>
      <c r="B20" t="s">
        <v>1976</v>
      </c>
      <c r="C20">
        <v>-634938182</v>
      </c>
      <c r="D20">
        <v>-113800000</v>
      </c>
      <c r="E20">
        <v>0</v>
      </c>
      <c r="F20">
        <v>0</v>
      </c>
    </row>
    <row r="21" spans="1:6" x14ac:dyDescent="0.35">
      <c r="A21" t="s">
        <v>1936</v>
      </c>
      <c r="B21" t="s">
        <v>154</v>
      </c>
      <c r="C21">
        <v>144039803451</v>
      </c>
      <c r="D21">
        <v>1087581057058</v>
      </c>
      <c r="E21">
        <v>0</v>
      </c>
      <c r="F21">
        <v>0</v>
      </c>
    </row>
    <row r="22" spans="1:6" x14ac:dyDescent="0.35">
      <c r="A22" t="s">
        <v>1936</v>
      </c>
      <c r="B22" t="s">
        <v>155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t="s">
        <v>1936</v>
      </c>
      <c r="B23" t="s">
        <v>156</v>
      </c>
      <c r="C23">
        <v>-2157693022691</v>
      </c>
      <c r="D23">
        <v>-610485950432</v>
      </c>
      <c r="E23">
        <v>0</v>
      </c>
      <c r="F23">
        <v>0</v>
      </c>
    </row>
    <row r="24" spans="1:6" x14ac:dyDescent="0.35">
      <c r="A24" t="s">
        <v>1936</v>
      </c>
      <c r="B24" t="s">
        <v>157</v>
      </c>
      <c r="C24">
        <v>164192763348</v>
      </c>
      <c r="D24">
        <v>29824474823</v>
      </c>
      <c r="E24">
        <v>0</v>
      </c>
      <c r="F24">
        <v>0</v>
      </c>
    </row>
    <row r="25" spans="1:6" x14ac:dyDescent="0.35">
      <c r="A25" t="s">
        <v>1936</v>
      </c>
      <c r="B25" t="s">
        <v>158</v>
      </c>
      <c r="C25">
        <v>-1276903000000</v>
      </c>
      <c r="D25">
        <v>-2576657785234</v>
      </c>
      <c r="E25">
        <v>0</v>
      </c>
      <c r="F25">
        <v>0</v>
      </c>
    </row>
    <row r="26" spans="1:6" x14ac:dyDescent="0.35">
      <c r="A26" t="s">
        <v>1936</v>
      </c>
      <c r="B26" t="s">
        <v>159</v>
      </c>
      <c r="C26">
        <v>1642874132362</v>
      </c>
      <c r="D26">
        <v>2252315274792</v>
      </c>
      <c r="E26">
        <v>0</v>
      </c>
      <c r="F26">
        <v>0</v>
      </c>
    </row>
    <row r="27" spans="1:6" x14ac:dyDescent="0.35">
      <c r="A27" t="s">
        <v>1936</v>
      </c>
      <c r="B27" t="s">
        <v>160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t="s">
        <v>1936</v>
      </c>
      <c r="B28" t="s">
        <v>161</v>
      </c>
      <c r="C28">
        <v>0</v>
      </c>
      <c r="D28">
        <v>1978708401</v>
      </c>
      <c r="E28">
        <v>0</v>
      </c>
      <c r="F28">
        <v>0</v>
      </c>
    </row>
    <row r="29" spans="1:6" x14ac:dyDescent="0.35">
      <c r="A29" t="s">
        <v>1936</v>
      </c>
      <c r="B29" t="s">
        <v>162</v>
      </c>
      <c r="C29">
        <v>125028432549</v>
      </c>
      <c r="D29">
        <v>108717137685</v>
      </c>
      <c r="E29">
        <v>0</v>
      </c>
      <c r="F29">
        <v>0</v>
      </c>
    </row>
    <row r="30" spans="1:6" x14ac:dyDescent="0.35">
      <c r="A30" t="s">
        <v>1936</v>
      </c>
      <c r="B30" t="s">
        <v>163</v>
      </c>
      <c r="C30">
        <v>-1502500694432</v>
      </c>
      <c r="D30">
        <v>-794308139965</v>
      </c>
      <c r="E30">
        <v>0</v>
      </c>
      <c r="F30">
        <v>0</v>
      </c>
    </row>
    <row r="31" spans="1:6" x14ac:dyDescent="0.35">
      <c r="A31" t="s">
        <v>1936</v>
      </c>
      <c r="B31" t="s">
        <v>164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t="s">
        <v>1936</v>
      </c>
      <c r="B32" t="s">
        <v>165</v>
      </c>
      <c r="C32">
        <v>0</v>
      </c>
      <c r="D32">
        <v>0</v>
      </c>
      <c r="E32">
        <v>0</v>
      </c>
      <c r="F32">
        <v>0</v>
      </c>
    </row>
    <row r="33" spans="1:6" x14ac:dyDescent="0.35">
      <c r="A33" t="s">
        <v>1936</v>
      </c>
      <c r="B33" t="s">
        <v>1977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t="s">
        <v>1936</v>
      </c>
      <c r="B34" t="s">
        <v>166</v>
      </c>
      <c r="C34">
        <v>14245393512471</v>
      </c>
      <c r="D34">
        <v>12913025148930</v>
      </c>
      <c r="E34">
        <v>0</v>
      </c>
      <c r="F34">
        <v>0</v>
      </c>
    </row>
    <row r="35" spans="1:6" x14ac:dyDescent="0.35">
      <c r="A35" t="s">
        <v>1936</v>
      </c>
      <c r="B35" t="s">
        <v>167</v>
      </c>
      <c r="C35">
        <v>-12866613417157</v>
      </c>
      <c r="D35">
        <v>-13336213862641</v>
      </c>
      <c r="E35">
        <v>0</v>
      </c>
      <c r="F35">
        <v>0</v>
      </c>
    </row>
    <row r="36" spans="1:6" x14ac:dyDescent="0.35">
      <c r="A36" t="s">
        <v>1936</v>
      </c>
      <c r="B36" t="s">
        <v>1978</v>
      </c>
      <c r="C36">
        <v>-60568823232</v>
      </c>
      <c r="D36">
        <v>-63901729536</v>
      </c>
      <c r="E36">
        <v>0</v>
      </c>
      <c r="F36">
        <v>0</v>
      </c>
    </row>
    <row r="37" spans="1:6" x14ac:dyDescent="0.35">
      <c r="A37" t="s">
        <v>1936</v>
      </c>
      <c r="B37" t="s">
        <v>168</v>
      </c>
      <c r="C37">
        <v>0</v>
      </c>
      <c r="D37">
        <v>-79049209</v>
      </c>
      <c r="E37">
        <v>0</v>
      </c>
      <c r="F37">
        <v>0</v>
      </c>
    </row>
    <row r="38" spans="1:6" x14ac:dyDescent="0.35">
      <c r="A38" t="s">
        <v>1936</v>
      </c>
      <c r="B38" t="s">
        <v>169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t="s">
        <v>1936</v>
      </c>
      <c r="B39" t="s">
        <v>170</v>
      </c>
      <c r="C39">
        <v>1318211272082</v>
      </c>
      <c r="D39">
        <v>-487169492456</v>
      </c>
      <c r="E39">
        <v>0</v>
      </c>
      <c r="F39">
        <v>0</v>
      </c>
    </row>
    <row r="40" spans="1:6" x14ac:dyDescent="0.35">
      <c r="A40" t="s">
        <v>1936</v>
      </c>
      <c r="B40" t="s">
        <v>171</v>
      </c>
      <c r="C40">
        <v>-40249618899</v>
      </c>
      <c r="D40">
        <v>-193896575363</v>
      </c>
      <c r="E40">
        <v>0</v>
      </c>
      <c r="F40">
        <v>0</v>
      </c>
    </row>
    <row r="41" spans="1:6" x14ac:dyDescent="0.35">
      <c r="A41" t="s">
        <v>1936</v>
      </c>
      <c r="B41" t="s">
        <v>172</v>
      </c>
      <c r="C41">
        <v>822987169585</v>
      </c>
      <c r="D41">
        <v>783217339870</v>
      </c>
      <c r="E41">
        <v>0</v>
      </c>
      <c r="F41">
        <v>0</v>
      </c>
    </row>
    <row r="42" spans="1:6" x14ac:dyDescent="0.35">
      <c r="A42" t="s">
        <v>1936</v>
      </c>
      <c r="B42" t="s">
        <v>173</v>
      </c>
      <c r="C42">
        <v>479789184</v>
      </c>
      <c r="D42">
        <v>-3410177314</v>
      </c>
      <c r="E42">
        <v>0</v>
      </c>
      <c r="F42">
        <v>0</v>
      </c>
    </row>
    <row r="43" spans="1:6" x14ac:dyDescent="0.35">
      <c r="A43" t="s">
        <v>1936</v>
      </c>
      <c r="B43" t="s">
        <v>174</v>
      </c>
      <c r="C43">
        <v>783217339870</v>
      </c>
      <c r="D43">
        <v>585910587193</v>
      </c>
      <c r="E43">
        <v>0</v>
      </c>
      <c r="F43">
        <v>0</v>
      </c>
    </row>
    <row r="44" spans="1:6" x14ac:dyDescent="0.35">
      <c r="A44" t="s">
        <v>1937</v>
      </c>
      <c r="B44" t="s">
        <v>153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t="s">
        <v>1937</v>
      </c>
      <c r="B45" t="s">
        <v>1959</v>
      </c>
      <c r="C45">
        <v>333248987946</v>
      </c>
      <c r="D45">
        <v>1265958846434</v>
      </c>
      <c r="E45">
        <v>790235150447</v>
      </c>
      <c r="F45">
        <v>251364984263</v>
      </c>
    </row>
    <row r="46" spans="1:6" x14ac:dyDescent="0.35">
      <c r="A46" t="s">
        <v>1937</v>
      </c>
      <c r="B46" t="s">
        <v>1960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t="s">
        <v>1937</v>
      </c>
      <c r="B47" t="s">
        <v>1961</v>
      </c>
      <c r="C47">
        <v>81716468862</v>
      </c>
      <c r="D47">
        <v>401110136362</v>
      </c>
      <c r="E47">
        <v>566386689760</v>
      </c>
      <c r="F47">
        <v>614767199977</v>
      </c>
    </row>
    <row r="48" spans="1:6" x14ac:dyDescent="0.35">
      <c r="A48" t="s">
        <v>1937</v>
      </c>
      <c r="B48" t="s">
        <v>1962</v>
      </c>
      <c r="C48">
        <v>37259941684</v>
      </c>
      <c r="D48">
        <v>8045430921</v>
      </c>
      <c r="E48">
        <v>192476630354</v>
      </c>
      <c r="F48">
        <v>55424864997</v>
      </c>
    </row>
    <row r="49" spans="1:6" x14ac:dyDescent="0.35">
      <c r="A49" t="s">
        <v>1937</v>
      </c>
      <c r="B49" t="s">
        <v>1963</v>
      </c>
      <c r="C49">
        <v>-3464701237</v>
      </c>
      <c r="D49">
        <v>-4671694109</v>
      </c>
      <c r="E49">
        <v>20242145210</v>
      </c>
      <c r="F49">
        <v>106831043046</v>
      </c>
    </row>
    <row r="50" spans="1:6" x14ac:dyDescent="0.35">
      <c r="A50" t="s">
        <v>1937</v>
      </c>
      <c r="B50" t="s">
        <v>1964</v>
      </c>
      <c r="C50">
        <v>-824782684557</v>
      </c>
      <c r="D50">
        <v>-2136646251389</v>
      </c>
      <c r="E50">
        <v>-1162208331661</v>
      </c>
      <c r="F50">
        <v>-375154719302</v>
      </c>
    </row>
    <row r="51" spans="1:6" x14ac:dyDescent="0.35">
      <c r="A51" t="s">
        <v>1937</v>
      </c>
      <c r="B51" t="s">
        <v>1965</v>
      </c>
      <c r="C51">
        <v>302906288145</v>
      </c>
      <c r="D51">
        <v>1012043165222</v>
      </c>
      <c r="E51">
        <v>1451109984220</v>
      </c>
      <c r="F51">
        <v>1603169098685</v>
      </c>
    </row>
    <row r="52" spans="1:6" x14ac:dyDescent="0.35">
      <c r="A52" t="s">
        <v>1937</v>
      </c>
      <c r="B52" t="s">
        <v>1966</v>
      </c>
      <c r="C52">
        <v>0</v>
      </c>
      <c r="D52">
        <v>0</v>
      </c>
      <c r="E52">
        <v>0</v>
      </c>
      <c r="F52">
        <v>0</v>
      </c>
    </row>
    <row r="53" spans="1:6" x14ac:dyDescent="0.35">
      <c r="A53" t="s">
        <v>1937</v>
      </c>
      <c r="B53" t="s">
        <v>1967</v>
      </c>
      <c r="C53">
        <v>-73115699157</v>
      </c>
      <c r="D53">
        <v>545839633441</v>
      </c>
      <c r="E53">
        <v>1858242268330</v>
      </c>
      <c r="F53">
        <v>2256402471666</v>
      </c>
    </row>
    <row r="54" spans="1:6" x14ac:dyDescent="0.35">
      <c r="A54" t="s">
        <v>1937</v>
      </c>
      <c r="B54" t="s">
        <v>1968</v>
      </c>
      <c r="C54">
        <v>-7802017870458</v>
      </c>
      <c r="D54">
        <v>429573743279</v>
      </c>
      <c r="E54">
        <v>-8383824213769</v>
      </c>
      <c r="F54">
        <v>3048703276222</v>
      </c>
    </row>
    <row r="55" spans="1:6" x14ac:dyDescent="0.35">
      <c r="A55" t="s">
        <v>1937</v>
      </c>
      <c r="B55" t="s">
        <v>1969</v>
      </c>
      <c r="C55">
        <v>-897646698672</v>
      </c>
      <c r="D55">
        <v>-692296393213</v>
      </c>
      <c r="E55">
        <v>-330748471038</v>
      </c>
      <c r="F55">
        <v>92155519099</v>
      </c>
    </row>
    <row r="56" spans="1:6" x14ac:dyDescent="0.35">
      <c r="A56" t="s">
        <v>1937</v>
      </c>
      <c r="B56" t="s">
        <v>1970</v>
      </c>
      <c r="C56">
        <v>7645239825877</v>
      </c>
      <c r="D56">
        <v>-7228785804732</v>
      </c>
      <c r="E56">
        <v>3851178620167</v>
      </c>
      <c r="F56">
        <v>-3666983883769</v>
      </c>
    </row>
    <row r="57" spans="1:6" x14ac:dyDescent="0.35">
      <c r="A57" t="s">
        <v>1937</v>
      </c>
      <c r="B57" t="s">
        <v>1971</v>
      </c>
      <c r="C57">
        <v>-51781511343</v>
      </c>
      <c r="D57">
        <v>-3826859596</v>
      </c>
      <c r="E57">
        <v>26296100012</v>
      </c>
      <c r="F57">
        <v>-44114460797</v>
      </c>
    </row>
    <row r="58" spans="1:6" x14ac:dyDescent="0.35">
      <c r="A58" t="s">
        <v>1937</v>
      </c>
      <c r="B58" t="s">
        <v>1972</v>
      </c>
      <c r="C58">
        <v>0</v>
      </c>
      <c r="D58">
        <v>0</v>
      </c>
      <c r="E58">
        <v>819670000000</v>
      </c>
      <c r="F58">
        <v>35428966941</v>
      </c>
    </row>
    <row r="59" spans="1:6" x14ac:dyDescent="0.35">
      <c r="A59" t="s">
        <v>1937</v>
      </c>
      <c r="B59" t="s">
        <v>1973</v>
      </c>
      <c r="C59">
        <v>-421550790309</v>
      </c>
      <c r="D59">
        <v>-959815159608</v>
      </c>
      <c r="E59">
        <v>-1161735291273</v>
      </c>
      <c r="F59">
        <v>-1660071613553</v>
      </c>
    </row>
    <row r="60" spans="1:6" x14ac:dyDescent="0.35">
      <c r="A60" t="s">
        <v>1937</v>
      </c>
      <c r="B60" t="s">
        <v>1974</v>
      </c>
      <c r="C60">
        <v>-58434948059</v>
      </c>
      <c r="D60">
        <v>-94573446636</v>
      </c>
      <c r="E60">
        <v>-242739909108</v>
      </c>
      <c r="F60">
        <v>-139283446996</v>
      </c>
    </row>
    <row r="61" spans="1:6" x14ac:dyDescent="0.35">
      <c r="A61" t="s">
        <v>1937</v>
      </c>
      <c r="B61" t="s">
        <v>1975</v>
      </c>
      <c r="C61">
        <v>1331801795</v>
      </c>
      <c r="D61">
        <v>3780000</v>
      </c>
      <c r="E61">
        <v>6850000</v>
      </c>
      <c r="F61">
        <v>2475697000</v>
      </c>
    </row>
    <row r="62" spans="1:6" x14ac:dyDescent="0.35">
      <c r="A62" t="s">
        <v>1937</v>
      </c>
      <c r="B62" t="s">
        <v>1976</v>
      </c>
      <c r="C62">
        <v>-8099762549</v>
      </c>
      <c r="D62">
        <v>-13638137314</v>
      </c>
      <c r="E62">
        <v>-44977435138</v>
      </c>
      <c r="F62">
        <v>-15251677339</v>
      </c>
    </row>
    <row r="63" spans="1:6" x14ac:dyDescent="0.35">
      <c r="A63" t="s">
        <v>1937</v>
      </c>
      <c r="B63" t="s">
        <v>154</v>
      </c>
      <c r="C63">
        <v>-2226000992875</v>
      </c>
      <c r="D63">
        <v>-9012078644379</v>
      </c>
      <c r="E63">
        <v>-3608631481817</v>
      </c>
      <c r="F63">
        <v>-90539151526</v>
      </c>
    </row>
    <row r="64" spans="1:6" x14ac:dyDescent="0.35">
      <c r="A64" t="s">
        <v>1937</v>
      </c>
      <c r="B64" t="s">
        <v>155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t="s">
        <v>1937</v>
      </c>
      <c r="B65" t="s">
        <v>156</v>
      </c>
      <c r="C65">
        <v>-2128566266172</v>
      </c>
      <c r="D65">
        <v>-2153024873461</v>
      </c>
      <c r="E65">
        <v>-3452957149419</v>
      </c>
      <c r="F65">
        <v>-132426497608</v>
      </c>
    </row>
    <row r="66" spans="1:6" x14ac:dyDescent="0.35">
      <c r="A66" t="s">
        <v>1937</v>
      </c>
      <c r="B66" t="s">
        <v>157</v>
      </c>
      <c r="C66">
        <v>6387492443</v>
      </c>
      <c r="D66">
        <v>420218181</v>
      </c>
      <c r="E66">
        <v>83490601635</v>
      </c>
      <c r="F66">
        <v>25596924251</v>
      </c>
    </row>
    <row r="67" spans="1:6" x14ac:dyDescent="0.35">
      <c r="A67" t="s">
        <v>1937</v>
      </c>
      <c r="B67" t="s">
        <v>158</v>
      </c>
      <c r="C67">
        <v>-18620000000</v>
      </c>
      <c r="D67">
        <v>-1397259208509</v>
      </c>
      <c r="E67">
        <v>-2132363638280</v>
      </c>
      <c r="F67">
        <v>-449020765144</v>
      </c>
    </row>
    <row r="68" spans="1:6" x14ac:dyDescent="0.35">
      <c r="A68" t="s">
        <v>1937</v>
      </c>
      <c r="B68" t="s">
        <v>159</v>
      </c>
      <c r="C68">
        <v>20070000000</v>
      </c>
      <c r="D68">
        <v>142927850420</v>
      </c>
      <c r="E68">
        <v>2395193588340</v>
      </c>
      <c r="F68">
        <v>552329649170</v>
      </c>
    </row>
    <row r="69" spans="1:6" x14ac:dyDescent="0.35">
      <c r="A69" t="s">
        <v>1937</v>
      </c>
      <c r="B69" t="s">
        <v>160</v>
      </c>
      <c r="C69">
        <v>-1244248881123</v>
      </c>
      <c r="D69">
        <v>-3278704111290</v>
      </c>
      <c r="E69">
        <v>-6518373547253</v>
      </c>
      <c r="F69">
        <v>-519998921364</v>
      </c>
    </row>
    <row r="70" spans="1:6" x14ac:dyDescent="0.35">
      <c r="A70" t="s">
        <v>1937</v>
      </c>
      <c r="B70" t="s">
        <v>161</v>
      </c>
      <c r="C70">
        <v>2422111850000</v>
      </c>
      <c r="D70">
        <v>4758123089086</v>
      </c>
      <c r="E70">
        <v>5647734264366</v>
      </c>
      <c r="F70">
        <v>947476334528</v>
      </c>
    </row>
    <row r="71" spans="1:6" x14ac:dyDescent="0.35">
      <c r="A71" t="s">
        <v>1937</v>
      </c>
      <c r="B71" t="s">
        <v>162</v>
      </c>
      <c r="C71">
        <v>329082888312</v>
      </c>
      <c r="D71">
        <v>956503458628</v>
      </c>
      <c r="E71">
        <v>-53303838734</v>
      </c>
      <c r="F71">
        <v>221378683332</v>
      </c>
    </row>
    <row r="72" spans="1:6" x14ac:dyDescent="0.35">
      <c r="A72" t="s">
        <v>1937</v>
      </c>
      <c r="B72" t="s">
        <v>163</v>
      </c>
      <c r="C72">
        <v>-613782916540</v>
      </c>
      <c r="D72">
        <v>-971013576945</v>
      </c>
      <c r="E72">
        <v>-4030579719345</v>
      </c>
      <c r="F72">
        <v>645335407165</v>
      </c>
    </row>
    <row r="73" spans="1:6" x14ac:dyDescent="0.35">
      <c r="A73" t="s">
        <v>1937</v>
      </c>
      <c r="B73" t="s">
        <v>164</v>
      </c>
      <c r="C73">
        <v>0</v>
      </c>
      <c r="D73">
        <v>0</v>
      </c>
      <c r="E73">
        <v>0</v>
      </c>
      <c r="F73">
        <v>0</v>
      </c>
    </row>
    <row r="74" spans="1:6" x14ac:dyDescent="0.35">
      <c r="A74" t="s">
        <v>1937</v>
      </c>
      <c r="B74" t="s">
        <v>165</v>
      </c>
      <c r="C74">
        <v>0</v>
      </c>
      <c r="D74">
        <v>1563417396000</v>
      </c>
      <c r="E74">
        <v>5512837775380</v>
      </c>
      <c r="F74">
        <v>2899428979979</v>
      </c>
    </row>
    <row r="75" spans="1:6" x14ac:dyDescent="0.35">
      <c r="A75" t="s">
        <v>1937</v>
      </c>
      <c r="B75" t="s">
        <v>1977</v>
      </c>
      <c r="C75">
        <v>0</v>
      </c>
      <c r="D75">
        <v>0</v>
      </c>
      <c r="E75">
        <v>0</v>
      </c>
      <c r="F75">
        <v>-228540000</v>
      </c>
    </row>
    <row r="76" spans="1:6" x14ac:dyDescent="0.35">
      <c r="A76" t="s">
        <v>1937</v>
      </c>
      <c r="B76" t="s">
        <v>166</v>
      </c>
      <c r="C76">
        <v>5609384789291</v>
      </c>
      <c r="D76">
        <v>14524415243151</v>
      </c>
      <c r="E76">
        <v>9431682871882</v>
      </c>
      <c r="F76">
        <v>5046094985650</v>
      </c>
    </row>
    <row r="77" spans="1:6" x14ac:dyDescent="0.35">
      <c r="A77" t="s">
        <v>1937</v>
      </c>
      <c r="B77" t="s">
        <v>167</v>
      </c>
      <c r="C77">
        <v>-1889626221038</v>
      </c>
      <c r="D77">
        <v>-5543760597576</v>
      </c>
      <c r="E77">
        <v>-7351320245270</v>
      </c>
      <c r="F77">
        <v>-8312097710940</v>
      </c>
    </row>
    <row r="78" spans="1:6" x14ac:dyDescent="0.35">
      <c r="A78" t="s">
        <v>1937</v>
      </c>
      <c r="B78" t="s">
        <v>1978</v>
      </c>
      <c r="C78">
        <v>-1166008447</v>
      </c>
      <c r="D78">
        <v>-2970639710</v>
      </c>
      <c r="E78">
        <v>-4530894648</v>
      </c>
      <c r="F78">
        <v>-8460041673</v>
      </c>
    </row>
    <row r="79" spans="1:6" x14ac:dyDescent="0.35">
      <c r="A79" t="s">
        <v>1937</v>
      </c>
      <c r="B79" t="s">
        <v>168</v>
      </c>
      <c r="C79">
        <v>-125636406651</v>
      </c>
      <c r="D79">
        <v>-417581080874</v>
      </c>
      <c r="E79">
        <v>-364018932212</v>
      </c>
      <c r="F79">
        <v>-52441903673</v>
      </c>
    </row>
    <row r="80" spans="1:6" x14ac:dyDescent="0.35">
      <c r="A80" t="s">
        <v>1937</v>
      </c>
      <c r="B80" t="s">
        <v>169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t="s">
        <v>1937</v>
      </c>
      <c r="B81" t="s">
        <v>170</v>
      </c>
      <c r="C81">
        <v>3592956153155</v>
      </c>
      <c r="D81">
        <v>10123520320991</v>
      </c>
      <c r="E81">
        <v>7224650575132</v>
      </c>
      <c r="F81">
        <v>-427704230657</v>
      </c>
    </row>
    <row r="82" spans="1:6" x14ac:dyDescent="0.35">
      <c r="A82" t="s">
        <v>1937</v>
      </c>
      <c r="B82" t="s">
        <v>171</v>
      </c>
      <c r="C82">
        <v>753172243740</v>
      </c>
      <c r="D82">
        <v>140428099667</v>
      </c>
      <c r="E82">
        <v>-414560626030</v>
      </c>
      <c r="F82">
        <v>127092024982</v>
      </c>
    </row>
    <row r="83" spans="1:6" x14ac:dyDescent="0.35">
      <c r="A83" t="s">
        <v>1937</v>
      </c>
      <c r="B83" t="s">
        <v>172</v>
      </c>
      <c r="C83">
        <v>150211393104</v>
      </c>
      <c r="D83">
        <v>903386455277</v>
      </c>
      <c r="E83">
        <v>1044039648431</v>
      </c>
      <c r="F83">
        <v>629496375653</v>
      </c>
    </row>
    <row r="84" spans="1:6" x14ac:dyDescent="0.35">
      <c r="A84" t="s">
        <v>1937</v>
      </c>
      <c r="B84" t="s">
        <v>173</v>
      </c>
      <c r="C84">
        <v>2818433</v>
      </c>
      <c r="D84">
        <v>225093487</v>
      </c>
      <c r="E84">
        <v>17353251</v>
      </c>
      <c r="F84">
        <v>271064348</v>
      </c>
    </row>
    <row r="85" spans="1:6" x14ac:dyDescent="0.35">
      <c r="A85" t="s">
        <v>1937</v>
      </c>
      <c r="B85" t="s">
        <v>174</v>
      </c>
      <c r="C85">
        <v>903386455277</v>
      </c>
      <c r="D85">
        <v>1044039648431</v>
      </c>
      <c r="E85">
        <v>629496375652</v>
      </c>
      <c r="F85">
        <v>756859464983</v>
      </c>
    </row>
    <row r="86" spans="1:6" x14ac:dyDescent="0.35">
      <c r="A86" t="s">
        <v>1938</v>
      </c>
      <c r="B86" t="s">
        <v>153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t="s">
        <v>1938</v>
      </c>
      <c r="B87" t="s">
        <v>1959</v>
      </c>
      <c r="C87">
        <v>168188958019</v>
      </c>
      <c r="D87">
        <v>109817831207</v>
      </c>
      <c r="E87">
        <v>78306222412</v>
      </c>
      <c r="F87">
        <v>-18174708543</v>
      </c>
    </row>
    <row r="88" spans="1:6" x14ac:dyDescent="0.35">
      <c r="A88" t="s">
        <v>1938</v>
      </c>
      <c r="B88" t="s">
        <v>1960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t="s">
        <v>1938</v>
      </c>
      <c r="B89" t="s">
        <v>1961</v>
      </c>
      <c r="C89">
        <v>77751887656</v>
      </c>
      <c r="D89">
        <v>96495220916</v>
      </c>
      <c r="E89">
        <v>154323431407</v>
      </c>
      <c r="F89">
        <v>169067561375</v>
      </c>
    </row>
    <row r="90" spans="1:6" x14ac:dyDescent="0.35">
      <c r="A90" t="s">
        <v>1938</v>
      </c>
      <c r="B90" t="s">
        <v>1962</v>
      </c>
      <c r="C90">
        <v>2103152039</v>
      </c>
      <c r="D90">
        <v>12193220</v>
      </c>
      <c r="E90">
        <v>-319580623</v>
      </c>
      <c r="F90">
        <v>0</v>
      </c>
    </row>
    <row r="91" spans="1:6" x14ac:dyDescent="0.35">
      <c r="A91" t="s">
        <v>1938</v>
      </c>
      <c r="B91" t="s">
        <v>1963</v>
      </c>
      <c r="C91">
        <v>205073537</v>
      </c>
      <c r="D91">
        <v>-43529558</v>
      </c>
      <c r="E91">
        <v>370595532</v>
      </c>
      <c r="F91">
        <v>5131969605</v>
      </c>
    </row>
    <row r="92" spans="1:6" x14ac:dyDescent="0.35">
      <c r="A92" t="s">
        <v>1938</v>
      </c>
      <c r="B92" t="s">
        <v>1964</v>
      </c>
      <c r="C92">
        <v>-12690624518</v>
      </c>
      <c r="D92">
        <v>-14674711795</v>
      </c>
      <c r="E92">
        <v>-162097043787</v>
      </c>
      <c r="F92">
        <v>-8170491707</v>
      </c>
    </row>
    <row r="93" spans="1:6" x14ac:dyDescent="0.35">
      <c r="A93" t="s">
        <v>1938</v>
      </c>
      <c r="B93" t="s">
        <v>1965</v>
      </c>
      <c r="C93">
        <v>96073976082</v>
      </c>
      <c r="D93">
        <v>145670784482</v>
      </c>
      <c r="E93">
        <v>212398541759</v>
      </c>
      <c r="F93">
        <v>259892439574</v>
      </c>
    </row>
    <row r="94" spans="1:6" x14ac:dyDescent="0.35">
      <c r="A94" t="s">
        <v>1938</v>
      </c>
      <c r="B94" t="s">
        <v>1966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t="s">
        <v>1938</v>
      </c>
      <c r="B95" t="s">
        <v>1967</v>
      </c>
      <c r="C95">
        <v>331632422815</v>
      </c>
      <c r="D95">
        <v>337277788472</v>
      </c>
      <c r="E95">
        <v>282982166700</v>
      </c>
      <c r="F95">
        <v>407746770304</v>
      </c>
    </row>
    <row r="96" spans="1:6" x14ac:dyDescent="0.35">
      <c r="A96" t="s">
        <v>1938</v>
      </c>
      <c r="B96" t="s">
        <v>1968</v>
      </c>
      <c r="C96">
        <v>-303061485521</v>
      </c>
      <c r="D96">
        <v>1102426826139</v>
      </c>
      <c r="E96">
        <v>375686814105</v>
      </c>
      <c r="F96">
        <v>-512770028392</v>
      </c>
    </row>
    <row r="97" spans="1:6" x14ac:dyDescent="0.35">
      <c r="A97" t="s">
        <v>1938</v>
      </c>
      <c r="B97" t="s">
        <v>1969</v>
      </c>
      <c r="C97">
        <v>-352708482329</v>
      </c>
      <c r="D97">
        <v>-633903739932</v>
      </c>
      <c r="E97">
        <v>-17785456705</v>
      </c>
      <c r="F97">
        <v>-14703624530</v>
      </c>
    </row>
    <row r="98" spans="1:6" x14ac:dyDescent="0.35">
      <c r="A98" t="s">
        <v>1938</v>
      </c>
      <c r="B98" t="s">
        <v>1970</v>
      </c>
      <c r="C98">
        <v>589818471697</v>
      </c>
      <c r="D98">
        <v>-682982384654</v>
      </c>
      <c r="E98">
        <v>-587252008155</v>
      </c>
      <c r="F98">
        <v>795507994317</v>
      </c>
    </row>
    <row r="99" spans="1:6" x14ac:dyDescent="0.35">
      <c r="A99" t="s">
        <v>1938</v>
      </c>
      <c r="B99" t="s">
        <v>1971</v>
      </c>
      <c r="C99">
        <v>-7156436807</v>
      </c>
      <c r="D99">
        <v>-33930923243</v>
      </c>
      <c r="E99">
        <v>-6259474740</v>
      </c>
      <c r="F99">
        <v>10435547461</v>
      </c>
    </row>
    <row r="100" spans="1:6" x14ac:dyDescent="0.35">
      <c r="A100" t="s">
        <v>1938</v>
      </c>
      <c r="B100" t="s">
        <v>1972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t="s">
        <v>1938</v>
      </c>
      <c r="B101" t="s">
        <v>1973</v>
      </c>
      <c r="C101">
        <v>-94311240060</v>
      </c>
      <c r="D101">
        <v>-147453328257</v>
      </c>
      <c r="E101">
        <v>-212407654019</v>
      </c>
      <c r="F101">
        <v>-239396450825</v>
      </c>
    </row>
    <row r="102" spans="1:6" x14ac:dyDescent="0.35">
      <c r="A102" t="s">
        <v>1938</v>
      </c>
      <c r="B102" t="s">
        <v>1974</v>
      </c>
      <c r="C102">
        <v>-50506519828</v>
      </c>
      <c r="D102">
        <v>-41655872956</v>
      </c>
      <c r="E102">
        <v>-30082668597</v>
      </c>
      <c r="F102">
        <v>-29826991226</v>
      </c>
    </row>
    <row r="103" spans="1:6" x14ac:dyDescent="0.35">
      <c r="A103" t="s">
        <v>1938</v>
      </c>
      <c r="B103" t="s">
        <v>1975</v>
      </c>
      <c r="C103">
        <v>0</v>
      </c>
      <c r="D103">
        <v>4080600000</v>
      </c>
      <c r="E103">
        <v>100000000</v>
      </c>
      <c r="F103">
        <v>0</v>
      </c>
    </row>
    <row r="104" spans="1:6" x14ac:dyDescent="0.35">
      <c r="A104" t="s">
        <v>1938</v>
      </c>
      <c r="B104" t="s">
        <v>1976</v>
      </c>
      <c r="C104">
        <v>-25049257603</v>
      </c>
      <c r="D104">
        <v>-14245349666</v>
      </c>
      <c r="E104">
        <v>-7875898771</v>
      </c>
      <c r="F104">
        <v>-6595008897</v>
      </c>
    </row>
    <row r="105" spans="1:6" x14ac:dyDescent="0.35">
      <c r="A105" t="s">
        <v>1938</v>
      </c>
      <c r="B105" t="s">
        <v>154</v>
      </c>
      <c r="C105">
        <v>88657472364</v>
      </c>
      <c r="D105">
        <v>-110386384097</v>
      </c>
      <c r="E105">
        <v>-202894180182</v>
      </c>
      <c r="F105">
        <v>410398208212</v>
      </c>
    </row>
    <row r="106" spans="1:6" x14ac:dyDescent="0.35">
      <c r="A106" t="s">
        <v>1938</v>
      </c>
      <c r="B106" t="s">
        <v>155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t="s">
        <v>1938</v>
      </c>
      <c r="B107" t="s">
        <v>156</v>
      </c>
      <c r="C107">
        <v>-404275394821</v>
      </c>
      <c r="D107">
        <v>-1215794261669</v>
      </c>
      <c r="E107">
        <v>-138392121634</v>
      </c>
      <c r="F107">
        <v>-127443696377</v>
      </c>
    </row>
    <row r="108" spans="1:6" x14ac:dyDescent="0.35">
      <c r="A108" t="s">
        <v>1938</v>
      </c>
      <c r="B108" t="s">
        <v>157</v>
      </c>
      <c r="C108">
        <v>190819480</v>
      </c>
      <c r="D108">
        <v>59694945962</v>
      </c>
      <c r="E108">
        <v>2518518159</v>
      </c>
      <c r="F108">
        <v>16775517173</v>
      </c>
    </row>
    <row r="109" spans="1:6" x14ac:dyDescent="0.35">
      <c r="A109" t="s">
        <v>1938</v>
      </c>
      <c r="B109" t="s">
        <v>158</v>
      </c>
      <c r="C109">
        <v>-124200849501</v>
      </c>
      <c r="D109">
        <v>-44877003185</v>
      </c>
      <c r="E109">
        <v>-531645814557</v>
      </c>
      <c r="F109">
        <v>-21879644033</v>
      </c>
    </row>
    <row r="110" spans="1:6" x14ac:dyDescent="0.35">
      <c r="A110" t="s">
        <v>1938</v>
      </c>
      <c r="B110" t="s">
        <v>159</v>
      </c>
      <c r="C110">
        <v>150922891449</v>
      </c>
      <c r="D110">
        <v>37293459965</v>
      </c>
      <c r="E110">
        <v>27030659722</v>
      </c>
      <c r="F110">
        <v>54595808146</v>
      </c>
    </row>
    <row r="111" spans="1:6" x14ac:dyDescent="0.35">
      <c r="A111" t="s">
        <v>1938</v>
      </c>
      <c r="B111" t="s">
        <v>160</v>
      </c>
      <c r="C111">
        <v>-1956000000</v>
      </c>
      <c r="D111">
        <v>-89217551203</v>
      </c>
      <c r="E111">
        <v>-54880701000</v>
      </c>
      <c r="F111">
        <v>-213591770744</v>
      </c>
    </row>
    <row r="112" spans="1:6" x14ac:dyDescent="0.35">
      <c r="A112" t="s">
        <v>1938</v>
      </c>
      <c r="B112" t="s">
        <v>161</v>
      </c>
      <c r="C112">
        <v>9250000000</v>
      </c>
      <c r="D112">
        <v>32622255000</v>
      </c>
      <c r="E112">
        <v>212433090000</v>
      </c>
      <c r="F112">
        <v>292114880607</v>
      </c>
    </row>
    <row r="113" spans="1:6" x14ac:dyDescent="0.35">
      <c r="A113" t="s">
        <v>1938</v>
      </c>
      <c r="B113" t="s">
        <v>162</v>
      </c>
      <c r="C113">
        <v>14815826057</v>
      </c>
      <c r="D113">
        <v>11732288359</v>
      </c>
      <c r="E113">
        <v>13689418896</v>
      </c>
      <c r="F113">
        <v>5252313094</v>
      </c>
    </row>
    <row r="114" spans="1:6" x14ac:dyDescent="0.35">
      <c r="A114" t="s">
        <v>1938</v>
      </c>
      <c r="B114" t="s">
        <v>163</v>
      </c>
      <c r="C114">
        <v>-355252707336</v>
      </c>
      <c r="D114">
        <v>-1208545866771</v>
      </c>
      <c r="E114">
        <v>-469246950414</v>
      </c>
      <c r="F114">
        <v>5823407866</v>
      </c>
    </row>
    <row r="115" spans="1:6" x14ac:dyDescent="0.35">
      <c r="A115" t="s">
        <v>1938</v>
      </c>
      <c r="B115" t="s">
        <v>164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t="s">
        <v>1938</v>
      </c>
      <c r="B116" t="s">
        <v>165</v>
      </c>
      <c r="C116">
        <v>0</v>
      </c>
      <c r="D116">
        <v>435535960000</v>
      </c>
      <c r="E116">
        <v>373342500000</v>
      </c>
      <c r="F116">
        <v>56740200000</v>
      </c>
    </row>
    <row r="117" spans="1:6" x14ac:dyDescent="0.35">
      <c r="A117" t="s">
        <v>1938</v>
      </c>
      <c r="B117" t="s">
        <v>1977</v>
      </c>
      <c r="C117">
        <v>-13935465178</v>
      </c>
      <c r="D117">
        <v>0</v>
      </c>
      <c r="E117">
        <v>0</v>
      </c>
      <c r="F117">
        <v>0</v>
      </c>
    </row>
    <row r="118" spans="1:6" x14ac:dyDescent="0.35">
      <c r="A118" t="s">
        <v>1938</v>
      </c>
      <c r="B118" t="s">
        <v>166</v>
      </c>
      <c r="C118">
        <v>2418282951423</v>
      </c>
      <c r="D118">
        <v>4188149225102</v>
      </c>
      <c r="E118">
        <v>3019989416193</v>
      </c>
      <c r="F118">
        <v>2943729378672</v>
      </c>
    </row>
    <row r="119" spans="1:6" x14ac:dyDescent="0.35">
      <c r="A119" t="s">
        <v>1938</v>
      </c>
      <c r="B119" t="s">
        <v>167</v>
      </c>
      <c r="C119">
        <v>-1874126317801</v>
      </c>
      <c r="D119">
        <v>-3210207256840</v>
      </c>
      <c r="E119">
        <v>-2779735960227</v>
      </c>
      <c r="F119">
        <v>-2772268469181</v>
      </c>
    </row>
    <row r="120" spans="1:6" x14ac:dyDescent="0.35">
      <c r="A120" t="s">
        <v>1938</v>
      </c>
      <c r="B120" t="s">
        <v>1978</v>
      </c>
      <c r="C120">
        <v>-82684277044</v>
      </c>
      <c r="D120">
        <v>-99633260536</v>
      </c>
      <c r="E120">
        <v>-79480115548</v>
      </c>
      <c r="F120">
        <v>-64858501180</v>
      </c>
    </row>
    <row r="121" spans="1:6" x14ac:dyDescent="0.35">
      <c r="A121" t="s">
        <v>1938</v>
      </c>
      <c r="B121" t="s">
        <v>168</v>
      </c>
      <c r="C121">
        <v>-59014661500</v>
      </c>
      <c r="D121">
        <v>-40869223256</v>
      </c>
      <c r="E121">
        <v>0</v>
      </c>
      <c r="F121">
        <v>-53513703800</v>
      </c>
    </row>
    <row r="122" spans="1:6" x14ac:dyDescent="0.35">
      <c r="A122" t="s">
        <v>1938</v>
      </c>
      <c r="B122" t="s">
        <v>169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t="s">
        <v>1938</v>
      </c>
      <c r="B123" t="s">
        <v>170</v>
      </c>
      <c r="C123">
        <v>388522229900</v>
      </c>
      <c r="D123">
        <v>1272975444470</v>
      </c>
      <c r="E123">
        <v>534115840418</v>
      </c>
      <c r="F123">
        <v>109828904511</v>
      </c>
    </row>
    <row r="124" spans="1:6" x14ac:dyDescent="0.35">
      <c r="A124" t="s">
        <v>1938</v>
      </c>
      <c r="B124" t="s">
        <v>171</v>
      </c>
      <c r="C124">
        <v>121926994928</v>
      </c>
      <c r="D124">
        <v>-45956806398</v>
      </c>
      <c r="E124">
        <v>-138025290178</v>
      </c>
      <c r="F124">
        <v>526050520589</v>
      </c>
    </row>
    <row r="125" spans="1:6" x14ac:dyDescent="0.35">
      <c r="A125" t="s">
        <v>1938</v>
      </c>
      <c r="B125" t="s">
        <v>172</v>
      </c>
      <c r="C125">
        <v>236464914224</v>
      </c>
      <c r="D125">
        <v>358353732799</v>
      </c>
      <c r="E125">
        <v>312430239372</v>
      </c>
      <c r="F125">
        <v>174638758149</v>
      </c>
    </row>
    <row r="126" spans="1:6" x14ac:dyDescent="0.35">
      <c r="A126" t="s">
        <v>1938</v>
      </c>
      <c r="B126" t="s">
        <v>173</v>
      </c>
      <c r="C126">
        <v>-38176353</v>
      </c>
      <c r="D126">
        <v>33312971</v>
      </c>
      <c r="E126">
        <v>233808955</v>
      </c>
      <c r="F126">
        <v>1042612812</v>
      </c>
    </row>
    <row r="127" spans="1:6" x14ac:dyDescent="0.35">
      <c r="A127" t="s">
        <v>1938</v>
      </c>
      <c r="B127" t="s">
        <v>174</v>
      </c>
      <c r="C127">
        <v>358353732799</v>
      </c>
      <c r="D127">
        <v>312430239372</v>
      </c>
      <c r="E127">
        <v>174638758149</v>
      </c>
      <c r="F127">
        <v>701731891550</v>
      </c>
    </row>
    <row r="128" spans="1:6" x14ac:dyDescent="0.35">
      <c r="A128" t="s">
        <v>1939</v>
      </c>
      <c r="B128" t="s">
        <v>153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t="s">
        <v>1939</v>
      </c>
      <c r="B129" t="s">
        <v>1959</v>
      </c>
      <c r="C129">
        <v>308586244471</v>
      </c>
      <c r="D129">
        <v>368715667090</v>
      </c>
      <c r="E129">
        <v>406766375283</v>
      </c>
      <c r="F129">
        <v>195013743724</v>
      </c>
    </row>
    <row r="130" spans="1:6" x14ac:dyDescent="0.35">
      <c r="A130" t="s">
        <v>1939</v>
      </c>
      <c r="B130" t="s">
        <v>1960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t="s">
        <v>1939</v>
      </c>
      <c r="B131" t="s">
        <v>1961</v>
      </c>
      <c r="C131">
        <v>354011564767</v>
      </c>
      <c r="D131">
        <v>414421623337</v>
      </c>
      <c r="E131">
        <v>651715328366</v>
      </c>
      <c r="F131">
        <v>697158468900</v>
      </c>
    </row>
    <row r="132" spans="1:6" x14ac:dyDescent="0.35">
      <c r="A132" t="s">
        <v>1939</v>
      </c>
      <c r="B132" t="s">
        <v>1962</v>
      </c>
      <c r="C132">
        <v>-428581183</v>
      </c>
      <c r="D132">
        <v>-227530094</v>
      </c>
      <c r="E132">
        <v>-1333283454</v>
      </c>
      <c r="F132">
        <v>263661851</v>
      </c>
    </row>
    <row r="133" spans="1:6" x14ac:dyDescent="0.35">
      <c r="A133" t="s">
        <v>1939</v>
      </c>
      <c r="B133" t="s">
        <v>1963</v>
      </c>
      <c r="C133">
        <v>1401956010</v>
      </c>
      <c r="D133">
        <v>-9024584792</v>
      </c>
      <c r="E133">
        <v>24616909766</v>
      </c>
      <c r="F133">
        <v>-1955339040</v>
      </c>
    </row>
    <row r="134" spans="1:6" x14ac:dyDescent="0.35">
      <c r="A134" t="s">
        <v>1939</v>
      </c>
      <c r="B134" t="s">
        <v>1964</v>
      </c>
      <c r="C134">
        <v>-25831628111</v>
      </c>
      <c r="D134">
        <v>-106404247239</v>
      </c>
      <c r="E134">
        <v>-203182125289</v>
      </c>
      <c r="F134">
        <v>-92030681923</v>
      </c>
    </row>
    <row r="135" spans="1:6" x14ac:dyDescent="0.35">
      <c r="A135" t="s">
        <v>1939</v>
      </c>
      <c r="B135" t="s">
        <v>1965</v>
      </c>
      <c r="C135">
        <v>357949394950</v>
      </c>
      <c r="D135">
        <v>407554546964</v>
      </c>
      <c r="E135">
        <v>601450786113</v>
      </c>
      <c r="F135">
        <v>851087920188</v>
      </c>
    </row>
    <row r="136" spans="1:6" x14ac:dyDescent="0.35">
      <c r="A136" t="s">
        <v>1939</v>
      </c>
      <c r="B136" t="s">
        <v>1966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t="s">
        <v>1939</v>
      </c>
      <c r="B137" t="s">
        <v>1967</v>
      </c>
      <c r="C137">
        <v>995688950904</v>
      </c>
      <c r="D137">
        <v>1075035475266</v>
      </c>
      <c r="E137">
        <v>1480033990785</v>
      </c>
      <c r="F137">
        <v>1649537773700</v>
      </c>
    </row>
    <row r="138" spans="1:6" x14ac:dyDescent="0.35">
      <c r="A138" t="s">
        <v>1939</v>
      </c>
      <c r="B138" t="s">
        <v>1968</v>
      </c>
      <c r="C138">
        <v>-667314566197</v>
      </c>
      <c r="D138">
        <v>633557876162</v>
      </c>
      <c r="E138">
        <v>-699508553008</v>
      </c>
      <c r="F138">
        <v>325420062063</v>
      </c>
    </row>
    <row r="139" spans="1:6" x14ac:dyDescent="0.35">
      <c r="A139" t="s">
        <v>1939</v>
      </c>
      <c r="B139" t="s">
        <v>1969</v>
      </c>
      <c r="C139">
        <v>161784286101</v>
      </c>
      <c r="D139">
        <v>5649212459</v>
      </c>
      <c r="E139">
        <v>-8752245283</v>
      </c>
      <c r="F139">
        <v>25480839525</v>
      </c>
    </row>
    <row r="140" spans="1:6" x14ac:dyDescent="0.35">
      <c r="A140" t="s">
        <v>1939</v>
      </c>
      <c r="B140" t="s">
        <v>1970</v>
      </c>
      <c r="C140">
        <v>324844677678</v>
      </c>
      <c r="D140">
        <v>1245270927489</v>
      </c>
      <c r="E140">
        <v>357976836002</v>
      </c>
      <c r="F140">
        <v>-40580212811</v>
      </c>
    </row>
    <row r="141" spans="1:6" x14ac:dyDescent="0.35">
      <c r="A141" t="s">
        <v>1939</v>
      </c>
      <c r="B141" t="s">
        <v>1971</v>
      </c>
      <c r="C141">
        <v>-8578944871</v>
      </c>
      <c r="D141">
        <v>-5005179569</v>
      </c>
      <c r="E141">
        <v>14736722621</v>
      </c>
      <c r="F141">
        <v>-2860621887</v>
      </c>
    </row>
    <row r="142" spans="1:6" x14ac:dyDescent="0.35">
      <c r="A142" t="s">
        <v>1939</v>
      </c>
      <c r="B142" t="s">
        <v>1972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t="s">
        <v>1939</v>
      </c>
      <c r="B143" t="s">
        <v>1973</v>
      </c>
      <c r="C143">
        <v>-356191254634</v>
      </c>
      <c r="D143">
        <v>-369063079465</v>
      </c>
      <c r="E143">
        <v>-569768551361</v>
      </c>
      <c r="F143">
        <v>-853528257522</v>
      </c>
    </row>
    <row r="144" spans="1:6" x14ac:dyDescent="0.35">
      <c r="A144" t="s">
        <v>1939</v>
      </c>
      <c r="B144" t="s">
        <v>1974</v>
      </c>
      <c r="C144">
        <v>-11277867934</v>
      </c>
      <c r="D144">
        <v>-25078503097</v>
      </c>
      <c r="E144">
        <v>-62862963906</v>
      </c>
      <c r="F144">
        <v>-17837233836</v>
      </c>
    </row>
    <row r="145" spans="1:6" x14ac:dyDescent="0.35">
      <c r="A145" t="s">
        <v>1939</v>
      </c>
      <c r="B145" t="s">
        <v>1975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 t="s">
        <v>1939</v>
      </c>
      <c r="B146" t="s">
        <v>1976</v>
      </c>
      <c r="C146">
        <v>-18397324713</v>
      </c>
      <c r="D146">
        <v>-17894703970</v>
      </c>
      <c r="E146">
        <v>-15981971571</v>
      </c>
      <c r="F146">
        <v>-22446182099</v>
      </c>
    </row>
    <row r="147" spans="1:6" x14ac:dyDescent="0.35">
      <c r="A147" t="s">
        <v>1939</v>
      </c>
      <c r="B147" t="s">
        <v>154</v>
      </c>
      <c r="C147">
        <v>420557956334</v>
      </c>
      <c r="D147">
        <v>2542472025275</v>
      </c>
      <c r="E147">
        <v>495873264279</v>
      </c>
      <c r="F147">
        <v>1063186167133</v>
      </c>
    </row>
    <row r="148" spans="1:6" x14ac:dyDescent="0.35">
      <c r="A148" t="s">
        <v>1939</v>
      </c>
      <c r="B148" t="s">
        <v>155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 t="s">
        <v>1939</v>
      </c>
      <c r="B149" t="s">
        <v>156</v>
      </c>
      <c r="C149">
        <v>-779261921659</v>
      </c>
      <c r="D149">
        <v>-5860827447027</v>
      </c>
      <c r="E149">
        <v>-4598810612856</v>
      </c>
      <c r="F149">
        <v>-1580177742503</v>
      </c>
    </row>
    <row r="150" spans="1:6" x14ac:dyDescent="0.35">
      <c r="A150" t="s">
        <v>1939</v>
      </c>
      <c r="B150" t="s">
        <v>157</v>
      </c>
      <c r="C150">
        <v>32054070316</v>
      </c>
      <c r="D150">
        <v>54016542235</v>
      </c>
      <c r="E150">
        <v>67409608317</v>
      </c>
      <c r="F150">
        <v>1712915828</v>
      </c>
    </row>
    <row r="151" spans="1:6" x14ac:dyDescent="0.35">
      <c r="A151" t="s">
        <v>1939</v>
      </c>
      <c r="B151" t="s">
        <v>158</v>
      </c>
      <c r="C151">
        <v>-166289904119</v>
      </c>
      <c r="D151">
        <v>-212575000000</v>
      </c>
      <c r="E151">
        <v>-775505000000</v>
      </c>
      <c r="F151">
        <v>-250152700000</v>
      </c>
    </row>
    <row r="152" spans="1:6" x14ac:dyDescent="0.35">
      <c r="A152" t="s">
        <v>1939</v>
      </c>
      <c r="B152" t="s">
        <v>159</v>
      </c>
      <c r="C152">
        <v>191989506280</v>
      </c>
      <c r="D152">
        <v>124024497839</v>
      </c>
      <c r="E152">
        <v>322850000000</v>
      </c>
      <c r="F152">
        <v>524205000000</v>
      </c>
    </row>
    <row r="153" spans="1:6" x14ac:dyDescent="0.35">
      <c r="A153" t="s">
        <v>1939</v>
      </c>
      <c r="B153" t="s">
        <v>160</v>
      </c>
      <c r="C153">
        <v>-247822540000</v>
      </c>
      <c r="D153">
        <v>0</v>
      </c>
      <c r="E153">
        <v>0</v>
      </c>
      <c r="F153">
        <v>-141642331172</v>
      </c>
    </row>
    <row r="154" spans="1:6" x14ac:dyDescent="0.35">
      <c r="A154" t="s">
        <v>1939</v>
      </c>
      <c r="B154" t="s">
        <v>161</v>
      </c>
      <c r="C154">
        <v>11760000000</v>
      </c>
      <c r="D154">
        <v>0</v>
      </c>
      <c r="E154">
        <v>566094350434</v>
      </c>
      <c r="F154">
        <v>56935944462</v>
      </c>
    </row>
    <row r="155" spans="1:6" x14ac:dyDescent="0.35">
      <c r="A155" t="s">
        <v>1939</v>
      </c>
      <c r="B155" t="s">
        <v>162</v>
      </c>
      <c r="C155">
        <v>20412009838</v>
      </c>
      <c r="D155">
        <v>11917047278</v>
      </c>
      <c r="E155">
        <v>12958900724</v>
      </c>
      <c r="F155">
        <v>26283544867</v>
      </c>
    </row>
    <row r="156" spans="1:6" x14ac:dyDescent="0.35">
      <c r="A156" t="s">
        <v>1939</v>
      </c>
      <c r="B156" t="s">
        <v>163</v>
      </c>
      <c r="C156">
        <v>-937158779344</v>
      </c>
      <c r="D156">
        <v>-5883444359675</v>
      </c>
      <c r="E156">
        <v>-4405002753381</v>
      </c>
      <c r="F156">
        <v>-1362835368518</v>
      </c>
    </row>
    <row r="157" spans="1:6" x14ac:dyDescent="0.35">
      <c r="A157" t="s">
        <v>1939</v>
      </c>
      <c r="B157" t="s">
        <v>164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t="s">
        <v>1939</v>
      </c>
      <c r="B158" t="s">
        <v>165</v>
      </c>
      <c r="C158">
        <v>673340390000</v>
      </c>
      <c r="D158">
        <v>312702203116</v>
      </c>
      <c r="E158">
        <v>1231710200000</v>
      </c>
      <c r="F158">
        <v>113883080000</v>
      </c>
    </row>
    <row r="159" spans="1:6" x14ac:dyDescent="0.35">
      <c r="A159" t="s">
        <v>1939</v>
      </c>
      <c r="B159" t="s">
        <v>1977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t="s">
        <v>1939</v>
      </c>
      <c r="B160" t="s">
        <v>166</v>
      </c>
      <c r="C160">
        <v>1130060879068</v>
      </c>
      <c r="D160">
        <v>5071484187887</v>
      </c>
      <c r="E160">
        <v>3728118398046</v>
      </c>
      <c r="F160">
        <v>2365726854461</v>
      </c>
    </row>
    <row r="161" spans="1:6" x14ac:dyDescent="0.35">
      <c r="A161" t="s">
        <v>1939</v>
      </c>
      <c r="B161" t="s">
        <v>167</v>
      </c>
      <c r="C161">
        <v>-1220480684535</v>
      </c>
      <c r="D161">
        <v>-1784766110872</v>
      </c>
      <c r="E161">
        <v>-905570229921</v>
      </c>
      <c r="F161">
        <v>-2196460215564</v>
      </c>
    </row>
    <row r="162" spans="1:6" x14ac:dyDescent="0.35">
      <c r="A162" t="s">
        <v>1939</v>
      </c>
      <c r="B162" t="s">
        <v>1978</v>
      </c>
      <c r="C162">
        <v>-624585807</v>
      </c>
      <c r="D162">
        <v>-3703960896</v>
      </c>
      <c r="E162">
        <v>-4095691380</v>
      </c>
      <c r="F162">
        <v>-4095691380</v>
      </c>
    </row>
    <row r="163" spans="1:6" x14ac:dyDescent="0.35">
      <c r="A163" t="s">
        <v>1939</v>
      </c>
      <c r="B163" t="s">
        <v>168</v>
      </c>
      <c r="C163">
        <v>-35572713730</v>
      </c>
      <c r="D163">
        <v>-140110746122</v>
      </c>
      <c r="E163">
        <v>-57128174500</v>
      </c>
      <c r="F163">
        <v>-84295256500</v>
      </c>
    </row>
    <row r="164" spans="1:6" x14ac:dyDescent="0.35">
      <c r="A164" t="s">
        <v>1939</v>
      </c>
      <c r="B164" t="s">
        <v>169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t="s">
        <v>1939</v>
      </c>
      <c r="B165" t="s">
        <v>170</v>
      </c>
      <c r="C165">
        <v>546723284996</v>
      </c>
      <c r="D165">
        <v>3455605573113</v>
      </c>
      <c r="E165">
        <v>3993034502245</v>
      </c>
      <c r="F165">
        <v>194758771017</v>
      </c>
    </row>
    <row r="166" spans="1:6" x14ac:dyDescent="0.35">
      <c r="A166" t="s">
        <v>1939</v>
      </c>
      <c r="B166" t="s">
        <v>171</v>
      </c>
      <c r="C166">
        <v>30122461986</v>
      </c>
      <c r="D166">
        <v>114633238713</v>
      </c>
      <c r="E166">
        <v>83905013143</v>
      </c>
      <c r="F166">
        <v>-104890430368</v>
      </c>
    </row>
    <row r="167" spans="1:6" x14ac:dyDescent="0.35">
      <c r="A167" t="s">
        <v>1939</v>
      </c>
      <c r="B167" t="s">
        <v>172</v>
      </c>
      <c r="C167">
        <v>105369786743</v>
      </c>
      <c r="D167">
        <v>135405178447</v>
      </c>
      <c r="E167">
        <v>250041671907</v>
      </c>
      <c r="F167">
        <v>333840180277</v>
      </c>
    </row>
    <row r="168" spans="1:6" x14ac:dyDescent="0.35">
      <c r="A168" t="s">
        <v>1939</v>
      </c>
      <c r="B168" t="s">
        <v>173</v>
      </c>
      <c r="C168">
        <v>-87070282</v>
      </c>
      <c r="D168">
        <v>3254747</v>
      </c>
      <c r="E168">
        <v>-106504773</v>
      </c>
      <c r="F168">
        <v>155339040</v>
      </c>
    </row>
    <row r="169" spans="1:6" x14ac:dyDescent="0.35">
      <c r="A169" t="s">
        <v>1939</v>
      </c>
      <c r="B169" t="s">
        <v>174</v>
      </c>
      <c r="C169">
        <v>135405178447</v>
      </c>
      <c r="D169">
        <v>250041671907</v>
      </c>
      <c r="E169">
        <v>333840180277</v>
      </c>
      <c r="F169">
        <v>229105088949</v>
      </c>
    </row>
    <row r="170" spans="1:6" x14ac:dyDescent="0.35">
      <c r="A170" t="s">
        <v>1940</v>
      </c>
      <c r="B170" t="s">
        <v>153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 t="s">
        <v>1940</v>
      </c>
      <c r="B171" t="s">
        <v>1959</v>
      </c>
      <c r="C171">
        <v>1540459717354</v>
      </c>
      <c r="D171">
        <v>1643031279251</v>
      </c>
      <c r="E171">
        <v>0</v>
      </c>
      <c r="F171">
        <v>963389015895</v>
      </c>
    </row>
    <row r="172" spans="1:6" x14ac:dyDescent="0.35">
      <c r="A172" t="s">
        <v>1940</v>
      </c>
      <c r="B172" t="s">
        <v>1960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 t="s">
        <v>1940</v>
      </c>
      <c r="B173" t="s">
        <v>1961</v>
      </c>
      <c r="C173">
        <v>234002077129</v>
      </c>
      <c r="D173">
        <v>315777005451</v>
      </c>
      <c r="E173">
        <v>0</v>
      </c>
      <c r="F173">
        <v>519856077926</v>
      </c>
    </row>
    <row r="174" spans="1:6" x14ac:dyDescent="0.35">
      <c r="A174" t="s">
        <v>1940</v>
      </c>
      <c r="B174" t="s">
        <v>1962</v>
      </c>
      <c r="C174">
        <v>10671444897</v>
      </c>
      <c r="D174">
        <v>58287885804</v>
      </c>
      <c r="E174">
        <v>0</v>
      </c>
      <c r="F174">
        <v>19963116933</v>
      </c>
    </row>
    <row r="175" spans="1:6" x14ac:dyDescent="0.35">
      <c r="A175" t="s">
        <v>1940</v>
      </c>
      <c r="B175" t="s">
        <v>1963</v>
      </c>
      <c r="C175">
        <v>0</v>
      </c>
      <c r="D175">
        <v>-11792289849</v>
      </c>
      <c r="E175">
        <v>0</v>
      </c>
      <c r="F175">
        <v>32670202375</v>
      </c>
    </row>
    <row r="176" spans="1:6" x14ac:dyDescent="0.35">
      <c r="A176" t="s">
        <v>1940</v>
      </c>
      <c r="B176" t="s">
        <v>1964</v>
      </c>
      <c r="C176">
        <v>-46124112131</v>
      </c>
      <c r="D176">
        <v>296970989</v>
      </c>
      <c r="E176">
        <v>0</v>
      </c>
      <c r="F176">
        <v>41071551058</v>
      </c>
    </row>
    <row r="177" spans="1:6" x14ac:dyDescent="0.35">
      <c r="A177" t="s">
        <v>1940</v>
      </c>
      <c r="B177" t="s">
        <v>1965</v>
      </c>
      <c r="C177">
        <v>367794325654</v>
      </c>
      <c r="D177">
        <v>394015241531</v>
      </c>
      <c r="E177">
        <v>0</v>
      </c>
      <c r="F177">
        <v>514893788304</v>
      </c>
    </row>
    <row r="178" spans="1:6" x14ac:dyDescent="0.35">
      <c r="A178" t="s">
        <v>1940</v>
      </c>
      <c r="B178" t="s">
        <v>1966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 t="s">
        <v>1940</v>
      </c>
      <c r="B179" t="s">
        <v>1967</v>
      </c>
      <c r="C179">
        <v>2106803452903</v>
      </c>
      <c r="D179">
        <v>2399616093177</v>
      </c>
      <c r="E179">
        <v>0</v>
      </c>
      <c r="F179">
        <v>2091843752491</v>
      </c>
    </row>
    <row r="180" spans="1:6" x14ac:dyDescent="0.35">
      <c r="A180" t="s">
        <v>1940</v>
      </c>
      <c r="B180" t="s">
        <v>1968</v>
      </c>
      <c r="C180">
        <v>-215517443972</v>
      </c>
      <c r="D180">
        <v>-484678011667</v>
      </c>
      <c r="E180">
        <v>0</v>
      </c>
      <c r="F180">
        <v>-64305720154</v>
      </c>
    </row>
    <row r="181" spans="1:6" x14ac:dyDescent="0.35">
      <c r="A181" t="s">
        <v>1940</v>
      </c>
      <c r="B181" t="s">
        <v>1969</v>
      </c>
      <c r="C181">
        <v>1420255168355</v>
      </c>
      <c r="D181">
        <v>240266919275</v>
      </c>
      <c r="E181">
        <v>-27691273462</v>
      </c>
      <c r="F181">
        <v>307242070746</v>
      </c>
    </row>
    <row r="182" spans="1:6" x14ac:dyDescent="0.35">
      <c r="A182" t="s">
        <v>1940</v>
      </c>
      <c r="B182" t="s">
        <v>1970</v>
      </c>
      <c r="C182">
        <v>-1600807520629</v>
      </c>
      <c r="D182">
        <v>87221592625</v>
      </c>
      <c r="E182">
        <v>-223369548681</v>
      </c>
      <c r="F182">
        <v>-511594868747</v>
      </c>
    </row>
    <row r="183" spans="1:6" x14ac:dyDescent="0.35">
      <c r="A183" t="s">
        <v>1940</v>
      </c>
      <c r="B183" t="s">
        <v>1971</v>
      </c>
      <c r="C183">
        <v>2710096780</v>
      </c>
      <c r="D183">
        <v>5917103829</v>
      </c>
      <c r="E183">
        <v>5191685675</v>
      </c>
      <c r="F183">
        <v>22314219751</v>
      </c>
    </row>
    <row r="184" spans="1:6" x14ac:dyDescent="0.35">
      <c r="A184" t="s">
        <v>1940</v>
      </c>
      <c r="B184" t="s">
        <v>1972</v>
      </c>
      <c r="C184">
        <v>0</v>
      </c>
      <c r="D184">
        <v>0</v>
      </c>
      <c r="E184">
        <v>340189058916</v>
      </c>
      <c r="F184">
        <v>-385388612788</v>
      </c>
    </row>
    <row r="185" spans="1:6" x14ac:dyDescent="0.35">
      <c r="A185" t="s">
        <v>1940</v>
      </c>
      <c r="B185" t="s">
        <v>1973</v>
      </c>
      <c r="C185">
        <v>-335358990448</v>
      </c>
      <c r="D185">
        <v>-414814808303</v>
      </c>
      <c r="E185">
        <v>-530709020678</v>
      </c>
      <c r="F185">
        <v>-538842621005</v>
      </c>
    </row>
    <row r="186" spans="1:6" x14ac:dyDescent="0.35">
      <c r="A186" t="s">
        <v>1940</v>
      </c>
      <c r="B186" t="s">
        <v>1974</v>
      </c>
      <c r="C186">
        <v>-151537216988</v>
      </c>
      <c r="D186">
        <v>-434043634344</v>
      </c>
      <c r="E186">
        <v>-253168239340</v>
      </c>
      <c r="F186">
        <v>-126535179026</v>
      </c>
    </row>
    <row r="187" spans="1:6" x14ac:dyDescent="0.35">
      <c r="A187" t="s">
        <v>1940</v>
      </c>
      <c r="B187" t="s">
        <v>1975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 t="s">
        <v>1940</v>
      </c>
      <c r="B188" t="s">
        <v>1976</v>
      </c>
      <c r="C188">
        <v>-11721087414</v>
      </c>
      <c r="D188">
        <v>-2362415509</v>
      </c>
      <c r="E188">
        <v>-1611025839</v>
      </c>
      <c r="F188">
        <v>-1107080000</v>
      </c>
    </row>
    <row r="189" spans="1:6" x14ac:dyDescent="0.35">
      <c r="A189" t="s">
        <v>1940</v>
      </c>
      <c r="B189" t="s">
        <v>154</v>
      </c>
      <c r="C189">
        <v>1425837894168</v>
      </c>
      <c r="D189">
        <v>1056933780167</v>
      </c>
      <c r="E189">
        <v>1941988318046</v>
      </c>
      <c r="F189">
        <v>793625961268</v>
      </c>
    </row>
    <row r="190" spans="1:6" x14ac:dyDescent="0.35">
      <c r="A190" t="s">
        <v>1940</v>
      </c>
      <c r="B190" t="s">
        <v>155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 t="s">
        <v>1940</v>
      </c>
      <c r="B191" t="s">
        <v>156</v>
      </c>
      <c r="C191">
        <v>-1834698596894</v>
      </c>
      <c r="D191">
        <v>-1993197953135</v>
      </c>
      <c r="E191">
        <v>-428569005100</v>
      </c>
      <c r="F191">
        <v>-147819530044</v>
      </c>
    </row>
    <row r="192" spans="1:6" x14ac:dyDescent="0.35">
      <c r="A192" t="s">
        <v>1940</v>
      </c>
      <c r="B192" t="s">
        <v>157</v>
      </c>
      <c r="C192">
        <v>0</v>
      </c>
      <c r="D192">
        <v>0</v>
      </c>
      <c r="E192">
        <v>0</v>
      </c>
      <c r="F192">
        <v>646060607</v>
      </c>
    </row>
    <row r="193" spans="1:6" x14ac:dyDescent="0.35">
      <c r="A193" t="s">
        <v>1940</v>
      </c>
      <c r="B193" t="s">
        <v>158</v>
      </c>
      <c r="C193">
        <v>-98750000000</v>
      </c>
      <c r="D193">
        <v>-348370000000</v>
      </c>
      <c r="E193">
        <v>-1213787671</v>
      </c>
      <c r="F193">
        <v>-143466164384</v>
      </c>
    </row>
    <row r="194" spans="1:6" x14ac:dyDescent="0.35">
      <c r="A194" t="s">
        <v>1940</v>
      </c>
      <c r="B194" t="s">
        <v>159</v>
      </c>
      <c r="C194">
        <v>189339323760</v>
      </c>
      <c r="D194">
        <v>208174595875</v>
      </c>
      <c r="E194">
        <v>339750000000</v>
      </c>
      <c r="F194">
        <v>339750000000</v>
      </c>
    </row>
    <row r="195" spans="1:6" x14ac:dyDescent="0.35">
      <c r="A195" t="s">
        <v>1940</v>
      </c>
      <c r="B195" t="s">
        <v>160</v>
      </c>
      <c r="C195">
        <v>-325455771883</v>
      </c>
      <c r="D195">
        <v>0</v>
      </c>
      <c r="E195">
        <v>-36000000000</v>
      </c>
      <c r="F195">
        <v>-44940292462</v>
      </c>
    </row>
    <row r="196" spans="1:6" x14ac:dyDescent="0.35">
      <c r="A196" t="s">
        <v>1940</v>
      </c>
      <c r="B196" t="s">
        <v>161</v>
      </c>
      <c r="C196">
        <v>-338444715</v>
      </c>
      <c r="D196">
        <v>30617863452</v>
      </c>
      <c r="E196">
        <v>30617863452</v>
      </c>
      <c r="F196">
        <v>0</v>
      </c>
    </row>
    <row r="197" spans="1:6" x14ac:dyDescent="0.35">
      <c r="A197" t="s">
        <v>1940</v>
      </c>
      <c r="B197" t="s">
        <v>162</v>
      </c>
      <c r="C197">
        <v>14600238698</v>
      </c>
      <c r="D197">
        <v>28840901632</v>
      </c>
      <c r="E197">
        <v>46402236456</v>
      </c>
      <c r="F197">
        <v>9414852362</v>
      </c>
    </row>
    <row r="198" spans="1:6" x14ac:dyDescent="0.35">
      <c r="A198" t="s">
        <v>1940</v>
      </c>
      <c r="B198" t="s">
        <v>163</v>
      </c>
      <c r="C198">
        <v>-2055303251034</v>
      </c>
      <c r="D198">
        <v>-2073934592176</v>
      </c>
      <c r="E198">
        <v>-79630556315</v>
      </c>
      <c r="F198">
        <v>-326165073921</v>
      </c>
    </row>
    <row r="199" spans="1:6" x14ac:dyDescent="0.35">
      <c r="A199" t="s">
        <v>1940</v>
      </c>
      <c r="B199" t="s">
        <v>164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 t="s">
        <v>1940</v>
      </c>
      <c r="B200" t="s">
        <v>165</v>
      </c>
      <c r="C200">
        <v>4508012000</v>
      </c>
      <c r="D200">
        <v>309567015400</v>
      </c>
      <c r="E200">
        <v>200012784800</v>
      </c>
      <c r="F200">
        <v>245380000</v>
      </c>
    </row>
    <row r="201" spans="1:6" x14ac:dyDescent="0.35">
      <c r="A201" t="s">
        <v>1940</v>
      </c>
      <c r="B201" t="s">
        <v>1977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t="s">
        <v>1940</v>
      </c>
      <c r="B202" t="s">
        <v>166</v>
      </c>
      <c r="C202">
        <v>2417004082168</v>
      </c>
      <c r="D202">
        <v>3298030710402</v>
      </c>
      <c r="E202">
        <v>1133831149312</v>
      </c>
      <c r="F202">
        <v>599112719164</v>
      </c>
    </row>
    <row r="203" spans="1:6" x14ac:dyDescent="0.35">
      <c r="A203" t="s">
        <v>1940</v>
      </c>
      <c r="B203" t="s">
        <v>167</v>
      </c>
      <c r="C203">
        <v>-1610634637522</v>
      </c>
      <c r="D203">
        <v>-2458839627430</v>
      </c>
      <c r="E203">
        <v>-2375362755175</v>
      </c>
      <c r="F203">
        <v>-1324773610589</v>
      </c>
    </row>
    <row r="204" spans="1:6" x14ac:dyDescent="0.35">
      <c r="A204" t="s">
        <v>1940</v>
      </c>
      <c r="B204" t="s">
        <v>1978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t="s">
        <v>1940</v>
      </c>
      <c r="B205" t="s">
        <v>168</v>
      </c>
      <c r="C205">
        <v>-122409308027</v>
      </c>
      <c r="D205">
        <v>-303721523175</v>
      </c>
      <c r="E205">
        <v>-267150171110</v>
      </c>
      <c r="F205">
        <v>-133703126280</v>
      </c>
    </row>
    <row r="206" spans="1:6" x14ac:dyDescent="0.35">
      <c r="A206" t="s">
        <v>1940</v>
      </c>
      <c r="B206" t="s">
        <v>169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t="s">
        <v>1940</v>
      </c>
      <c r="B207" t="s">
        <v>170</v>
      </c>
      <c r="C207">
        <v>688468148619</v>
      </c>
      <c r="D207">
        <v>845036575197</v>
      </c>
      <c r="E207">
        <v>-1308668992173</v>
      </c>
      <c r="F207">
        <v>-859118637705</v>
      </c>
    </row>
    <row r="208" spans="1:6" x14ac:dyDescent="0.35">
      <c r="A208" t="s">
        <v>1940</v>
      </c>
      <c r="B208" t="s">
        <v>171</v>
      </c>
      <c r="C208">
        <v>59002791753</v>
      </c>
      <c r="D208">
        <v>-171964236812</v>
      </c>
      <c r="E208">
        <v>553688769558</v>
      </c>
      <c r="F208">
        <v>-391657750358</v>
      </c>
    </row>
    <row r="209" spans="1:6" x14ac:dyDescent="0.35">
      <c r="A209" t="s">
        <v>1940</v>
      </c>
      <c r="B209" t="s">
        <v>172</v>
      </c>
      <c r="C209">
        <v>400931370621</v>
      </c>
      <c r="D209">
        <v>437921796024</v>
      </c>
      <c r="E209">
        <v>230395142669</v>
      </c>
      <c r="F209">
        <v>694458293386</v>
      </c>
    </row>
    <row r="210" spans="1:6" x14ac:dyDescent="0.35">
      <c r="A210" t="s">
        <v>1940</v>
      </c>
      <c r="B210" t="s">
        <v>173</v>
      </c>
      <c r="C210">
        <v>-22012366350</v>
      </c>
      <c r="D210">
        <v>-35562416543</v>
      </c>
      <c r="E210">
        <v>-89625618841</v>
      </c>
      <c r="F210">
        <v>-57251200601</v>
      </c>
    </row>
    <row r="211" spans="1:6" x14ac:dyDescent="0.35">
      <c r="A211" t="s">
        <v>1940</v>
      </c>
      <c r="B211" t="s">
        <v>174</v>
      </c>
      <c r="C211">
        <v>437921796024</v>
      </c>
      <c r="D211">
        <v>230395142669</v>
      </c>
      <c r="E211">
        <v>694458293386</v>
      </c>
      <c r="F211">
        <v>245549342427</v>
      </c>
    </row>
    <row r="212" spans="1:6" x14ac:dyDescent="0.35">
      <c r="A212" t="s">
        <v>1941</v>
      </c>
      <c r="B212" t="s">
        <v>153</v>
      </c>
      <c r="C212">
        <v>0</v>
      </c>
      <c r="D212">
        <v>0</v>
      </c>
      <c r="E212">
        <v>0</v>
      </c>
      <c r="F212">
        <v>0</v>
      </c>
    </row>
    <row r="213" spans="1:6" x14ac:dyDescent="0.35">
      <c r="A213" t="s">
        <v>1941</v>
      </c>
      <c r="B213" t="s">
        <v>1959</v>
      </c>
      <c r="C213">
        <v>372911228539</v>
      </c>
      <c r="D213">
        <v>227314037293</v>
      </c>
      <c r="E213">
        <v>246124262517</v>
      </c>
      <c r="F213">
        <v>135323543005</v>
      </c>
    </row>
    <row r="214" spans="1:6" x14ac:dyDescent="0.35">
      <c r="A214" t="s">
        <v>1941</v>
      </c>
      <c r="B214" t="s">
        <v>1960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 t="s">
        <v>1941</v>
      </c>
      <c r="B215" t="s">
        <v>1961</v>
      </c>
      <c r="C215">
        <v>105987617858</v>
      </c>
      <c r="D215">
        <v>138749800998</v>
      </c>
      <c r="E215">
        <v>99034847394</v>
      </c>
      <c r="F215">
        <v>108792441773</v>
      </c>
    </row>
    <row r="216" spans="1:6" x14ac:dyDescent="0.35">
      <c r="A216" t="s">
        <v>1941</v>
      </c>
      <c r="B216" t="s">
        <v>1962</v>
      </c>
      <c r="C216">
        <v>71703838601</v>
      </c>
      <c r="D216">
        <v>-15750538856</v>
      </c>
      <c r="E216">
        <v>11278805230</v>
      </c>
      <c r="F216">
        <v>61427844735</v>
      </c>
    </row>
    <row r="217" spans="1:6" x14ac:dyDescent="0.35">
      <c r="A217" t="s">
        <v>1941</v>
      </c>
      <c r="B217" t="s">
        <v>1963</v>
      </c>
      <c r="C217">
        <v>-6615339186</v>
      </c>
      <c r="D217">
        <v>-1408730766</v>
      </c>
      <c r="E217">
        <v>0</v>
      </c>
      <c r="F217">
        <v>-2539329858</v>
      </c>
    </row>
    <row r="218" spans="1:6" x14ac:dyDescent="0.35">
      <c r="A218" t="s">
        <v>1941</v>
      </c>
      <c r="B218" t="s">
        <v>1964</v>
      </c>
      <c r="C218">
        <v>-14737886923</v>
      </c>
      <c r="D218">
        <v>-6030335081</v>
      </c>
      <c r="E218">
        <v>-267796006088</v>
      </c>
      <c r="F218">
        <v>-9983093958</v>
      </c>
    </row>
    <row r="219" spans="1:6" x14ac:dyDescent="0.35">
      <c r="A219" t="s">
        <v>1941</v>
      </c>
      <c r="B219" t="s">
        <v>1965</v>
      </c>
      <c r="C219">
        <v>105055315050</v>
      </c>
      <c r="D219">
        <v>106192359166</v>
      </c>
      <c r="E219">
        <v>69387291199</v>
      </c>
      <c r="F219">
        <v>50643242852</v>
      </c>
    </row>
    <row r="220" spans="1:6" x14ac:dyDescent="0.35">
      <c r="A220" t="s">
        <v>1941</v>
      </c>
      <c r="B220" t="s">
        <v>1966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 t="s">
        <v>1941</v>
      </c>
      <c r="B221" t="s">
        <v>1967</v>
      </c>
      <c r="C221">
        <v>634304773939</v>
      </c>
      <c r="D221">
        <v>449066592754</v>
      </c>
      <c r="E221">
        <v>158029200252</v>
      </c>
      <c r="F221">
        <v>343664648549</v>
      </c>
    </row>
    <row r="222" spans="1:6" x14ac:dyDescent="0.35">
      <c r="A222" t="s">
        <v>1941</v>
      </c>
      <c r="B222" t="s">
        <v>1968</v>
      </c>
      <c r="C222">
        <v>-537317226137</v>
      </c>
      <c r="D222">
        <v>788160849042</v>
      </c>
      <c r="E222">
        <v>-205827201001</v>
      </c>
      <c r="F222">
        <v>-60210673378</v>
      </c>
    </row>
    <row r="223" spans="1:6" x14ac:dyDescent="0.35">
      <c r="A223" t="s">
        <v>1941</v>
      </c>
      <c r="B223" t="s">
        <v>1969</v>
      </c>
      <c r="C223">
        <v>250891162241</v>
      </c>
      <c r="D223">
        <v>-259841424542</v>
      </c>
      <c r="E223">
        <v>-355394834427</v>
      </c>
      <c r="F223">
        <v>-126979165018</v>
      </c>
    </row>
    <row r="224" spans="1:6" x14ac:dyDescent="0.35">
      <c r="A224" t="s">
        <v>1941</v>
      </c>
      <c r="B224" t="s">
        <v>1970</v>
      </c>
      <c r="C224">
        <v>269826103895</v>
      </c>
      <c r="D224">
        <v>-544414671326</v>
      </c>
      <c r="E224">
        <v>-332993795667</v>
      </c>
      <c r="F224">
        <v>678033780446</v>
      </c>
    </row>
    <row r="225" spans="1:6" x14ac:dyDescent="0.35">
      <c r="A225" t="s">
        <v>1941</v>
      </c>
      <c r="B225" t="s">
        <v>1971</v>
      </c>
      <c r="C225">
        <v>7499825845</v>
      </c>
      <c r="D225">
        <v>836866662</v>
      </c>
      <c r="E225">
        <v>504792730</v>
      </c>
      <c r="F225">
        <v>-28393099082</v>
      </c>
    </row>
    <row r="226" spans="1:6" x14ac:dyDescent="0.35">
      <c r="A226" t="s">
        <v>1941</v>
      </c>
      <c r="B226" t="s">
        <v>1972</v>
      </c>
      <c r="C226">
        <v>0</v>
      </c>
      <c r="D226">
        <v>0</v>
      </c>
      <c r="E226">
        <v>0</v>
      </c>
      <c r="F226">
        <v>0</v>
      </c>
    </row>
    <row r="227" spans="1:6" x14ac:dyDescent="0.35">
      <c r="A227" t="s">
        <v>1941</v>
      </c>
      <c r="B227" t="s">
        <v>1973</v>
      </c>
      <c r="C227">
        <v>-105733461447</v>
      </c>
      <c r="D227">
        <v>-107322985208</v>
      </c>
      <c r="E227">
        <v>-68759354025</v>
      </c>
      <c r="F227">
        <v>-50910411256</v>
      </c>
    </row>
    <row r="228" spans="1:6" x14ac:dyDescent="0.35">
      <c r="A228" t="s">
        <v>1941</v>
      </c>
      <c r="B228" t="s">
        <v>1974</v>
      </c>
      <c r="C228">
        <v>-32567513398</v>
      </c>
      <c r="D228">
        <v>-4005178887</v>
      </c>
      <c r="E228">
        <v>-118124263736</v>
      </c>
      <c r="F228">
        <v>-25688937021</v>
      </c>
    </row>
    <row r="229" spans="1:6" x14ac:dyDescent="0.35">
      <c r="A229" t="s">
        <v>1941</v>
      </c>
      <c r="B229" t="s">
        <v>1975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t="s">
        <v>1941</v>
      </c>
      <c r="B230" t="s">
        <v>1976</v>
      </c>
      <c r="C230">
        <v>-2065283000</v>
      </c>
      <c r="D230">
        <v>-3188611002</v>
      </c>
      <c r="E230">
        <v>-1505241493</v>
      </c>
      <c r="F230">
        <v>-2765475000</v>
      </c>
    </row>
    <row r="231" spans="1:6" x14ac:dyDescent="0.35">
      <c r="A231" t="s">
        <v>1941</v>
      </c>
      <c r="B231" t="s">
        <v>154</v>
      </c>
      <c r="C231">
        <v>484838381938</v>
      </c>
      <c r="D231">
        <v>319291437493</v>
      </c>
      <c r="E231">
        <v>-924070697367</v>
      </c>
      <c r="F231">
        <v>726750668240</v>
      </c>
    </row>
    <row r="232" spans="1:6" x14ac:dyDescent="0.35">
      <c r="A232" t="s">
        <v>1941</v>
      </c>
      <c r="B232" t="s">
        <v>155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 t="s">
        <v>1941</v>
      </c>
      <c r="B233" t="s">
        <v>156</v>
      </c>
      <c r="C233">
        <v>-445121164063</v>
      </c>
      <c r="D233">
        <v>-1511636289</v>
      </c>
      <c r="E233">
        <v>-20761091601</v>
      </c>
      <c r="F233">
        <v>-14239786886</v>
      </c>
    </row>
    <row r="234" spans="1:6" x14ac:dyDescent="0.35">
      <c r="A234" t="s">
        <v>1941</v>
      </c>
      <c r="B234" t="s">
        <v>157</v>
      </c>
      <c r="C234">
        <v>1060909090</v>
      </c>
      <c r="D234">
        <v>460000000</v>
      </c>
      <c r="E234">
        <v>900000000</v>
      </c>
      <c r="F234">
        <v>370035841</v>
      </c>
    </row>
    <row r="235" spans="1:6" x14ac:dyDescent="0.35">
      <c r="A235" t="s">
        <v>1941</v>
      </c>
      <c r="B235" t="s">
        <v>158</v>
      </c>
      <c r="C235">
        <v>-109835000000</v>
      </c>
      <c r="D235">
        <v>-311287451700</v>
      </c>
      <c r="E235">
        <v>-577968789109</v>
      </c>
      <c r="F235">
        <v>-905855967302</v>
      </c>
    </row>
    <row r="236" spans="1:6" x14ac:dyDescent="0.35">
      <c r="A236" t="s">
        <v>1941</v>
      </c>
      <c r="B236" t="s">
        <v>159</v>
      </c>
      <c r="C236">
        <v>44914519500</v>
      </c>
      <c r="D236">
        <v>83300000000</v>
      </c>
      <c r="E236">
        <v>741241247950</v>
      </c>
      <c r="F236">
        <v>738562451700</v>
      </c>
    </row>
    <row r="237" spans="1:6" x14ac:dyDescent="0.35">
      <c r="A237" t="s">
        <v>1941</v>
      </c>
      <c r="B237" t="s">
        <v>160</v>
      </c>
      <c r="C237">
        <v>-12911760000</v>
      </c>
      <c r="D237">
        <v>-100000000</v>
      </c>
      <c r="E237">
        <v>-500000000</v>
      </c>
      <c r="F237">
        <v>0</v>
      </c>
    </row>
    <row r="238" spans="1:6" x14ac:dyDescent="0.35">
      <c r="A238" t="s">
        <v>1941</v>
      </c>
      <c r="B238" t="s">
        <v>161</v>
      </c>
      <c r="C238">
        <v>14250000000</v>
      </c>
      <c r="D238">
        <v>1054550000</v>
      </c>
      <c r="E238">
        <v>516779251450</v>
      </c>
      <c r="F238">
        <v>136543640000</v>
      </c>
    </row>
    <row r="239" spans="1:6" x14ac:dyDescent="0.35">
      <c r="A239" t="s">
        <v>1941</v>
      </c>
      <c r="B239" t="s">
        <v>162</v>
      </c>
      <c r="C239">
        <v>7447474588</v>
      </c>
      <c r="D239">
        <v>1877243984</v>
      </c>
      <c r="E239">
        <v>3495517957</v>
      </c>
      <c r="F239">
        <v>5858421689</v>
      </c>
    </row>
    <row r="240" spans="1:6" x14ac:dyDescent="0.35">
      <c r="A240" t="s">
        <v>1941</v>
      </c>
      <c r="B240" t="s">
        <v>163</v>
      </c>
      <c r="C240">
        <v>-500195020885</v>
      </c>
      <c r="D240">
        <v>-226207294005</v>
      </c>
      <c r="E240">
        <v>663186136647</v>
      </c>
      <c r="F240">
        <v>-38761204958</v>
      </c>
    </row>
    <row r="241" spans="1:6" x14ac:dyDescent="0.35">
      <c r="A241" t="s">
        <v>1941</v>
      </c>
      <c r="B241" t="s">
        <v>164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 t="s">
        <v>1941</v>
      </c>
      <c r="B242" t="s">
        <v>165</v>
      </c>
      <c r="C242">
        <v>24070000</v>
      </c>
      <c r="D242">
        <v>479377770000</v>
      </c>
      <c r="E242">
        <v>1371000000</v>
      </c>
      <c r="F242">
        <v>1371000000</v>
      </c>
    </row>
    <row r="243" spans="1:6" x14ac:dyDescent="0.35">
      <c r="A243" t="s">
        <v>1941</v>
      </c>
      <c r="B243" t="s">
        <v>1977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 t="s">
        <v>1941</v>
      </c>
      <c r="B244" t="s">
        <v>166</v>
      </c>
      <c r="C244">
        <v>2017427076185</v>
      </c>
      <c r="D244">
        <v>662005901421</v>
      </c>
      <c r="E244">
        <v>737298401672</v>
      </c>
      <c r="F244">
        <v>976878183809</v>
      </c>
    </row>
    <row r="245" spans="1:6" x14ac:dyDescent="0.35">
      <c r="A245" t="s">
        <v>1941</v>
      </c>
      <c r="B245" t="s">
        <v>167</v>
      </c>
      <c r="C245">
        <v>-1810728801564</v>
      </c>
      <c r="D245">
        <v>-1117468749400</v>
      </c>
      <c r="E245">
        <v>-596748375741</v>
      </c>
      <c r="F245">
        <v>-835392875280</v>
      </c>
    </row>
    <row r="246" spans="1:6" x14ac:dyDescent="0.35">
      <c r="A246" t="s">
        <v>1941</v>
      </c>
      <c r="B246" t="s">
        <v>1978</v>
      </c>
      <c r="C246">
        <v>-10600390631</v>
      </c>
      <c r="D246">
        <v>-22366072367</v>
      </c>
      <c r="E246">
        <v>-36301842077</v>
      </c>
      <c r="F246">
        <v>-65634535175</v>
      </c>
    </row>
    <row r="247" spans="1:6" x14ac:dyDescent="0.35">
      <c r="A247" t="s">
        <v>1941</v>
      </c>
      <c r="B247" t="s">
        <v>168</v>
      </c>
      <c r="C247">
        <v>0</v>
      </c>
      <c r="D247">
        <v>-80673720400</v>
      </c>
      <c r="E247">
        <v>-3993325</v>
      </c>
      <c r="F247">
        <v>-132748582400</v>
      </c>
    </row>
    <row r="248" spans="1:6" x14ac:dyDescent="0.35">
      <c r="A248" t="s">
        <v>1941</v>
      </c>
      <c r="B248" t="s">
        <v>169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 t="s">
        <v>1941</v>
      </c>
      <c r="B249" t="s">
        <v>170</v>
      </c>
      <c r="C249">
        <v>196121953990</v>
      </c>
      <c r="D249">
        <v>-79124870746</v>
      </c>
      <c r="E249">
        <v>105615190529</v>
      </c>
      <c r="F249">
        <v>-56897809046</v>
      </c>
    </row>
    <row r="250" spans="1:6" x14ac:dyDescent="0.35">
      <c r="A250" t="s">
        <v>1941</v>
      </c>
      <c r="B250" t="s">
        <v>171</v>
      </c>
      <c r="C250">
        <v>180765315043</v>
      </c>
      <c r="D250">
        <v>13959272742</v>
      </c>
      <c r="E250">
        <v>-155269370191</v>
      </c>
      <c r="F250">
        <v>631091654236</v>
      </c>
    </row>
    <row r="251" spans="1:6" x14ac:dyDescent="0.35">
      <c r="A251" t="s">
        <v>1941</v>
      </c>
      <c r="B251" t="s">
        <v>172</v>
      </c>
      <c r="C251">
        <v>61411536036</v>
      </c>
      <c r="D251">
        <v>242176851079</v>
      </c>
      <c r="E251">
        <v>256136123821</v>
      </c>
      <c r="F251">
        <v>100866753630</v>
      </c>
    </row>
    <row r="252" spans="1:6" x14ac:dyDescent="0.35">
      <c r="A252" t="s">
        <v>1941</v>
      </c>
      <c r="B252" t="s">
        <v>173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 t="s">
        <v>1941</v>
      </c>
      <c r="B253" t="s">
        <v>174</v>
      </c>
      <c r="C253">
        <v>242176851079</v>
      </c>
      <c r="D253">
        <v>256136123821</v>
      </c>
      <c r="E253">
        <v>100866753630</v>
      </c>
      <c r="F253">
        <v>731958407866</v>
      </c>
    </row>
    <row r="254" spans="1:6" x14ac:dyDescent="0.35">
      <c r="A254" t="s">
        <v>1942</v>
      </c>
      <c r="B254" t="s">
        <v>153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 t="s">
        <v>1942</v>
      </c>
      <c r="B255" t="s">
        <v>1959</v>
      </c>
      <c r="C255">
        <v>651811909223</v>
      </c>
      <c r="D255">
        <v>896472801794</v>
      </c>
      <c r="E255">
        <v>605444943595</v>
      </c>
      <c r="F255">
        <v>388918155240</v>
      </c>
    </row>
    <row r="256" spans="1:6" x14ac:dyDescent="0.35">
      <c r="A256" t="s">
        <v>1942</v>
      </c>
      <c r="B256" t="s">
        <v>1960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 t="s">
        <v>1942</v>
      </c>
      <c r="B257" t="s">
        <v>1961</v>
      </c>
      <c r="C257">
        <v>279792813355</v>
      </c>
      <c r="D257">
        <v>364222728433</v>
      </c>
      <c r="E257">
        <v>626513539370</v>
      </c>
      <c r="F257">
        <v>763378294562</v>
      </c>
    </row>
    <row r="258" spans="1:6" x14ac:dyDescent="0.35">
      <c r="A258" t="s">
        <v>1942</v>
      </c>
      <c r="B258" t="s">
        <v>1962</v>
      </c>
      <c r="C258">
        <v>9681387550</v>
      </c>
      <c r="D258">
        <v>37163423796</v>
      </c>
      <c r="E258">
        <v>-17762786386</v>
      </c>
      <c r="F258">
        <v>8927585946</v>
      </c>
    </row>
    <row r="259" spans="1:6" x14ac:dyDescent="0.35">
      <c r="A259" t="s">
        <v>1942</v>
      </c>
      <c r="B259" t="s">
        <v>1963</v>
      </c>
      <c r="C259">
        <v>1137063333</v>
      </c>
      <c r="D259">
        <v>6083202886</v>
      </c>
      <c r="E259">
        <v>131056690530</v>
      </c>
      <c r="F259">
        <v>87854980078</v>
      </c>
    </row>
    <row r="260" spans="1:6" x14ac:dyDescent="0.35">
      <c r="A260" t="s">
        <v>1942</v>
      </c>
      <c r="B260" t="s">
        <v>1964</v>
      </c>
      <c r="C260">
        <v>-55386679228</v>
      </c>
      <c r="D260">
        <v>-385940659421</v>
      </c>
      <c r="E260">
        <v>-92543222753</v>
      </c>
      <c r="F260">
        <v>-188221520054</v>
      </c>
    </row>
    <row r="261" spans="1:6" x14ac:dyDescent="0.35">
      <c r="A261" t="s">
        <v>1942</v>
      </c>
      <c r="B261" t="s">
        <v>1965</v>
      </c>
      <c r="C261">
        <v>242367390588</v>
      </c>
      <c r="D261">
        <v>315449056943</v>
      </c>
      <c r="E261">
        <v>608141738226</v>
      </c>
      <c r="F261">
        <v>848375555662</v>
      </c>
    </row>
    <row r="262" spans="1:6" x14ac:dyDescent="0.35">
      <c r="A262" t="s">
        <v>1942</v>
      </c>
      <c r="B262" t="s">
        <v>1966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A263" t="s">
        <v>1942</v>
      </c>
      <c r="B263" t="s">
        <v>1967</v>
      </c>
      <c r="C263">
        <v>1129403884821</v>
      </c>
      <c r="D263">
        <v>1233450554431</v>
      </c>
      <c r="E263">
        <v>1860850902582</v>
      </c>
      <c r="F263">
        <v>1909233051434</v>
      </c>
    </row>
    <row r="264" spans="1:6" x14ac:dyDescent="0.35">
      <c r="A264" t="s">
        <v>1942</v>
      </c>
      <c r="B264" t="s">
        <v>1968</v>
      </c>
      <c r="C264">
        <v>-1450565866192</v>
      </c>
      <c r="D264">
        <v>-28296022714</v>
      </c>
      <c r="E264">
        <v>34259440774</v>
      </c>
      <c r="F264">
        <v>413735295286</v>
      </c>
    </row>
    <row r="265" spans="1:6" x14ac:dyDescent="0.35">
      <c r="A265" t="s">
        <v>1942</v>
      </c>
      <c r="B265" t="s">
        <v>1969</v>
      </c>
      <c r="C265">
        <v>707980466046</v>
      </c>
      <c r="D265">
        <v>-172787706909</v>
      </c>
      <c r="E265">
        <v>22306830066</v>
      </c>
      <c r="F265">
        <v>-23954281021</v>
      </c>
    </row>
    <row r="266" spans="1:6" x14ac:dyDescent="0.35">
      <c r="A266" t="s">
        <v>1942</v>
      </c>
      <c r="B266" t="s">
        <v>1970</v>
      </c>
      <c r="C266">
        <v>583846492231</v>
      </c>
      <c r="D266">
        <v>-407840147940</v>
      </c>
      <c r="E266">
        <v>116259586529</v>
      </c>
      <c r="F266">
        <v>-281225384255</v>
      </c>
    </row>
    <row r="267" spans="1:6" x14ac:dyDescent="0.35">
      <c r="A267" t="s">
        <v>1942</v>
      </c>
      <c r="B267" t="s">
        <v>1971</v>
      </c>
      <c r="C267">
        <v>-1614229561</v>
      </c>
      <c r="D267">
        <v>-67693052675</v>
      </c>
      <c r="E267">
        <v>-50121035517</v>
      </c>
      <c r="F267">
        <v>12055953375</v>
      </c>
    </row>
    <row r="268" spans="1:6" x14ac:dyDescent="0.35">
      <c r="A268" t="s">
        <v>1942</v>
      </c>
      <c r="B268" t="s">
        <v>1972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A269" t="s">
        <v>1942</v>
      </c>
      <c r="B269" t="s">
        <v>1973</v>
      </c>
      <c r="C269">
        <v>-245293521634</v>
      </c>
      <c r="D269">
        <v>-306385526351</v>
      </c>
      <c r="E269">
        <v>-574362003548</v>
      </c>
      <c r="F269">
        <v>-860760606701</v>
      </c>
    </row>
    <row r="270" spans="1:6" x14ac:dyDescent="0.35">
      <c r="A270" t="s">
        <v>1942</v>
      </c>
      <c r="B270" t="s">
        <v>1974</v>
      </c>
      <c r="C270">
        <v>-64182629362</v>
      </c>
      <c r="D270">
        <v>-136603949376</v>
      </c>
      <c r="E270">
        <v>-82088818415</v>
      </c>
      <c r="F270">
        <v>-102724509099</v>
      </c>
    </row>
    <row r="271" spans="1:6" x14ac:dyDescent="0.35">
      <c r="A271" t="s">
        <v>1942</v>
      </c>
      <c r="B271" t="s">
        <v>1975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 t="s">
        <v>1942</v>
      </c>
      <c r="B272" t="s">
        <v>1976</v>
      </c>
      <c r="C272">
        <v>-26954197115</v>
      </c>
      <c r="D272">
        <v>-20603380522</v>
      </c>
      <c r="E272">
        <v>-37977480668</v>
      </c>
      <c r="F272">
        <v>-34052117239</v>
      </c>
    </row>
    <row r="273" spans="1:6" x14ac:dyDescent="0.35">
      <c r="A273" t="s">
        <v>1942</v>
      </c>
      <c r="B273" t="s">
        <v>154</v>
      </c>
      <c r="C273">
        <v>632620399233</v>
      </c>
      <c r="D273">
        <v>93240767944</v>
      </c>
      <c r="E273">
        <v>1289127421803</v>
      </c>
      <c r="F273">
        <v>1032307401780</v>
      </c>
    </row>
    <row r="274" spans="1:6" x14ac:dyDescent="0.35">
      <c r="A274" t="s">
        <v>1942</v>
      </c>
      <c r="B274" t="s">
        <v>155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 t="s">
        <v>1942</v>
      </c>
      <c r="B275" t="s">
        <v>156</v>
      </c>
      <c r="C275">
        <v>-932673645400</v>
      </c>
      <c r="D275">
        <v>-3991157635137</v>
      </c>
      <c r="E275">
        <v>-1728786877736</v>
      </c>
      <c r="F275">
        <v>-474556898735</v>
      </c>
    </row>
    <row r="276" spans="1:6" x14ac:dyDescent="0.35">
      <c r="A276" t="s">
        <v>1942</v>
      </c>
      <c r="B276" t="s">
        <v>157</v>
      </c>
      <c r="C276">
        <v>2560492763</v>
      </c>
      <c r="D276">
        <v>3323825909</v>
      </c>
      <c r="E276">
        <v>3215091330</v>
      </c>
      <c r="F276">
        <v>168210675156</v>
      </c>
    </row>
    <row r="277" spans="1:6" x14ac:dyDescent="0.35">
      <c r="A277" t="s">
        <v>1942</v>
      </c>
      <c r="B277" t="s">
        <v>158</v>
      </c>
      <c r="C277">
        <v>-119517828822</v>
      </c>
      <c r="D277">
        <v>-293247266517</v>
      </c>
      <c r="E277">
        <v>-947275404425</v>
      </c>
      <c r="F277">
        <v>-1047101801345</v>
      </c>
    </row>
    <row r="278" spans="1:6" x14ac:dyDescent="0.35">
      <c r="A278" t="s">
        <v>1942</v>
      </c>
      <c r="B278" t="s">
        <v>159</v>
      </c>
      <c r="C278">
        <v>238626756051</v>
      </c>
      <c r="D278">
        <v>211846680542</v>
      </c>
      <c r="E278">
        <v>349354673634</v>
      </c>
      <c r="F278">
        <v>1239957199980</v>
      </c>
    </row>
    <row r="279" spans="1:6" x14ac:dyDescent="0.35">
      <c r="A279" t="s">
        <v>1942</v>
      </c>
      <c r="B279" t="s">
        <v>160</v>
      </c>
      <c r="C279">
        <v>-461568151925</v>
      </c>
      <c r="D279">
        <v>-925126863980</v>
      </c>
      <c r="E279">
        <v>-1543035543694</v>
      </c>
      <c r="F279">
        <v>-68400000000</v>
      </c>
    </row>
    <row r="280" spans="1:6" x14ac:dyDescent="0.35">
      <c r="A280" t="s">
        <v>1942</v>
      </c>
      <c r="B280" t="s">
        <v>161</v>
      </c>
      <c r="C280">
        <v>375104955112</v>
      </c>
      <c r="D280">
        <v>0</v>
      </c>
      <c r="E280">
        <v>0</v>
      </c>
      <c r="F280">
        <v>28472376468</v>
      </c>
    </row>
    <row r="281" spans="1:6" x14ac:dyDescent="0.35">
      <c r="A281" t="s">
        <v>1942</v>
      </c>
      <c r="B281" t="s">
        <v>162</v>
      </c>
      <c r="C281">
        <v>41096395643</v>
      </c>
      <c r="D281">
        <v>44927852386</v>
      </c>
      <c r="E281">
        <v>58072541362</v>
      </c>
      <c r="F281">
        <v>98803414042</v>
      </c>
    </row>
    <row r="282" spans="1:6" x14ac:dyDescent="0.35">
      <c r="A282" t="s">
        <v>1942</v>
      </c>
      <c r="B282" t="s">
        <v>163</v>
      </c>
      <c r="C282">
        <v>-856371026578</v>
      </c>
      <c r="D282">
        <v>-4949433406797</v>
      </c>
      <c r="E282">
        <v>-3808455519529</v>
      </c>
      <c r="F282">
        <v>-54615034434</v>
      </c>
    </row>
    <row r="283" spans="1:6" x14ac:dyDescent="0.35">
      <c r="A283" t="s">
        <v>1942</v>
      </c>
      <c r="B283" t="s">
        <v>164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 t="s">
        <v>1942</v>
      </c>
      <c r="B284" t="s">
        <v>165</v>
      </c>
      <c r="C284">
        <v>437081060000</v>
      </c>
      <c r="D284">
        <v>422296570000</v>
      </c>
      <c r="E284">
        <v>97424400000</v>
      </c>
      <c r="F284">
        <v>3213643532</v>
      </c>
    </row>
    <row r="285" spans="1:6" x14ac:dyDescent="0.35">
      <c r="A285" t="s">
        <v>1942</v>
      </c>
      <c r="B285" t="s">
        <v>1977</v>
      </c>
      <c r="C285">
        <v>0</v>
      </c>
      <c r="D285">
        <v>-488000000</v>
      </c>
      <c r="E285">
        <v>0</v>
      </c>
      <c r="F285">
        <v>0</v>
      </c>
    </row>
    <row r="286" spans="1:6" x14ac:dyDescent="0.35">
      <c r="A286" t="s">
        <v>1942</v>
      </c>
      <c r="B286" t="s">
        <v>166</v>
      </c>
      <c r="C286">
        <v>4925061932116</v>
      </c>
      <c r="D286">
        <v>15587203590097</v>
      </c>
      <c r="E286">
        <v>8718887919551</v>
      </c>
      <c r="F286">
        <v>5792450483265</v>
      </c>
    </row>
    <row r="287" spans="1:6" x14ac:dyDescent="0.35">
      <c r="A287" t="s">
        <v>1942</v>
      </c>
      <c r="B287" t="s">
        <v>167</v>
      </c>
      <c r="C287">
        <v>-4214088545612</v>
      </c>
      <c r="D287">
        <v>-10303208194278</v>
      </c>
      <c r="E287">
        <v>-5964736157497</v>
      </c>
      <c r="F287">
        <v>-7161637703122</v>
      </c>
    </row>
    <row r="288" spans="1:6" x14ac:dyDescent="0.35">
      <c r="A288" t="s">
        <v>1942</v>
      </c>
      <c r="B288" t="s">
        <v>1978</v>
      </c>
      <c r="C288">
        <v>0</v>
      </c>
      <c r="D288">
        <v>0</v>
      </c>
      <c r="E288">
        <v>0</v>
      </c>
      <c r="F288">
        <v>-1577956458</v>
      </c>
    </row>
    <row r="289" spans="1:6" x14ac:dyDescent="0.35">
      <c r="A289" t="s">
        <v>1942</v>
      </c>
      <c r="B289" t="s">
        <v>168</v>
      </c>
      <c r="C289">
        <v>-15052826432</v>
      </c>
      <c r="D289">
        <v>-23706105067</v>
      </c>
      <c r="E289">
        <v>-40013773467</v>
      </c>
      <c r="F289">
        <v>-124230827303</v>
      </c>
    </row>
    <row r="290" spans="1:6" x14ac:dyDescent="0.35">
      <c r="A290" t="s">
        <v>1942</v>
      </c>
      <c r="B290" t="s">
        <v>169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 t="s">
        <v>1942</v>
      </c>
      <c r="B291" t="s">
        <v>170</v>
      </c>
      <c r="C291">
        <v>1133001620072</v>
      </c>
      <c r="D291">
        <v>5682097860752</v>
      </c>
      <c r="E291">
        <v>2811562388587</v>
      </c>
      <c r="F291">
        <v>-1491782360086</v>
      </c>
    </row>
    <row r="292" spans="1:6" x14ac:dyDescent="0.35">
      <c r="A292" t="s">
        <v>1942</v>
      </c>
      <c r="B292" t="s">
        <v>171</v>
      </c>
      <c r="C292">
        <v>909250992727</v>
      </c>
      <c r="D292">
        <v>825905221899</v>
      </c>
      <c r="E292">
        <v>292234290861</v>
      </c>
      <c r="F292">
        <v>-514089992740</v>
      </c>
    </row>
    <row r="293" spans="1:6" x14ac:dyDescent="0.35">
      <c r="A293" t="s">
        <v>1942</v>
      </c>
      <c r="B293" t="s">
        <v>172</v>
      </c>
      <c r="C293">
        <v>567652456496</v>
      </c>
      <c r="D293">
        <v>1475766385890</v>
      </c>
      <c r="E293">
        <v>2291977758704</v>
      </c>
      <c r="F293">
        <v>2581357801353</v>
      </c>
    </row>
    <row r="294" spans="1:6" x14ac:dyDescent="0.35">
      <c r="A294" t="s">
        <v>1942</v>
      </c>
      <c r="B294" t="s">
        <v>173</v>
      </c>
      <c r="C294">
        <v>-1137063333</v>
      </c>
      <c r="D294">
        <v>-9693849085</v>
      </c>
      <c r="E294">
        <v>-2854248212</v>
      </c>
      <c r="F294">
        <v>14949874108</v>
      </c>
    </row>
    <row r="295" spans="1:6" x14ac:dyDescent="0.35">
      <c r="A295" t="s">
        <v>1942</v>
      </c>
      <c r="B295" t="s">
        <v>174</v>
      </c>
      <c r="C295">
        <v>1475766385890</v>
      </c>
      <c r="D295">
        <v>2291977758704</v>
      </c>
      <c r="E295">
        <v>2581357801353</v>
      </c>
      <c r="F295">
        <v>2082217682721</v>
      </c>
    </row>
    <row r="296" spans="1:6" x14ac:dyDescent="0.35">
      <c r="A296" t="s">
        <v>1943</v>
      </c>
      <c r="B296" t="s">
        <v>153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 t="s">
        <v>1943</v>
      </c>
      <c r="B297" t="s">
        <v>1959</v>
      </c>
      <c r="C297">
        <v>1923585472508</v>
      </c>
      <c r="D297">
        <v>2399829028939</v>
      </c>
      <c r="E297">
        <v>3878561080509</v>
      </c>
      <c r="F297">
        <v>3056093471161</v>
      </c>
    </row>
    <row r="298" spans="1:6" x14ac:dyDescent="0.35">
      <c r="A298" t="s">
        <v>1943</v>
      </c>
      <c r="B298" t="s">
        <v>1960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 t="s">
        <v>1943</v>
      </c>
      <c r="B299" t="s">
        <v>1961</v>
      </c>
      <c r="C299">
        <v>321516852418</v>
      </c>
      <c r="D299">
        <v>892770160161</v>
      </c>
      <c r="E299">
        <v>1225256688185</v>
      </c>
      <c r="F299">
        <v>1263900546872</v>
      </c>
    </row>
    <row r="300" spans="1:6" x14ac:dyDescent="0.35">
      <c r="A300" t="s">
        <v>1943</v>
      </c>
      <c r="B300" t="s">
        <v>1962</v>
      </c>
      <c r="C300">
        <v>23057787014</v>
      </c>
      <c r="D300">
        <v>18405779937</v>
      </c>
      <c r="E300">
        <v>98981408043</v>
      </c>
      <c r="F300">
        <v>267350820613</v>
      </c>
    </row>
    <row r="301" spans="1:6" x14ac:dyDescent="0.35">
      <c r="A301" t="s">
        <v>1943</v>
      </c>
      <c r="B301" t="s">
        <v>1963</v>
      </c>
      <c r="C301">
        <v>51724431455</v>
      </c>
      <c r="D301">
        <v>-54068058823</v>
      </c>
      <c r="E301">
        <v>42356802295</v>
      </c>
      <c r="F301">
        <v>34472956246</v>
      </c>
    </row>
    <row r="302" spans="1:6" x14ac:dyDescent="0.35">
      <c r="A302" t="s">
        <v>1943</v>
      </c>
      <c r="B302" t="s">
        <v>1964</v>
      </c>
      <c r="C302">
        <v>-1115999082558</v>
      </c>
      <c r="D302">
        <v>-1163257560126</v>
      </c>
      <c r="E302">
        <v>-1130009949164</v>
      </c>
      <c r="F302">
        <v>-1083636292497</v>
      </c>
    </row>
    <row r="303" spans="1:6" x14ac:dyDescent="0.35">
      <c r="A303" t="s">
        <v>1943</v>
      </c>
      <c r="B303" t="s">
        <v>1965</v>
      </c>
      <c r="C303">
        <v>421839558764</v>
      </c>
      <c r="D303">
        <v>673223734156</v>
      </c>
      <c r="E303">
        <v>887764661798</v>
      </c>
      <c r="F303">
        <v>942709678643</v>
      </c>
    </row>
    <row r="304" spans="1:6" x14ac:dyDescent="0.35">
      <c r="A304" t="s">
        <v>1943</v>
      </c>
      <c r="B304" t="s">
        <v>1966</v>
      </c>
      <c r="C304">
        <v>0</v>
      </c>
      <c r="D304">
        <v>0</v>
      </c>
      <c r="E304">
        <v>0</v>
      </c>
      <c r="F304">
        <v>0</v>
      </c>
    </row>
    <row r="305" spans="1:6" x14ac:dyDescent="0.35">
      <c r="A305" t="s">
        <v>1943</v>
      </c>
      <c r="B305" t="s">
        <v>1967</v>
      </c>
      <c r="C305">
        <v>1625725019601</v>
      </c>
      <c r="D305">
        <v>2766903084244</v>
      </c>
      <c r="E305">
        <v>5002910691666</v>
      </c>
      <c r="F305">
        <v>4480891181038</v>
      </c>
    </row>
    <row r="306" spans="1:6" x14ac:dyDescent="0.35">
      <c r="A306" t="s">
        <v>1943</v>
      </c>
      <c r="B306" t="s">
        <v>1968</v>
      </c>
      <c r="C306">
        <v>-507285025290</v>
      </c>
      <c r="D306">
        <v>29622920119</v>
      </c>
      <c r="E306">
        <v>-770938229468</v>
      </c>
      <c r="F306">
        <v>-221106816050</v>
      </c>
    </row>
    <row r="307" spans="1:6" x14ac:dyDescent="0.35">
      <c r="A307" t="s">
        <v>1943</v>
      </c>
      <c r="B307" t="s">
        <v>1969</v>
      </c>
      <c r="C307">
        <v>186108698029</v>
      </c>
      <c r="D307">
        <v>77638886518</v>
      </c>
      <c r="E307">
        <v>-622597956965</v>
      </c>
      <c r="F307">
        <v>20591662150</v>
      </c>
    </row>
    <row r="308" spans="1:6" x14ac:dyDescent="0.35">
      <c r="A308" t="s">
        <v>1943</v>
      </c>
      <c r="B308" t="s">
        <v>1970</v>
      </c>
      <c r="C308">
        <v>-115930321718</v>
      </c>
      <c r="D308">
        <v>-854110675499</v>
      </c>
      <c r="E308">
        <v>126007195458</v>
      </c>
      <c r="F308">
        <v>-137175149477</v>
      </c>
    </row>
    <row r="309" spans="1:6" x14ac:dyDescent="0.35">
      <c r="A309" t="s">
        <v>1943</v>
      </c>
      <c r="B309" t="s">
        <v>1971</v>
      </c>
      <c r="C309">
        <v>29471583628</v>
      </c>
      <c r="D309">
        <v>-98627188150</v>
      </c>
      <c r="E309">
        <v>300652623</v>
      </c>
      <c r="F309">
        <v>-21903042545</v>
      </c>
    </row>
    <row r="310" spans="1:6" x14ac:dyDescent="0.35">
      <c r="A310" t="s">
        <v>1943</v>
      </c>
      <c r="B310" t="s">
        <v>1972</v>
      </c>
      <c r="C310">
        <v>0</v>
      </c>
      <c r="D310">
        <v>0</v>
      </c>
      <c r="E310">
        <v>-717139261908</v>
      </c>
      <c r="F310">
        <v>70244786666</v>
      </c>
    </row>
    <row r="311" spans="1:6" x14ac:dyDescent="0.35">
      <c r="A311" t="s">
        <v>1943</v>
      </c>
      <c r="B311" t="s">
        <v>1973</v>
      </c>
      <c r="C311">
        <v>-427365493651</v>
      </c>
      <c r="D311">
        <v>-514814557208</v>
      </c>
      <c r="E311">
        <v>-1072711718881</v>
      </c>
      <c r="F311">
        <v>-990741225104</v>
      </c>
    </row>
    <row r="312" spans="1:6" x14ac:dyDescent="0.35">
      <c r="A312" t="s">
        <v>1943</v>
      </c>
      <c r="B312" t="s">
        <v>1974</v>
      </c>
      <c r="C312">
        <v>-203381487208</v>
      </c>
      <c r="D312">
        <v>-230330263598</v>
      </c>
      <c r="E312">
        <v>-358545104131</v>
      </c>
      <c r="F312">
        <v>-371511766178</v>
      </c>
    </row>
    <row r="313" spans="1:6" x14ac:dyDescent="0.35">
      <c r="A313" t="s">
        <v>1943</v>
      </c>
      <c r="B313" t="s">
        <v>1975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 t="s">
        <v>1943</v>
      </c>
      <c r="B314" t="s">
        <v>1976</v>
      </c>
      <c r="C314">
        <v>-5932753593</v>
      </c>
      <c r="D314">
        <v>-12082946322</v>
      </c>
      <c r="E314">
        <v>-18153481873</v>
      </c>
      <c r="F314">
        <v>-12519462688</v>
      </c>
    </row>
    <row r="315" spans="1:6" x14ac:dyDescent="0.35">
      <c r="A315" t="s">
        <v>1943</v>
      </c>
      <c r="B315" t="s">
        <v>154</v>
      </c>
      <c r="C315">
        <v>612823527533</v>
      </c>
      <c r="D315">
        <v>1524627627826</v>
      </c>
      <c r="E315">
        <v>1569132786521</v>
      </c>
      <c r="F315">
        <v>2816770167812</v>
      </c>
    </row>
    <row r="316" spans="1:6" x14ac:dyDescent="0.35">
      <c r="A316" t="s">
        <v>1943</v>
      </c>
      <c r="B316" t="s">
        <v>155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 t="s">
        <v>1943</v>
      </c>
      <c r="B317" t="s">
        <v>156</v>
      </c>
      <c r="C317">
        <v>-1393880720427</v>
      </c>
      <c r="D317">
        <v>-3912223653143</v>
      </c>
      <c r="E317">
        <v>-738142358399</v>
      </c>
      <c r="F317">
        <v>-872514449262</v>
      </c>
    </row>
    <row r="318" spans="1:6" x14ac:dyDescent="0.35">
      <c r="A318" t="s">
        <v>1943</v>
      </c>
      <c r="B318" t="s">
        <v>157</v>
      </c>
      <c r="C318">
        <v>2853634811</v>
      </c>
      <c r="D318">
        <v>902280798</v>
      </c>
      <c r="E318">
        <v>27429467640</v>
      </c>
      <c r="F318">
        <v>15367159007</v>
      </c>
    </row>
    <row r="319" spans="1:6" x14ac:dyDescent="0.35">
      <c r="A319" t="s">
        <v>1943</v>
      </c>
      <c r="B319" t="s">
        <v>158</v>
      </c>
      <c r="C319">
        <v>-2814042019109</v>
      </c>
      <c r="D319">
        <v>-903739312954</v>
      </c>
      <c r="E319">
        <v>-2155043943572</v>
      </c>
      <c r="F319">
        <v>-698730018799</v>
      </c>
    </row>
    <row r="320" spans="1:6" x14ac:dyDescent="0.35">
      <c r="A320" t="s">
        <v>1943</v>
      </c>
      <c r="B320" t="s">
        <v>159</v>
      </c>
      <c r="C320">
        <v>2717433449280</v>
      </c>
      <c r="D320">
        <v>1489286994839</v>
      </c>
      <c r="E320">
        <v>2114067604767</v>
      </c>
      <c r="F320">
        <v>1370333767972</v>
      </c>
    </row>
    <row r="321" spans="1:6" x14ac:dyDescent="0.35">
      <c r="A321" t="s">
        <v>1943</v>
      </c>
      <c r="B321" t="s">
        <v>160</v>
      </c>
      <c r="C321">
        <v>-103299516724</v>
      </c>
      <c r="D321">
        <v>-224284358055</v>
      </c>
      <c r="E321">
        <v>-738141142458</v>
      </c>
      <c r="F321">
        <v>-278605442466</v>
      </c>
    </row>
    <row r="322" spans="1:6" x14ac:dyDescent="0.35">
      <c r="A322" t="s">
        <v>1943</v>
      </c>
      <c r="B322" t="s">
        <v>161</v>
      </c>
      <c r="C322">
        <v>81082703369</v>
      </c>
      <c r="D322">
        <v>246797500808</v>
      </c>
      <c r="E322">
        <v>0</v>
      </c>
      <c r="F322">
        <v>31812164601</v>
      </c>
    </row>
    <row r="323" spans="1:6" x14ac:dyDescent="0.35">
      <c r="A323" t="s">
        <v>1943</v>
      </c>
      <c r="B323" t="s">
        <v>162</v>
      </c>
      <c r="C323">
        <v>683146958899</v>
      </c>
      <c r="D323">
        <v>1290727765581</v>
      </c>
      <c r="E323">
        <v>721597119576</v>
      </c>
      <c r="F323">
        <v>1074670421285</v>
      </c>
    </row>
    <row r="324" spans="1:6" x14ac:dyDescent="0.35">
      <c r="A324" t="s">
        <v>1943</v>
      </c>
      <c r="B324" t="s">
        <v>163</v>
      </c>
      <c r="C324">
        <v>-826705509901</v>
      </c>
      <c r="D324">
        <v>-2012532782126</v>
      </c>
      <c r="E324">
        <v>-768233252446</v>
      </c>
      <c r="F324">
        <v>642333602338</v>
      </c>
    </row>
    <row r="325" spans="1:6" x14ac:dyDescent="0.35">
      <c r="A325" t="s">
        <v>1943</v>
      </c>
      <c r="B325" t="s">
        <v>164</v>
      </c>
      <c r="C325">
        <v>0</v>
      </c>
      <c r="D325">
        <v>0</v>
      </c>
      <c r="E325">
        <v>0</v>
      </c>
      <c r="F325">
        <v>0</v>
      </c>
    </row>
    <row r="326" spans="1:6" x14ac:dyDescent="0.35">
      <c r="A326" t="s">
        <v>1943</v>
      </c>
      <c r="B326" t="s">
        <v>165</v>
      </c>
      <c r="C326">
        <v>62500000000</v>
      </c>
      <c r="D326">
        <v>121000000000</v>
      </c>
      <c r="E326">
        <v>1471000000</v>
      </c>
      <c r="F326">
        <v>0</v>
      </c>
    </row>
    <row r="327" spans="1:6" x14ac:dyDescent="0.35">
      <c r="A327" t="s">
        <v>1943</v>
      </c>
      <c r="B327" t="s">
        <v>1977</v>
      </c>
      <c r="C327">
        <v>-47539203502</v>
      </c>
      <c r="D327">
        <v>3971732695581</v>
      </c>
      <c r="E327">
        <v>0</v>
      </c>
      <c r="F327">
        <v>0</v>
      </c>
    </row>
    <row r="328" spans="1:6" x14ac:dyDescent="0.35">
      <c r="A328" t="s">
        <v>1943</v>
      </c>
      <c r="B328" t="s">
        <v>166</v>
      </c>
      <c r="C328">
        <v>1920933807883</v>
      </c>
      <c r="D328">
        <v>-2340106444858</v>
      </c>
      <c r="E328">
        <v>1826974238896</v>
      </c>
      <c r="F328">
        <v>2888594167274</v>
      </c>
    </row>
    <row r="329" spans="1:6" x14ac:dyDescent="0.35">
      <c r="A329" t="s">
        <v>1943</v>
      </c>
      <c r="B329" t="s">
        <v>167</v>
      </c>
      <c r="C329">
        <v>-2005392975633</v>
      </c>
      <c r="D329">
        <v>-166029400</v>
      </c>
      <c r="E329">
        <v>-2734496023082</v>
      </c>
      <c r="F329">
        <v>-3589767945216</v>
      </c>
    </row>
    <row r="330" spans="1:6" x14ac:dyDescent="0.35">
      <c r="A330" t="s">
        <v>1943</v>
      </c>
      <c r="B330" t="s">
        <v>1978</v>
      </c>
      <c r="C330">
        <v>-491095261950</v>
      </c>
      <c r="D330">
        <v>0</v>
      </c>
      <c r="E330">
        <v>0</v>
      </c>
      <c r="F330">
        <v>0</v>
      </c>
    </row>
    <row r="331" spans="1:6" x14ac:dyDescent="0.35">
      <c r="A331" t="s">
        <v>1943</v>
      </c>
      <c r="B331" t="s">
        <v>168</v>
      </c>
      <c r="C331">
        <v>-113413085622</v>
      </c>
      <c r="D331">
        <v>-85419410992</v>
      </c>
      <c r="E331">
        <v>-574485123284</v>
      </c>
      <c r="F331">
        <v>-886399583241</v>
      </c>
    </row>
    <row r="332" spans="1:6" x14ac:dyDescent="0.35">
      <c r="A332" t="s">
        <v>1943</v>
      </c>
      <c r="B332" t="s">
        <v>169</v>
      </c>
      <c r="C332">
        <v>0</v>
      </c>
      <c r="D332">
        <v>0</v>
      </c>
      <c r="E332">
        <v>0</v>
      </c>
      <c r="F332">
        <v>0</v>
      </c>
    </row>
    <row r="333" spans="1:6" x14ac:dyDescent="0.35">
      <c r="A333" t="s">
        <v>1943</v>
      </c>
      <c r="B333" t="s">
        <v>170</v>
      </c>
      <c r="C333">
        <v>-674006718824</v>
      </c>
      <c r="D333">
        <v>1667040810331</v>
      </c>
      <c r="E333">
        <v>-1480535907470</v>
      </c>
      <c r="F333">
        <v>-1587573361183</v>
      </c>
    </row>
    <row r="334" spans="1:6" x14ac:dyDescent="0.35">
      <c r="A334" t="s">
        <v>1943</v>
      </c>
      <c r="B334" t="s">
        <v>171</v>
      </c>
      <c r="C334">
        <v>-887888701192</v>
      </c>
      <c r="D334">
        <v>1179135656031</v>
      </c>
      <c r="E334">
        <v>-679636373395</v>
      </c>
      <c r="F334">
        <v>1871530408967</v>
      </c>
    </row>
    <row r="335" spans="1:6" x14ac:dyDescent="0.35">
      <c r="A335" t="s">
        <v>1943</v>
      </c>
      <c r="B335" t="s">
        <v>172</v>
      </c>
      <c r="C335">
        <v>1539577051904</v>
      </c>
      <c r="D335">
        <v>651668665185</v>
      </c>
      <c r="E335">
        <v>1830901134902</v>
      </c>
      <c r="F335">
        <v>1151270686145</v>
      </c>
    </row>
    <row r="336" spans="1:6" x14ac:dyDescent="0.35">
      <c r="A336" t="s">
        <v>1943</v>
      </c>
      <c r="B336" t="s">
        <v>173</v>
      </c>
      <c r="C336">
        <v>-19685527</v>
      </c>
      <c r="D336">
        <v>96813686</v>
      </c>
      <c r="E336">
        <v>5924638</v>
      </c>
      <c r="F336">
        <v>-4859706</v>
      </c>
    </row>
    <row r="337" spans="1:6" x14ac:dyDescent="0.35">
      <c r="A337" t="s">
        <v>1943</v>
      </c>
      <c r="B337" t="s">
        <v>174</v>
      </c>
      <c r="C337">
        <v>651668665185</v>
      </c>
      <c r="D337">
        <v>1830901134902</v>
      </c>
      <c r="E337">
        <v>1151270686145</v>
      </c>
      <c r="F337">
        <v>3022796235406</v>
      </c>
    </row>
    <row r="338" spans="1:6" x14ac:dyDescent="0.35">
      <c r="A338" t="s">
        <v>1958</v>
      </c>
      <c r="B338" t="s">
        <v>153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 t="s">
        <v>1958</v>
      </c>
      <c r="B339" t="s">
        <v>1959</v>
      </c>
      <c r="C339">
        <v>142910465806</v>
      </c>
      <c r="D339">
        <v>142146235618</v>
      </c>
      <c r="E339">
        <v>219806770225</v>
      </c>
      <c r="F339">
        <v>113112170533</v>
      </c>
    </row>
    <row r="340" spans="1:6" x14ac:dyDescent="0.35">
      <c r="A340" t="s">
        <v>1958</v>
      </c>
      <c r="B340" t="s">
        <v>1960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 t="s">
        <v>1958</v>
      </c>
      <c r="B341" t="s">
        <v>1961</v>
      </c>
      <c r="C341">
        <v>114468091603</v>
      </c>
      <c r="D341">
        <v>206365591731</v>
      </c>
      <c r="E341">
        <v>205959572045</v>
      </c>
      <c r="F341">
        <v>205742815269</v>
      </c>
    </row>
    <row r="342" spans="1:6" x14ac:dyDescent="0.35">
      <c r="A342" t="s">
        <v>1958</v>
      </c>
      <c r="B342" t="s">
        <v>1962</v>
      </c>
      <c r="C342">
        <v>0</v>
      </c>
      <c r="D342">
        <v>0</v>
      </c>
      <c r="E342">
        <v>9332493120</v>
      </c>
      <c r="F342">
        <v>7870607810</v>
      </c>
    </row>
    <row r="343" spans="1:6" x14ac:dyDescent="0.35">
      <c r="A343" t="s">
        <v>1958</v>
      </c>
      <c r="B343" t="s">
        <v>1963</v>
      </c>
      <c r="C343">
        <v>0</v>
      </c>
      <c r="D343">
        <v>0</v>
      </c>
      <c r="E343">
        <v>8188526493</v>
      </c>
      <c r="F343">
        <v>0</v>
      </c>
    </row>
    <row r="344" spans="1:6" x14ac:dyDescent="0.35">
      <c r="A344" t="s">
        <v>1958</v>
      </c>
      <c r="B344" t="s">
        <v>1964</v>
      </c>
      <c r="C344">
        <v>-163385273</v>
      </c>
      <c r="D344">
        <v>-104012408</v>
      </c>
      <c r="E344">
        <v>-129442717</v>
      </c>
      <c r="F344">
        <v>-172486239</v>
      </c>
    </row>
    <row r="345" spans="1:6" x14ac:dyDescent="0.35">
      <c r="A345" t="s">
        <v>1958</v>
      </c>
      <c r="B345" t="s">
        <v>1965</v>
      </c>
      <c r="C345">
        <v>163716453201</v>
      </c>
      <c r="D345">
        <v>207910574527</v>
      </c>
      <c r="E345">
        <v>191726077614</v>
      </c>
      <c r="F345">
        <v>211481339563</v>
      </c>
    </row>
    <row r="346" spans="1:6" x14ac:dyDescent="0.35">
      <c r="A346" t="s">
        <v>1958</v>
      </c>
      <c r="B346" t="s">
        <v>1966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 t="s">
        <v>1958</v>
      </c>
      <c r="B347" t="s">
        <v>1967</v>
      </c>
      <c r="C347">
        <v>420931625337</v>
      </c>
      <c r="D347">
        <v>556318389468</v>
      </c>
      <c r="E347">
        <v>634883996780</v>
      </c>
      <c r="F347">
        <v>538034446936</v>
      </c>
    </row>
    <row r="348" spans="1:6" x14ac:dyDescent="0.35">
      <c r="A348" t="s">
        <v>1958</v>
      </c>
      <c r="B348" t="s">
        <v>1968</v>
      </c>
      <c r="C348">
        <v>-4737146679</v>
      </c>
      <c r="D348">
        <v>13134405231</v>
      </c>
      <c r="E348">
        <v>2655334734</v>
      </c>
      <c r="F348">
        <v>-9153702571</v>
      </c>
    </row>
    <row r="349" spans="1:6" x14ac:dyDescent="0.35">
      <c r="A349" t="s">
        <v>1958</v>
      </c>
      <c r="B349" t="s">
        <v>1969</v>
      </c>
      <c r="C349">
        <v>394547272</v>
      </c>
      <c r="D349">
        <v>0</v>
      </c>
      <c r="E349">
        <v>0</v>
      </c>
      <c r="F349">
        <v>0</v>
      </c>
    </row>
    <row r="350" spans="1:6" x14ac:dyDescent="0.35">
      <c r="A350" t="s">
        <v>1958</v>
      </c>
      <c r="B350" t="s">
        <v>1970</v>
      </c>
      <c r="C350">
        <v>183312538643</v>
      </c>
      <c r="D350">
        <v>-19453380901</v>
      </c>
      <c r="E350">
        <v>-137120120257</v>
      </c>
      <c r="F350">
        <v>-304202629036</v>
      </c>
    </row>
    <row r="351" spans="1:6" x14ac:dyDescent="0.35">
      <c r="A351" t="s">
        <v>1958</v>
      </c>
      <c r="B351" t="s">
        <v>1971</v>
      </c>
      <c r="C351">
        <v>172760688</v>
      </c>
      <c r="D351">
        <v>-12547966578</v>
      </c>
      <c r="E351">
        <v>10948033930</v>
      </c>
      <c r="F351">
        <v>1419257564</v>
      </c>
    </row>
    <row r="352" spans="1:6" x14ac:dyDescent="0.35">
      <c r="A352" t="s">
        <v>1958</v>
      </c>
      <c r="B352" t="s">
        <v>1972</v>
      </c>
      <c r="C352">
        <v>0</v>
      </c>
      <c r="D352">
        <v>0</v>
      </c>
      <c r="E352">
        <v>0</v>
      </c>
      <c r="F352">
        <v>0</v>
      </c>
    </row>
    <row r="353" spans="1:6" x14ac:dyDescent="0.35">
      <c r="A353" t="s">
        <v>1958</v>
      </c>
      <c r="B353" t="s">
        <v>1973</v>
      </c>
      <c r="C353">
        <v>-169284159151</v>
      </c>
      <c r="D353">
        <v>-203272561823</v>
      </c>
      <c r="E353">
        <v>-193159354000</v>
      </c>
      <c r="F353">
        <v>-206076327943</v>
      </c>
    </row>
    <row r="354" spans="1:6" x14ac:dyDescent="0.35">
      <c r="A354" t="s">
        <v>1958</v>
      </c>
      <c r="B354" t="s">
        <v>1974</v>
      </c>
      <c r="C354">
        <v>-11056661593</v>
      </c>
      <c r="D354">
        <v>-8111855581</v>
      </c>
      <c r="E354">
        <v>-7610160806</v>
      </c>
      <c r="F354">
        <v>-14822505336</v>
      </c>
    </row>
    <row r="355" spans="1:6" x14ac:dyDescent="0.35">
      <c r="A355" t="s">
        <v>1958</v>
      </c>
      <c r="B355" t="s">
        <v>1975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 t="s">
        <v>1958</v>
      </c>
      <c r="B356" t="s">
        <v>1976</v>
      </c>
      <c r="C356">
        <v>0</v>
      </c>
      <c r="D356">
        <v>0</v>
      </c>
      <c r="E356">
        <v>-1995292200</v>
      </c>
      <c r="F356">
        <v>-3586416000</v>
      </c>
    </row>
    <row r="357" spans="1:6" x14ac:dyDescent="0.35">
      <c r="A357" t="s">
        <v>1958</v>
      </c>
      <c r="B357" t="s">
        <v>154</v>
      </c>
      <c r="C357">
        <v>419733504517</v>
      </c>
      <c r="D357">
        <v>326067029816</v>
      </c>
      <c r="E357">
        <v>308602438181</v>
      </c>
      <c r="F357">
        <v>1612123614</v>
      </c>
    </row>
    <row r="358" spans="1:6" x14ac:dyDescent="0.35">
      <c r="A358" t="s">
        <v>1958</v>
      </c>
      <c r="B358" t="s">
        <v>155</v>
      </c>
      <c r="C358">
        <v>0</v>
      </c>
      <c r="D358">
        <v>0</v>
      </c>
      <c r="E358">
        <v>0</v>
      </c>
      <c r="F358">
        <v>0</v>
      </c>
    </row>
    <row r="359" spans="1:6" x14ac:dyDescent="0.35">
      <c r="A359" t="s">
        <v>1958</v>
      </c>
      <c r="B359" t="s">
        <v>156</v>
      </c>
      <c r="C359">
        <v>-643012602424</v>
      </c>
      <c r="D359">
        <v>-289086485462</v>
      </c>
      <c r="E359">
        <v>-13274367075</v>
      </c>
      <c r="F359">
        <v>0</v>
      </c>
    </row>
    <row r="360" spans="1:6" x14ac:dyDescent="0.35">
      <c r="A360" t="s">
        <v>1958</v>
      </c>
      <c r="B360" t="s">
        <v>157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 t="s">
        <v>1958</v>
      </c>
      <c r="B361" t="s">
        <v>158</v>
      </c>
      <c r="C361">
        <v>0</v>
      </c>
      <c r="D361">
        <v>0</v>
      </c>
      <c r="E361">
        <v>0</v>
      </c>
      <c r="F361">
        <v>0</v>
      </c>
    </row>
    <row r="362" spans="1:6" x14ac:dyDescent="0.35">
      <c r="A362" t="s">
        <v>1958</v>
      </c>
      <c r="B362" t="s">
        <v>159</v>
      </c>
      <c r="C362">
        <v>590000000</v>
      </c>
      <c r="D362">
        <v>0</v>
      </c>
      <c r="E362">
        <v>0</v>
      </c>
      <c r="F362">
        <v>200000000</v>
      </c>
    </row>
    <row r="363" spans="1:6" x14ac:dyDescent="0.35">
      <c r="A363" t="s">
        <v>1958</v>
      </c>
      <c r="B363" t="s">
        <v>160</v>
      </c>
      <c r="C363">
        <v>0</v>
      </c>
      <c r="D363">
        <v>0</v>
      </c>
      <c r="E363">
        <v>0</v>
      </c>
      <c r="F363">
        <v>0</v>
      </c>
    </row>
    <row r="364" spans="1:6" x14ac:dyDescent="0.35">
      <c r="A364" t="s">
        <v>1958</v>
      </c>
      <c r="B364" t="s">
        <v>161</v>
      </c>
      <c r="C364">
        <v>61467889892</v>
      </c>
      <c r="D364">
        <v>0</v>
      </c>
      <c r="E364">
        <v>0</v>
      </c>
      <c r="F364">
        <v>0</v>
      </c>
    </row>
    <row r="365" spans="1:6" x14ac:dyDescent="0.35">
      <c r="A365" t="s">
        <v>1958</v>
      </c>
      <c r="B365" t="s">
        <v>162</v>
      </c>
      <c r="C365">
        <v>163385273</v>
      </c>
      <c r="D365">
        <v>104012408</v>
      </c>
      <c r="E365">
        <v>129442717</v>
      </c>
      <c r="F365">
        <v>172486239</v>
      </c>
    </row>
    <row r="366" spans="1:6" x14ac:dyDescent="0.35">
      <c r="A366" t="s">
        <v>1958</v>
      </c>
      <c r="B366" t="s">
        <v>163</v>
      </c>
      <c r="C366">
        <v>-580791327259</v>
      </c>
      <c r="D366">
        <v>-288982473054</v>
      </c>
      <c r="E366">
        <v>-13144924358</v>
      </c>
      <c r="F366">
        <v>372486239</v>
      </c>
    </row>
    <row r="367" spans="1:6" x14ac:dyDescent="0.35">
      <c r="A367" t="s">
        <v>1958</v>
      </c>
      <c r="B367" t="s">
        <v>164</v>
      </c>
      <c r="C367">
        <v>0</v>
      </c>
      <c r="D367">
        <v>0</v>
      </c>
      <c r="E367">
        <v>0</v>
      </c>
      <c r="F367">
        <v>0</v>
      </c>
    </row>
    <row r="368" spans="1:6" x14ac:dyDescent="0.35">
      <c r="A368" t="s">
        <v>1958</v>
      </c>
      <c r="B368" t="s">
        <v>165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 t="s">
        <v>1958</v>
      </c>
      <c r="B369" t="s">
        <v>1977</v>
      </c>
      <c r="C369">
        <v>0</v>
      </c>
      <c r="D369">
        <v>0</v>
      </c>
      <c r="E369">
        <v>0</v>
      </c>
      <c r="F369">
        <v>0</v>
      </c>
    </row>
    <row r="370" spans="1:6" x14ac:dyDescent="0.35">
      <c r="A370" t="s">
        <v>1958</v>
      </c>
      <c r="B370" t="s">
        <v>166</v>
      </c>
      <c r="C370">
        <v>460792924530</v>
      </c>
      <c r="D370">
        <v>315667649603</v>
      </c>
      <c r="E370">
        <v>148299598445</v>
      </c>
      <c r="F370">
        <v>322676583058</v>
      </c>
    </row>
    <row r="371" spans="1:6" x14ac:dyDescent="0.35">
      <c r="A371" t="s">
        <v>1958</v>
      </c>
      <c r="B371" t="s">
        <v>167</v>
      </c>
      <c r="C371">
        <v>-303039277002</v>
      </c>
      <c r="D371">
        <v>-332847519953</v>
      </c>
      <c r="E371">
        <v>-385134912251</v>
      </c>
      <c r="F371">
        <v>-403286557639</v>
      </c>
    </row>
    <row r="372" spans="1:6" x14ac:dyDescent="0.35">
      <c r="A372" t="s">
        <v>1958</v>
      </c>
      <c r="B372" t="s">
        <v>1978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 t="s">
        <v>1958</v>
      </c>
      <c r="B373" t="s">
        <v>168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 t="s">
        <v>1958</v>
      </c>
      <c r="B374" t="s">
        <v>169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 t="s">
        <v>1958</v>
      </c>
      <c r="B375" t="s">
        <v>170</v>
      </c>
      <c r="C375">
        <v>157753647528</v>
      </c>
      <c r="D375">
        <v>-17179870350</v>
      </c>
      <c r="E375">
        <v>-236835313806</v>
      </c>
      <c r="F375">
        <v>-80609974581</v>
      </c>
    </row>
    <row r="376" spans="1:6" x14ac:dyDescent="0.35">
      <c r="A376" t="s">
        <v>1958</v>
      </c>
      <c r="B376" t="s">
        <v>171</v>
      </c>
      <c r="C376">
        <v>-3304175214</v>
      </c>
      <c r="D376">
        <v>19904686412</v>
      </c>
      <c r="E376">
        <v>58622200017</v>
      </c>
      <c r="F376">
        <v>-78625364728</v>
      </c>
    </row>
    <row r="377" spans="1:6" x14ac:dyDescent="0.35">
      <c r="A377" t="s">
        <v>1958</v>
      </c>
      <c r="B377" t="s">
        <v>172</v>
      </c>
      <c r="C377">
        <v>7309911204</v>
      </c>
      <c r="D377">
        <v>4005735990</v>
      </c>
      <c r="E377">
        <v>23910422402</v>
      </c>
      <c r="F377">
        <v>82532622419</v>
      </c>
    </row>
    <row r="378" spans="1:6" x14ac:dyDescent="0.35">
      <c r="A378" t="s">
        <v>1958</v>
      </c>
      <c r="B378" t="s">
        <v>173</v>
      </c>
      <c r="C378">
        <v>0</v>
      </c>
      <c r="D378">
        <v>0</v>
      </c>
      <c r="E378">
        <v>0</v>
      </c>
      <c r="F378">
        <v>0</v>
      </c>
    </row>
    <row r="379" spans="1:6" x14ac:dyDescent="0.35">
      <c r="A379" t="s">
        <v>1958</v>
      </c>
      <c r="B379" t="s">
        <v>174</v>
      </c>
      <c r="C379">
        <v>4005735990</v>
      </c>
      <c r="D379">
        <v>23910422402</v>
      </c>
      <c r="E379">
        <v>82532622419</v>
      </c>
      <c r="F379">
        <v>3907257691</v>
      </c>
    </row>
    <row r="380" spans="1:6" x14ac:dyDescent="0.35">
      <c r="A380" t="s">
        <v>1944</v>
      </c>
      <c r="B380" t="s">
        <v>153</v>
      </c>
      <c r="C380">
        <v>0</v>
      </c>
      <c r="D380">
        <v>0</v>
      </c>
      <c r="E380">
        <v>0</v>
      </c>
      <c r="F380">
        <v>0</v>
      </c>
    </row>
    <row r="381" spans="1:6" x14ac:dyDescent="0.35">
      <c r="A381" t="s">
        <v>1944</v>
      </c>
      <c r="B381" t="s">
        <v>1959</v>
      </c>
      <c r="C381">
        <v>326788417998</v>
      </c>
      <c r="D381">
        <v>337709930087</v>
      </c>
      <c r="E381">
        <v>63346389794</v>
      </c>
      <c r="F381">
        <v>65507365482</v>
      </c>
    </row>
    <row r="382" spans="1:6" x14ac:dyDescent="0.35">
      <c r="A382" t="s">
        <v>1944</v>
      </c>
      <c r="B382" t="s">
        <v>1960</v>
      </c>
      <c r="C382">
        <v>0</v>
      </c>
      <c r="D382">
        <v>0</v>
      </c>
      <c r="E382">
        <v>0</v>
      </c>
      <c r="F382">
        <v>0</v>
      </c>
    </row>
    <row r="383" spans="1:6" x14ac:dyDescent="0.35">
      <c r="A383" t="s">
        <v>1944</v>
      </c>
      <c r="B383" t="s">
        <v>1961</v>
      </c>
      <c r="C383">
        <v>30309153598</v>
      </c>
      <c r="D383">
        <v>42111836942</v>
      </c>
      <c r="E383">
        <v>44579725101</v>
      </c>
      <c r="F383">
        <v>47471722221</v>
      </c>
    </row>
    <row r="384" spans="1:6" x14ac:dyDescent="0.35">
      <c r="A384" t="s">
        <v>1944</v>
      </c>
      <c r="B384" t="s">
        <v>1962</v>
      </c>
      <c r="C384">
        <v>77812238646</v>
      </c>
      <c r="D384">
        <v>-114619534721</v>
      </c>
      <c r="E384">
        <v>11607987494</v>
      </c>
      <c r="F384">
        <v>24718560774</v>
      </c>
    </row>
    <row r="385" spans="1:6" x14ac:dyDescent="0.35">
      <c r="A385" t="s">
        <v>1944</v>
      </c>
      <c r="B385" t="s">
        <v>1963</v>
      </c>
      <c r="C385">
        <v>-1881018585</v>
      </c>
      <c r="D385">
        <v>-3894981496</v>
      </c>
      <c r="E385">
        <v>3909757828</v>
      </c>
      <c r="F385">
        <v>507204761</v>
      </c>
    </row>
    <row r="386" spans="1:6" x14ac:dyDescent="0.35">
      <c r="A386" t="s">
        <v>1944</v>
      </c>
      <c r="B386" t="s">
        <v>1964</v>
      </c>
      <c r="C386">
        <v>-39857589064</v>
      </c>
      <c r="D386">
        <v>-46200403262</v>
      </c>
      <c r="E386">
        <v>-29115514311</v>
      </c>
      <c r="F386">
        <v>-23086111735</v>
      </c>
    </row>
    <row r="387" spans="1:6" x14ac:dyDescent="0.35">
      <c r="A387" t="s">
        <v>1944</v>
      </c>
      <c r="B387" t="s">
        <v>1965</v>
      </c>
      <c r="C387">
        <v>3745330871</v>
      </c>
      <c r="D387">
        <v>5703670871</v>
      </c>
      <c r="E387">
        <v>6097601863</v>
      </c>
      <c r="F387">
        <v>6833786084</v>
      </c>
    </row>
    <row r="388" spans="1:6" x14ac:dyDescent="0.35">
      <c r="A388" t="s">
        <v>1944</v>
      </c>
      <c r="B388" t="s">
        <v>1966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 t="s">
        <v>1944</v>
      </c>
      <c r="B389" t="s">
        <v>1967</v>
      </c>
      <c r="C389">
        <v>396916533464</v>
      </c>
      <c r="D389">
        <v>220810518421</v>
      </c>
      <c r="E389">
        <v>100425947769</v>
      </c>
      <c r="F389">
        <v>121952527587</v>
      </c>
    </row>
    <row r="390" spans="1:6" x14ac:dyDescent="0.35">
      <c r="A390" t="s">
        <v>1944</v>
      </c>
      <c r="B390" t="s">
        <v>1968</v>
      </c>
      <c r="C390">
        <v>-810249736048</v>
      </c>
      <c r="D390">
        <v>-1187679529260</v>
      </c>
      <c r="E390">
        <v>1129077200766</v>
      </c>
      <c r="F390">
        <v>400863090171</v>
      </c>
    </row>
    <row r="391" spans="1:6" x14ac:dyDescent="0.35">
      <c r="A391" t="s">
        <v>1944</v>
      </c>
      <c r="B391" t="s">
        <v>1969</v>
      </c>
      <c r="C391">
        <v>418061551400</v>
      </c>
      <c r="D391">
        <v>-137377935357</v>
      </c>
      <c r="E391">
        <v>212868681380</v>
      </c>
      <c r="F391">
        <v>15019200209</v>
      </c>
    </row>
    <row r="392" spans="1:6" x14ac:dyDescent="0.35">
      <c r="A392" t="s">
        <v>1944</v>
      </c>
      <c r="B392" t="s">
        <v>1970</v>
      </c>
      <c r="C392">
        <v>550051594836</v>
      </c>
      <c r="D392">
        <v>921836287372</v>
      </c>
      <c r="E392">
        <v>-1400934202619</v>
      </c>
      <c r="F392">
        <v>-654707862223</v>
      </c>
    </row>
    <row r="393" spans="1:6" x14ac:dyDescent="0.35">
      <c r="A393" t="s">
        <v>1944</v>
      </c>
      <c r="B393" t="s">
        <v>1971</v>
      </c>
      <c r="C393">
        <v>-2841091673</v>
      </c>
      <c r="D393">
        <v>-3349372162</v>
      </c>
      <c r="E393">
        <v>893746511</v>
      </c>
      <c r="F393">
        <v>-2873304276</v>
      </c>
    </row>
    <row r="394" spans="1:6" x14ac:dyDescent="0.35">
      <c r="A394" t="s">
        <v>1944</v>
      </c>
      <c r="B394" t="s">
        <v>1972</v>
      </c>
      <c r="C394">
        <v>0</v>
      </c>
      <c r="D394">
        <v>0</v>
      </c>
      <c r="E394">
        <v>0</v>
      </c>
      <c r="F394">
        <v>0</v>
      </c>
    </row>
    <row r="395" spans="1:6" x14ac:dyDescent="0.35">
      <c r="A395" t="s">
        <v>1944</v>
      </c>
      <c r="B395" t="s">
        <v>1973</v>
      </c>
      <c r="C395">
        <v>-3206673764</v>
      </c>
      <c r="D395">
        <v>-5162781590</v>
      </c>
      <c r="E395">
        <v>-5659918688</v>
      </c>
      <c r="F395">
        <v>-8937917933</v>
      </c>
    </row>
    <row r="396" spans="1:6" x14ac:dyDescent="0.35">
      <c r="A396" t="s">
        <v>1944</v>
      </c>
      <c r="B396" t="s">
        <v>1974</v>
      </c>
      <c r="C396">
        <v>-28122529338</v>
      </c>
      <c r="D396">
        <v>-68632734881</v>
      </c>
      <c r="E396">
        <v>-25411381322</v>
      </c>
      <c r="F396">
        <v>-11979879549</v>
      </c>
    </row>
    <row r="397" spans="1:6" x14ac:dyDescent="0.35">
      <c r="A397" t="s">
        <v>1944</v>
      </c>
      <c r="B397" t="s">
        <v>1975</v>
      </c>
      <c r="C397">
        <v>18780000</v>
      </c>
      <c r="D397">
        <v>0</v>
      </c>
      <c r="E397">
        <v>119453651</v>
      </c>
      <c r="F397">
        <v>50000000</v>
      </c>
    </row>
    <row r="398" spans="1:6" x14ac:dyDescent="0.35">
      <c r="A398" t="s">
        <v>1944</v>
      </c>
      <c r="B398" t="s">
        <v>1976</v>
      </c>
      <c r="C398">
        <v>-19111997685</v>
      </c>
      <c r="D398">
        <v>-13317632577</v>
      </c>
      <c r="E398">
        <v>-3262195589</v>
      </c>
      <c r="F398">
        <v>-9092252378</v>
      </c>
    </row>
    <row r="399" spans="1:6" x14ac:dyDescent="0.35">
      <c r="A399" t="s">
        <v>1944</v>
      </c>
      <c r="B399" t="s">
        <v>154</v>
      </c>
      <c r="C399">
        <v>501516431192</v>
      </c>
      <c r="D399">
        <v>-272873180034</v>
      </c>
      <c r="E399">
        <v>8117331859</v>
      </c>
      <c r="F399">
        <v>-149706398392</v>
      </c>
    </row>
    <row r="400" spans="1:6" x14ac:dyDescent="0.35">
      <c r="A400" t="s">
        <v>1944</v>
      </c>
      <c r="B400" t="s">
        <v>155</v>
      </c>
      <c r="C400">
        <v>0</v>
      </c>
      <c r="D400">
        <v>0</v>
      </c>
      <c r="E400">
        <v>0</v>
      </c>
      <c r="F400">
        <v>0</v>
      </c>
    </row>
    <row r="401" spans="1:6" x14ac:dyDescent="0.35">
      <c r="A401" t="s">
        <v>1944</v>
      </c>
      <c r="B401" t="s">
        <v>156</v>
      </c>
      <c r="C401">
        <v>-144219555759</v>
      </c>
      <c r="D401">
        <v>-80248659170</v>
      </c>
      <c r="E401">
        <v>-43436415972</v>
      </c>
      <c r="F401">
        <v>-20544575231</v>
      </c>
    </row>
    <row r="402" spans="1:6" x14ac:dyDescent="0.35">
      <c r="A402" t="s">
        <v>1944</v>
      </c>
      <c r="B402" t="s">
        <v>157</v>
      </c>
      <c r="C402">
        <v>911997843</v>
      </c>
      <c r="D402">
        <v>0</v>
      </c>
      <c r="E402">
        <v>23400000</v>
      </c>
      <c r="F402">
        <v>23400000</v>
      </c>
    </row>
    <row r="403" spans="1:6" x14ac:dyDescent="0.35">
      <c r="A403" t="s">
        <v>1944</v>
      </c>
      <c r="B403" t="s">
        <v>158</v>
      </c>
      <c r="C403">
        <v>-788500000000</v>
      </c>
      <c r="D403">
        <v>-417534492305</v>
      </c>
      <c r="E403">
        <v>-106000000000</v>
      </c>
      <c r="F403">
        <v>-78000000000</v>
      </c>
    </row>
    <row r="404" spans="1:6" x14ac:dyDescent="0.35">
      <c r="A404" t="s">
        <v>1944</v>
      </c>
      <c r="B404" t="s">
        <v>159</v>
      </c>
      <c r="C404">
        <v>654200000000</v>
      </c>
      <c r="D404">
        <v>867200000000</v>
      </c>
      <c r="E404">
        <v>154034492305</v>
      </c>
      <c r="F404">
        <v>79000000000</v>
      </c>
    </row>
    <row r="405" spans="1:6" x14ac:dyDescent="0.35">
      <c r="A405" t="s">
        <v>1944</v>
      </c>
      <c r="B405" t="s">
        <v>160</v>
      </c>
      <c r="C405">
        <v>-87804000000</v>
      </c>
      <c r="D405">
        <v>-153571000000</v>
      </c>
      <c r="E405">
        <v>-75597250000</v>
      </c>
      <c r="F405">
        <v>-4122400000</v>
      </c>
    </row>
    <row r="406" spans="1:6" x14ac:dyDescent="0.35">
      <c r="A406" t="s">
        <v>1944</v>
      </c>
      <c r="B406" t="s">
        <v>161</v>
      </c>
      <c r="C406">
        <v>0</v>
      </c>
      <c r="D406">
        <v>0</v>
      </c>
      <c r="E406">
        <v>0</v>
      </c>
      <c r="F406">
        <v>0</v>
      </c>
    </row>
    <row r="407" spans="1:6" x14ac:dyDescent="0.35">
      <c r="A407" t="s">
        <v>1944</v>
      </c>
      <c r="B407" t="s">
        <v>162</v>
      </c>
      <c r="C407">
        <v>40669967745</v>
      </c>
      <c r="D407">
        <v>29326914799</v>
      </c>
      <c r="E407">
        <v>13919789315</v>
      </c>
      <c r="F407">
        <v>14146864719</v>
      </c>
    </row>
    <row r="408" spans="1:6" x14ac:dyDescent="0.35">
      <c r="A408" t="s">
        <v>1944</v>
      </c>
      <c r="B408" t="s">
        <v>163</v>
      </c>
      <c r="C408">
        <v>-324741590171</v>
      </c>
      <c r="D408">
        <v>245172763324</v>
      </c>
      <c r="E408">
        <v>-57055984352</v>
      </c>
      <c r="F408">
        <v>-9520110512</v>
      </c>
    </row>
    <row r="409" spans="1:6" x14ac:dyDescent="0.35">
      <c r="A409" t="s">
        <v>1944</v>
      </c>
      <c r="B409" t="s">
        <v>164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 t="s">
        <v>1944</v>
      </c>
      <c r="B410" t="s">
        <v>165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 t="s">
        <v>1944</v>
      </c>
      <c r="B411" t="s">
        <v>1977</v>
      </c>
      <c r="C411">
        <v>0</v>
      </c>
      <c r="D411">
        <v>0</v>
      </c>
      <c r="E411">
        <v>0</v>
      </c>
      <c r="F411">
        <v>0</v>
      </c>
    </row>
    <row r="412" spans="1:6" x14ac:dyDescent="0.35">
      <c r="A412" t="s">
        <v>1944</v>
      </c>
      <c r="B412" t="s">
        <v>166</v>
      </c>
      <c r="C412">
        <v>388028847942</v>
      </c>
      <c r="D412">
        <v>652022328605</v>
      </c>
      <c r="E412">
        <v>291843219888</v>
      </c>
      <c r="F412">
        <v>310400680523</v>
      </c>
    </row>
    <row r="413" spans="1:6" x14ac:dyDescent="0.35">
      <c r="A413" t="s">
        <v>1944</v>
      </c>
      <c r="B413" t="s">
        <v>167</v>
      </c>
      <c r="C413">
        <v>-450463065259</v>
      </c>
      <c r="D413">
        <v>-570994848812</v>
      </c>
      <c r="E413">
        <v>-321444747674</v>
      </c>
      <c r="F413">
        <v>-223614947132</v>
      </c>
    </row>
    <row r="414" spans="1:6" x14ac:dyDescent="0.35">
      <c r="A414" t="s">
        <v>1944</v>
      </c>
      <c r="B414" t="s">
        <v>1978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 t="s">
        <v>1944</v>
      </c>
      <c r="B415" t="s">
        <v>168</v>
      </c>
      <c r="C415">
        <v>-74165000</v>
      </c>
      <c r="D415">
        <v>-35226385900</v>
      </c>
      <c r="E415">
        <v>-44874869000</v>
      </c>
      <c r="F415">
        <v>-68825600</v>
      </c>
    </row>
    <row r="416" spans="1:6" x14ac:dyDescent="0.35">
      <c r="A416" t="s">
        <v>1944</v>
      </c>
      <c r="B416" t="s">
        <v>169</v>
      </c>
      <c r="C416">
        <v>0</v>
      </c>
      <c r="D416">
        <v>0</v>
      </c>
      <c r="E416">
        <v>0</v>
      </c>
      <c r="F416">
        <v>0</v>
      </c>
    </row>
    <row r="417" spans="1:6" x14ac:dyDescent="0.35">
      <c r="A417" t="s">
        <v>1944</v>
      </c>
      <c r="B417" t="s">
        <v>170</v>
      </c>
      <c r="C417">
        <v>-62508382317</v>
      </c>
      <c r="D417">
        <v>45801093893</v>
      </c>
      <c r="E417">
        <v>-74476396786</v>
      </c>
      <c r="F417">
        <v>86716907791</v>
      </c>
    </row>
    <row r="418" spans="1:6" x14ac:dyDescent="0.35">
      <c r="A418" t="s">
        <v>1944</v>
      </c>
      <c r="B418" t="s">
        <v>171</v>
      </c>
      <c r="C418">
        <v>114266458704</v>
      </c>
      <c r="D418">
        <v>18100677183</v>
      </c>
      <c r="E418">
        <v>-123415049279</v>
      </c>
      <c r="F418">
        <v>-72509601113</v>
      </c>
    </row>
    <row r="419" spans="1:6" x14ac:dyDescent="0.35">
      <c r="A419" t="s">
        <v>1944</v>
      </c>
      <c r="B419" t="s">
        <v>172</v>
      </c>
      <c r="C419">
        <v>188362289302</v>
      </c>
      <c r="D419">
        <v>302027563394</v>
      </c>
      <c r="E419">
        <v>319646400604</v>
      </c>
      <c r="F419">
        <v>198299196901</v>
      </c>
    </row>
    <row r="420" spans="1:6" x14ac:dyDescent="0.35">
      <c r="A420" t="s">
        <v>1944</v>
      </c>
      <c r="B420" t="s">
        <v>173</v>
      </c>
      <c r="C420">
        <v>-601184612</v>
      </c>
      <c r="D420">
        <v>-481839973</v>
      </c>
      <c r="E420">
        <v>2067845576</v>
      </c>
      <c r="F420">
        <v>1539436135</v>
      </c>
    </row>
    <row r="421" spans="1:6" x14ac:dyDescent="0.35">
      <c r="A421" t="s">
        <v>1944</v>
      </c>
      <c r="B421" t="s">
        <v>174</v>
      </c>
      <c r="C421">
        <v>302027563394</v>
      </c>
      <c r="D421">
        <v>319646400604</v>
      </c>
      <c r="E421">
        <v>198299196901</v>
      </c>
      <c r="F421">
        <v>127329031923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7277-7C04-4F29-921A-E562424D2325}">
  <dimension ref="A1:F231"/>
  <sheetViews>
    <sheetView topLeftCell="A44" workbookViewId="0">
      <selection activeCell="C13" sqref="C13"/>
    </sheetView>
  </sheetViews>
  <sheetFormatPr defaultRowHeight="14.5" x14ac:dyDescent="0.35"/>
  <cols>
    <col min="1" max="1" width="16.453125" bestFit="1" customWidth="1"/>
    <col min="2" max="2" width="64.54296875" bestFit="1" customWidth="1"/>
    <col min="3" max="6" width="12.453125" bestFit="1" customWidth="1"/>
  </cols>
  <sheetData>
    <row r="1" spans="1:6" x14ac:dyDescent="0.35">
      <c r="A1" t="s">
        <v>0</v>
      </c>
      <c r="B1" t="s">
        <v>175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1936</v>
      </c>
      <c r="B2" t="s">
        <v>176</v>
      </c>
      <c r="C2">
        <v>12641344565991</v>
      </c>
      <c r="D2">
        <v>11465148423135</v>
      </c>
      <c r="E2">
        <v>0</v>
      </c>
      <c r="F2">
        <v>0</v>
      </c>
    </row>
    <row r="3" spans="1:6" x14ac:dyDescent="0.35">
      <c r="A3" t="s">
        <v>1936</v>
      </c>
      <c r="B3" t="s">
        <v>177</v>
      </c>
      <c r="C3">
        <v>116730754134</v>
      </c>
      <c r="D3">
        <v>67222510681</v>
      </c>
      <c r="E3">
        <v>0</v>
      </c>
      <c r="F3">
        <v>0</v>
      </c>
    </row>
    <row r="4" spans="1:6" x14ac:dyDescent="0.35">
      <c r="A4" t="s">
        <v>1936</v>
      </c>
      <c r="B4" t="s">
        <v>178</v>
      </c>
      <c r="C4">
        <v>12524613811857</v>
      </c>
      <c r="D4">
        <v>11397925912454</v>
      </c>
      <c r="E4">
        <v>0</v>
      </c>
      <c r="F4">
        <v>0</v>
      </c>
    </row>
    <row r="5" spans="1:6" x14ac:dyDescent="0.35">
      <c r="A5" t="s">
        <v>1936</v>
      </c>
      <c r="B5" t="s">
        <v>179</v>
      </c>
      <c r="C5">
        <v>11174196208444</v>
      </c>
      <c r="D5">
        <v>10098311058303</v>
      </c>
      <c r="E5">
        <v>0</v>
      </c>
      <c r="F5">
        <v>0</v>
      </c>
    </row>
    <row r="6" spans="1:6" x14ac:dyDescent="0.35">
      <c r="A6" t="s">
        <v>1936</v>
      </c>
      <c r="B6" t="s">
        <v>180</v>
      </c>
      <c r="C6">
        <v>1350417603413</v>
      </c>
      <c r="D6">
        <v>1299614854151</v>
      </c>
      <c r="E6">
        <v>0</v>
      </c>
      <c r="F6">
        <v>0</v>
      </c>
    </row>
    <row r="7" spans="1:6" x14ac:dyDescent="0.35">
      <c r="A7" t="s">
        <v>1936</v>
      </c>
      <c r="B7" t="s">
        <v>181</v>
      </c>
      <c r="C7">
        <v>232360452111</v>
      </c>
      <c r="D7">
        <v>200488549062</v>
      </c>
      <c r="E7">
        <v>0</v>
      </c>
      <c r="F7">
        <v>0</v>
      </c>
    </row>
    <row r="8" spans="1:6" x14ac:dyDescent="0.35">
      <c r="A8" t="s">
        <v>1936</v>
      </c>
      <c r="B8" t="s">
        <v>182</v>
      </c>
      <c r="C8">
        <v>534709026110</v>
      </c>
      <c r="D8">
        <v>463008189278</v>
      </c>
      <c r="E8">
        <v>0</v>
      </c>
      <c r="F8">
        <v>0</v>
      </c>
    </row>
    <row r="9" spans="1:6" x14ac:dyDescent="0.35">
      <c r="A9" t="s">
        <v>1936</v>
      </c>
      <c r="B9" t="s">
        <v>183</v>
      </c>
      <c r="C9">
        <v>518022543070</v>
      </c>
      <c r="D9">
        <v>445545332734</v>
      </c>
      <c r="E9">
        <v>0</v>
      </c>
      <c r="F9">
        <v>0</v>
      </c>
    </row>
    <row r="10" spans="1:6" x14ac:dyDescent="0.35">
      <c r="A10" t="s">
        <v>1936</v>
      </c>
      <c r="B10" t="s">
        <v>184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t="s">
        <v>1936</v>
      </c>
      <c r="B11" t="s">
        <v>185</v>
      </c>
      <c r="C11">
        <v>199682041549</v>
      </c>
      <c r="D11">
        <v>236820091115</v>
      </c>
      <c r="E11">
        <v>0</v>
      </c>
      <c r="F11">
        <v>0</v>
      </c>
    </row>
    <row r="12" spans="1:6" x14ac:dyDescent="0.35">
      <c r="A12" t="s">
        <v>1936</v>
      </c>
      <c r="B12" t="s">
        <v>186</v>
      </c>
      <c r="C12">
        <v>226555585232</v>
      </c>
      <c r="D12">
        <v>190895614951</v>
      </c>
      <c r="E12">
        <v>0</v>
      </c>
      <c r="F12">
        <v>0</v>
      </c>
    </row>
    <row r="13" spans="1:6" x14ac:dyDescent="0.35">
      <c r="A13" t="s">
        <v>1936</v>
      </c>
      <c r="B13" t="s">
        <v>187</v>
      </c>
      <c r="C13">
        <v>621831402633</v>
      </c>
      <c r="D13">
        <v>609379507869</v>
      </c>
      <c r="E13">
        <v>0</v>
      </c>
      <c r="F13">
        <v>0</v>
      </c>
    </row>
    <row r="14" spans="1:6" x14ac:dyDescent="0.35">
      <c r="A14" t="s">
        <v>1936</v>
      </c>
      <c r="B14" t="s">
        <v>188</v>
      </c>
      <c r="C14">
        <v>9105254803</v>
      </c>
      <c r="D14">
        <v>207770163024</v>
      </c>
      <c r="E14">
        <v>0</v>
      </c>
      <c r="F14">
        <v>0</v>
      </c>
    </row>
    <row r="15" spans="1:6" x14ac:dyDescent="0.35">
      <c r="A15" t="s">
        <v>1936</v>
      </c>
      <c r="B15" t="s">
        <v>189</v>
      </c>
      <c r="C15">
        <v>6631214547</v>
      </c>
      <c r="D15">
        <v>30853379096</v>
      </c>
      <c r="E15">
        <v>0</v>
      </c>
      <c r="F15">
        <v>0</v>
      </c>
    </row>
    <row r="16" spans="1:6" x14ac:dyDescent="0.35">
      <c r="A16" t="s">
        <v>1936</v>
      </c>
      <c r="B16" t="s">
        <v>190</v>
      </c>
      <c r="C16">
        <v>2474040256</v>
      </c>
      <c r="D16">
        <v>176916783928</v>
      </c>
      <c r="E16">
        <v>0</v>
      </c>
      <c r="F16">
        <v>0</v>
      </c>
    </row>
    <row r="17" spans="1:6" x14ac:dyDescent="0.35">
      <c r="A17" t="s">
        <v>1936</v>
      </c>
      <c r="B17" t="s">
        <v>191</v>
      </c>
      <c r="C17">
        <v>624305442889</v>
      </c>
      <c r="D17">
        <v>786296291797</v>
      </c>
      <c r="E17">
        <v>0</v>
      </c>
      <c r="F17">
        <v>0</v>
      </c>
    </row>
    <row r="18" spans="1:6" x14ac:dyDescent="0.35">
      <c r="A18" t="s">
        <v>1936</v>
      </c>
      <c r="B18" t="s">
        <v>192</v>
      </c>
      <c r="C18">
        <v>50355245844</v>
      </c>
      <c r="D18">
        <v>85280470589</v>
      </c>
      <c r="E18">
        <v>0</v>
      </c>
      <c r="F18">
        <v>0</v>
      </c>
    </row>
    <row r="19" spans="1:6" x14ac:dyDescent="0.35">
      <c r="A19" t="s">
        <v>1936</v>
      </c>
      <c r="B19" t="s">
        <v>193</v>
      </c>
      <c r="C19">
        <v>1592929337</v>
      </c>
      <c r="D19">
        <v>-2871797402</v>
      </c>
      <c r="E19">
        <v>0</v>
      </c>
      <c r="F19">
        <v>0</v>
      </c>
    </row>
    <row r="20" spans="1:6" x14ac:dyDescent="0.35">
      <c r="A20" t="s">
        <v>1936</v>
      </c>
      <c r="B20" t="s">
        <v>194</v>
      </c>
      <c r="C20">
        <v>572357267708</v>
      </c>
      <c r="D20">
        <v>703887618610</v>
      </c>
      <c r="E20">
        <v>0</v>
      </c>
      <c r="F20">
        <v>0</v>
      </c>
    </row>
    <row r="21" spans="1:6" x14ac:dyDescent="0.35">
      <c r="A21" t="s">
        <v>1936</v>
      </c>
      <c r="B21" t="s">
        <v>195</v>
      </c>
      <c r="C21">
        <v>475463677442</v>
      </c>
      <c r="D21">
        <v>600436710886</v>
      </c>
      <c r="E21">
        <v>0</v>
      </c>
      <c r="F21">
        <v>0</v>
      </c>
    </row>
    <row r="22" spans="1:6" x14ac:dyDescent="0.35">
      <c r="A22" t="s">
        <v>1936</v>
      </c>
      <c r="B22" t="s">
        <v>196</v>
      </c>
      <c r="C22">
        <v>96893590266</v>
      </c>
      <c r="D22">
        <v>103450907724</v>
      </c>
      <c r="E22">
        <v>0</v>
      </c>
      <c r="F22">
        <v>0</v>
      </c>
    </row>
    <row r="23" spans="1:6" x14ac:dyDescent="0.35">
      <c r="A23" t="s">
        <v>1936</v>
      </c>
      <c r="B23" t="s">
        <v>197</v>
      </c>
      <c r="C23">
        <v>1837</v>
      </c>
      <c r="D23">
        <v>2319</v>
      </c>
      <c r="E23">
        <v>0</v>
      </c>
      <c r="F23">
        <v>0</v>
      </c>
    </row>
    <row r="24" spans="1:6" x14ac:dyDescent="0.35">
      <c r="A24" t="s">
        <v>1936</v>
      </c>
      <c r="B24" t="s">
        <v>198</v>
      </c>
      <c r="C24">
        <v>1837</v>
      </c>
      <c r="D24">
        <v>1546</v>
      </c>
      <c r="E24">
        <v>0</v>
      </c>
      <c r="F24">
        <v>0</v>
      </c>
    </row>
    <row r="25" spans="1:6" x14ac:dyDescent="0.35">
      <c r="A25" t="s">
        <v>1937</v>
      </c>
      <c r="B25" t="s">
        <v>176</v>
      </c>
      <c r="C25">
        <v>1855006595313</v>
      </c>
      <c r="D25">
        <v>2618253996316</v>
      </c>
      <c r="E25">
        <v>4595934767679</v>
      </c>
      <c r="F25">
        <v>4112374748419</v>
      </c>
    </row>
    <row r="26" spans="1:6" x14ac:dyDescent="0.35">
      <c r="A26" t="s">
        <v>1937</v>
      </c>
      <c r="B26" t="s">
        <v>177</v>
      </c>
      <c r="C26">
        <v>61675185</v>
      </c>
      <c r="D26">
        <v>28795402541</v>
      </c>
      <c r="E26">
        <v>64741593534</v>
      </c>
      <c r="F26">
        <v>100215858113</v>
      </c>
    </row>
    <row r="27" spans="1:6" x14ac:dyDescent="0.35">
      <c r="A27" t="s">
        <v>1937</v>
      </c>
      <c r="B27" t="s">
        <v>178</v>
      </c>
      <c r="C27">
        <v>1854944920128</v>
      </c>
      <c r="D27">
        <v>2589458593775</v>
      </c>
      <c r="E27">
        <v>4531193174145</v>
      </c>
      <c r="F27">
        <v>4012158890306</v>
      </c>
    </row>
    <row r="28" spans="1:6" x14ac:dyDescent="0.35">
      <c r="A28" t="s">
        <v>1937</v>
      </c>
      <c r="B28" t="s">
        <v>179</v>
      </c>
      <c r="C28">
        <v>1434689298404</v>
      </c>
      <c r="D28">
        <v>1650466787299</v>
      </c>
      <c r="E28">
        <v>3211621946872</v>
      </c>
      <c r="F28">
        <v>2812461806552</v>
      </c>
    </row>
    <row r="29" spans="1:6" x14ac:dyDescent="0.35">
      <c r="A29" t="s">
        <v>1937</v>
      </c>
      <c r="B29" t="s">
        <v>180</v>
      </c>
      <c r="C29">
        <v>420255621724</v>
      </c>
      <c r="D29">
        <v>938991806476</v>
      </c>
      <c r="E29">
        <v>1319571227273</v>
      </c>
      <c r="F29">
        <v>1199697083754</v>
      </c>
    </row>
    <row r="30" spans="1:6" x14ac:dyDescent="0.35">
      <c r="A30" t="s">
        <v>1937</v>
      </c>
      <c r="B30" t="s">
        <v>181</v>
      </c>
      <c r="C30">
        <v>854305930333</v>
      </c>
      <c r="D30">
        <v>2346063057042</v>
      </c>
      <c r="E30">
        <v>2548093885636</v>
      </c>
      <c r="F30">
        <v>2087198400598</v>
      </c>
    </row>
    <row r="31" spans="1:6" x14ac:dyDescent="0.35">
      <c r="A31" t="s">
        <v>1937</v>
      </c>
      <c r="B31" t="s">
        <v>182</v>
      </c>
      <c r="C31">
        <v>554636710060</v>
      </c>
      <c r="D31">
        <v>1483743470592</v>
      </c>
      <c r="E31">
        <v>2401761378741</v>
      </c>
      <c r="F31">
        <v>2396172246990</v>
      </c>
    </row>
    <row r="32" spans="1:6" x14ac:dyDescent="0.35">
      <c r="A32" t="s">
        <v>1937</v>
      </c>
      <c r="B32" t="s">
        <v>183</v>
      </c>
      <c r="C32">
        <v>302906288145</v>
      </c>
      <c r="D32">
        <v>1012043165222</v>
      </c>
      <c r="E32">
        <v>1434853960245</v>
      </c>
      <c r="F32">
        <v>1582466411424</v>
      </c>
    </row>
    <row r="33" spans="1:6" x14ac:dyDescent="0.35">
      <c r="A33" t="s">
        <v>1937</v>
      </c>
      <c r="B33" t="s">
        <v>184</v>
      </c>
      <c r="C33">
        <v>-52390007604</v>
      </c>
      <c r="D33">
        <v>-56409574561</v>
      </c>
      <c r="E33">
        <v>50582466</v>
      </c>
      <c r="F33">
        <v>-35203331204</v>
      </c>
    </row>
    <row r="34" spans="1:6" x14ac:dyDescent="0.35">
      <c r="A34" t="s">
        <v>1937</v>
      </c>
      <c r="B34" t="s">
        <v>185</v>
      </c>
      <c r="C34">
        <v>110384533662</v>
      </c>
      <c r="D34">
        <v>98413395312</v>
      </c>
      <c r="E34">
        <v>215786591177</v>
      </c>
      <c r="F34">
        <v>192306085574</v>
      </c>
    </row>
    <row r="35" spans="1:6" x14ac:dyDescent="0.35">
      <c r="A35" t="s">
        <v>1937</v>
      </c>
      <c r="B35" t="s">
        <v>186</v>
      </c>
      <c r="C35">
        <v>222506858853</v>
      </c>
      <c r="D35">
        <v>369133623849</v>
      </c>
      <c r="E35">
        <v>483455987491</v>
      </c>
      <c r="F35">
        <v>449868785732</v>
      </c>
    </row>
    <row r="36" spans="1:6" x14ac:dyDescent="0.35">
      <c r="A36" t="s">
        <v>1937</v>
      </c>
      <c r="B36" t="s">
        <v>187</v>
      </c>
      <c r="C36">
        <v>334643441878</v>
      </c>
      <c r="D36">
        <v>1277354799204</v>
      </c>
      <c r="E36">
        <v>766711737966</v>
      </c>
      <c r="F36">
        <v>213345034852</v>
      </c>
    </row>
    <row r="37" spans="1:6" x14ac:dyDescent="0.35">
      <c r="A37" t="s">
        <v>1937</v>
      </c>
      <c r="B37" t="s">
        <v>188</v>
      </c>
      <c r="C37">
        <v>12260760294</v>
      </c>
      <c r="D37">
        <v>11749421741</v>
      </c>
      <c r="E37">
        <v>44714922024</v>
      </c>
      <c r="F37">
        <v>69983442479</v>
      </c>
    </row>
    <row r="38" spans="1:6" x14ac:dyDescent="0.35">
      <c r="A38" t="s">
        <v>1937</v>
      </c>
      <c r="B38" t="s">
        <v>189</v>
      </c>
      <c r="C38">
        <v>13655214226</v>
      </c>
      <c r="D38">
        <v>23145374511</v>
      </c>
      <c r="E38">
        <v>21191509543</v>
      </c>
      <c r="F38">
        <v>31963493068</v>
      </c>
    </row>
    <row r="39" spans="1:6" x14ac:dyDescent="0.35">
      <c r="A39" t="s">
        <v>1937</v>
      </c>
      <c r="B39" t="s">
        <v>190</v>
      </c>
      <c r="C39">
        <v>-1394453932</v>
      </c>
      <c r="D39">
        <v>-11395952770</v>
      </c>
      <c r="E39">
        <v>23523412481</v>
      </c>
      <c r="F39">
        <v>38019949411</v>
      </c>
    </row>
    <row r="40" spans="1:6" x14ac:dyDescent="0.35">
      <c r="A40" t="s">
        <v>1937</v>
      </c>
      <c r="B40" t="s">
        <v>191</v>
      </c>
      <c r="C40">
        <v>333248987946</v>
      </c>
      <c r="D40">
        <v>1265958846434</v>
      </c>
      <c r="E40">
        <v>790235150447</v>
      </c>
      <c r="F40">
        <v>251364984263</v>
      </c>
    </row>
    <row r="41" spans="1:6" x14ac:dyDescent="0.35">
      <c r="A41" t="s">
        <v>1937</v>
      </c>
      <c r="B41" t="s">
        <v>192</v>
      </c>
      <c r="C41">
        <v>88019998348</v>
      </c>
      <c r="D41">
        <v>252025403877</v>
      </c>
      <c r="E41">
        <v>216053166535</v>
      </c>
      <c r="F41">
        <v>98728402369</v>
      </c>
    </row>
    <row r="42" spans="1:6" x14ac:dyDescent="0.35">
      <c r="A42" t="s">
        <v>1937</v>
      </c>
      <c r="B42" t="s">
        <v>193</v>
      </c>
      <c r="C42">
        <v>-21190190979</v>
      </c>
      <c r="D42">
        <v>13590810341</v>
      </c>
      <c r="E42">
        <v>33489231668</v>
      </c>
      <c r="F42">
        <v>-18440753399</v>
      </c>
    </row>
    <row r="43" spans="1:6" x14ac:dyDescent="0.35">
      <c r="A43" t="s">
        <v>1937</v>
      </c>
      <c r="B43" t="s">
        <v>194</v>
      </c>
      <c r="C43">
        <v>266419180577</v>
      </c>
      <c r="D43">
        <v>1000342632216</v>
      </c>
      <c r="E43">
        <v>540692752244</v>
      </c>
      <c r="F43">
        <v>171077335293</v>
      </c>
    </row>
    <row r="44" spans="1:6" x14ac:dyDescent="0.35">
      <c r="A44" t="s">
        <v>1937</v>
      </c>
      <c r="B44" t="s">
        <v>195</v>
      </c>
      <c r="C44">
        <v>211326903012</v>
      </c>
      <c r="D44">
        <v>608930201135</v>
      </c>
      <c r="E44">
        <v>349549655182</v>
      </c>
      <c r="F44">
        <v>58983129855</v>
      </c>
    </row>
    <row r="45" spans="1:6" x14ac:dyDescent="0.35">
      <c r="A45" t="s">
        <v>1937</v>
      </c>
      <c r="B45" t="s">
        <v>196</v>
      </c>
      <c r="C45">
        <v>55092277565</v>
      </c>
      <c r="D45">
        <v>391412431081</v>
      </c>
      <c r="E45">
        <v>191143097062</v>
      </c>
      <c r="F45">
        <v>112094205438</v>
      </c>
    </row>
    <row r="46" spans="1:6" x14ac:dyDescent="0.35">
      <c r="A46" t="s">
        <v>1937</v>
      </c>
      <c r="B46" t="s">
        <v>197</v>
      </c>
      <c r="C46">
        <v>1803</v>
      </c>
      <c r="D46">
        <v>2678</v>
      </c>
      <c r="E46">
        <v>715</v>
      </c>
      <c r="F46">
        <v>111</v>
      </c>
    </row>
    <row r="47" spans="1:6" x14ac:dyDescent="0.35">
      <c r="A47" t="s">
        <v>1937</v>
      </c>
      <c r="B47" t="s">
        <v>198</v>
      </c>
      <c r="C47">
        <v>1803</v>
      </c>
      <c r="D47">
        <v>2678</v>
      </c>
      <c r="E47">
        <v>715</v>
      </c>
      <c r="F47">
        <v>111</v>
      </c>
    </row>
    <row r="48" spans="1:6" x14ac:dyDescent="0.35">
      <c r="A48" t="s">
        <v>1938</v>
      </c>
      <c r="B48" t="s">
        <v>176</v>
      </c>
      <c r="C48">
        <v>3154193828244</v>
      </c>
      <c r="D48">
        <v>3484219388593</v>
      </c>
      <c r="E48">
        <v>3045529728963</v>
      </c>
      <c r="F48">
        <v>2879566997423</v>
      </c>
    </row>
    <row r="49" spans="1:6" x14ac:dyDescent="0.35">
      <c r="A49" t="s">
        <v>1938</v>
      </c>
      <c r="B49" t="s">
        <v>177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t="s">
        <v>1938</v>
      </c>
      <c r="B50" t="s">
        <v>178</v>
      </c>
      <c r="C50">
        <v>3154193828244</v>
      </c>
      <c r="D50">
        <v>3484219388593</v>
      </c>
      <c r="E50">
        <v>3045529728963</v>
      </c>
      <c r="F50">
        <v>2879566997423</v>
      </c>
    </row>
    <row r="51" spans="1:6" x14ac:dyDescent="0.35">
      <c r="A51" t="s">
        <v>1938</v>
      </c>
      <c r="B51" t="s">
        <v>179</v>
      </c>
      <c r="C51">
        <v>2680784968097</v>
      </c>
      <c r="D51">
        <v>3014506972691</v>
      </c>
      <c r="E51">
        <v>2689278212092</v>
      </c>
      <c r="F51">
        <v>2394328083603</v>
      </c>
    </row>
    <row r="52" spans="1:6" x14ac:dyDescent="0.35">
      <c r="A52" t="s">
        <v>1938</v>
      </c>
      <c r="B52" t="s">
        <v>180</v>
      </c>
      <c r="C52">
        <v>473408860147</v>
      </c>
      <c r="D52">
        <v>469712415902</v>
      </c>
      <c r="E52">
        <v>356251516871</v>
      </c>
      <c r="F52">
        <v>485238913820</v>
      </c>
    </row>
    <row r="53" spans="1:6" x14ac:dyDescent="0.35">
      <c r="A53" t="s">
        <v>1938</v>
      </c>
      <c r="B53" t="s">
        <v>181</v>
      </c>
      <c r="C53">
        <v>15188765569</v>
      </c>
      <c r="D53">
        <v>18943155701</v>
      </c>
      <c r="E53">
        <v>168600604996</v>
      </c>
      <c r="F53">
        <v>23388527153</v>
      </c>
    </row>
    <row r="54" spans="1:6" x14ac:dyDescent="0.35">
      <c r="A54" t="s">
        <v>1938</v>
      </c>
      <c r="B54" t="s">
        <v>182</v>
      </c>
      <c r="C54">
        <v>99245607151</v>
      </c>
      <c r="D54">
        <v>152265106452</v>
      </c>
      <c r="E54">
        <v>228504068345</v>
      </c>
      <c r="F54">
        <v>287326724280</v>
      </c>
    </row>
    <row r="55" spans="1:6" x14ac:dyDescent="0.35">
      <c r="A55" t="s">
        <v>1938</v>
      </c>
      <c r="B55" t="s">
        <v>183</v>
      </c>
      <c r="C55">
        <v>96073976082</v>
      </c>
      <c r="D55">
        <v>145670784482</v>
      </c>
      <c r="E55">
        <v>212398541759</v>
      </c>
      <c r="F55">
        <v>259892439574</v>
      </c>
    </row>
    <row r="56" spans="1:6" x14ac:dyDescent="0.35">
      <c r="A56" t="s">
        <v>1938</v>
      </c>
      <c r="B56" t="s">
        <v>184</v>
      </c>
      <c r="C56">
        <v>0</v>
      </c>
      <c r="D56">
        <v>0</v>
      </c>
      <c r="E56">
        <v>0</v>
      </c>
      <c r="F56">
        <v>0</v>
      </c>
    </row>
    <row r="57" spans="1:6" x14ac:dyDescent="0.35">
      <c r="A57" t="s">
        <v>1938</v>
      </c>
      <c r="B57" t="s">
        <v>185</v>
      </c>
      <c r="C57">
        <v>21987042112</v>
      </c>
      <c r="D57">
        <v>25239575877</v>
      </c>
      <c r="E57">
        <v>26794089460</v>
      </c>
      <c r="F57">
        <v>20805481640</v>
      </c>
    </row>
    <row r="58" spans="1:6" x14ac:dyDescent="0.35">
      <c r="A58" t="s">
        <v>1938</v>
      </c>
      <c r="B58" t="s">
        <v>186</v>
      </c>
      <c r="C58">
        <v>192222584791</v>
      </c>
      <c r="D58">
        <v>200099244674</v>
      </c>
      <c r="E58">
        <v>214701491537</v>
      </c>
      <c r="F58">
        <v>209250376902</v>
      </c>
    </row>
    <row r="59" spans="1:6" x14ac:dyDescent="0.35">
      <c r="A59" t="s">
        <v>1938</v>
      </c>
      <c r="B59" t="s">
        <v>187</v>
      </c>
      <c r="C59">
        <v>175142391662</v>
      </c>
      <c r="D59">
        <v>111051644600</v>
      </c>
      <c r="E59">
        <v>54852472525</v>
      </c>
      <c r="F59">
        <v>-8755141849</v>
      </c>
    </row>
    <row r="60" spans="1:6" x14ac:dyDescent="0.35">
      <c r="A60" t="s">
        <v>1938</v>
      </c>
      <c r="B60" t="s">
        <v>188</v>
      </c>
      <c r="C60">
        <v>1201316720</v>
      </c>
      <c r="D60">
        <v>6711769614</v>
      </c>
      <c r="E60">
        <v>64886780338</v>
      </c>
      <c r="F60">
        <v>13475400525</v>
      </c>
    </row>
    <row r="61" spans="1:6" x14ac:dyDescent="0.35">
      <c r="A61" t="s">
        <v>1938</v>
      </c>
      <c r="B61" t="s">
        <v>189</v>
      </c>
      <c r="C61">
        <v>8154750363</v>
      </c>
      <c r="D61">
        <v>7945583007</v>
      </c>
      <c r="E61">
        <v>41433030451</v>
      </c>
      <c r="F61">
        <v>22894967219</v>
      </c>
    </row>
    <row r="62" spans="1:6" x14ac:dyDescent="0.35">
      <c r="A62" t="s">
        <v>1938</v>
      </c>
      <c r="B62" t="s">
        <v>190</v>
      </c>
      <c r="C62">
        <v>-6953433643</v>
      </c>
      <c r="D62">
        <v>-1233813393</v>
      </c>
      <c r="E62">
        <v>23453749887</v>
      </c>
      <c r="F62">
        <v>-9419566694</v>
      </c>
    </row>
    <row r="63" spans="1:6" x14ac:dyDescent="0.35">
      <c r="A63" t="s">
        <v>1938</v>
      </c>
      <c r="B63" t="s">
        <v>191</v>
      </c>
      <c r="C63">
        <v>168188958019</v>
      </c>
      <c r="D63">
        <v>109817831207</v>
      </c>
      <c r="E63">
        <v>78306222412</v>
      </c>
      <c r="F63">
        <v>-18174708543</v>
      </c>
    </row>
    <row r="64" spans="1:6" x14ac:dyDescent="0.35">
      <c r="A64" t="s">
        <v>1938</v>
      </c>
      <c r="B64" t="s">
        <v>192</v>
      </c>
      <c r="C64">
        <v>34647187978</v>
      </c>
      <c r="D64">
        <v>38927106131</v>
      </c>
      <c r="E64">
        <v>31932270346</v>
      </c>
      <c r="F64">
        <v>23818270837</v>
      </c>
    </row>
    <row r="65" spans="1:6" x14ac:dyDescent="0.35">
      <c r="A65" t="s">
        <v>1938</v>
      </c>
      <c r="B65" t="s">
        <v>193</v>
      </c>
      <c r="C65">
        <v>-43403083</v>
      </c>
      <c r="D65">
        <v>108939308</v>
      </c>
      <c r="E65">
        <v>-5226626963</v>
      </c>
      <c r="F65">
        <v>96235739</v>
      </c>
    </row>
    <row r="66" spans="1:6" x14ac:dyDescent="0.35">
      <c r="A66" t="s">
        <v>1938</v>
      </c>
      <c r="B66" t="s">
        <v>194</v>
      </c>
      <c r="C66">
        <v>133585173124</v>
      </c>
      <c r="D66">
        <v>70781785768</v>
      </c>
      <c r="E66">
        <v>51600579029</v>
      </c>
      <c r="F66">
        <v>-42089215119</v>
      </c>
    </row>
    <row r="67" spans="1:6" x14ac:dyDescent="0.35">
      <c r="A67" t="s">
        <v>1938</v>
      </c>
      <c r="B67" t="s">
        <v>195</v>
      </c>
      <c r="C67">
        <v>118696444300</v>
      </c>
      <c r="D67">
        <v>68374412603</v>
      </c>
      <c r="E67">
        <v>39609034957</v>
      </c>
      <c r="F67">
        <v>-32096317037</v>
      </c>
    </row>
    <row r="68" spans="1:6" x14ac:dyDescent="0.35">
      <c r="A68" t="s">
        <v>1938</v>
      </c>
      <c r="B68" t="s">
        <v>196</v>
      </c>
      <c r="C68">
        <v>14888728824</v>
      </c>
      <c r="D68">
        <v>2407373165</v>
      </c>
      <c r="E68">
        <v>11991544072</v>
      </c>
      <c r="F68">
        <v>-9992898082</v>
      </c>
    </row>
    <row r="69" spans="1:6" x14ac:dyDescent="0.35">
      <c r="A69" t="s">
        <v>1938</v>
      </c>
      <c r="B69" t="s">
        <v>197</v>
      </c>
      <c r="C69">
        <v>987</v>
      </c>
      <c r="D69">
        <v>534</v>
      </c>
      <c r="E69">
        <v>252</v>
      </c>
      <c r="F69">
        <v>-204</v>
      </c>
    </row>
    <row r="70" spans="1:6" x14ac:dyDescent="0.35">
      <c r="A70" t="s">
        <v>1938</v>
      </c>
      <c r="B70" t="s">
        <v>198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t="s">
        <v>1939</v>
      </c>
      <c r="B71" t="s">
        <v>176</v>
      </c>
      <c r="C71">
        <v>1494522681791</v>
      </c>
      <c r="D71">
        <v>1381118770011</v>
      </c>
      <c r="E71">
        <v>2093232835402</v>
      </c>
      <c r="F71">
        <v>2163456147696</v>
      </c>
    </row>
    <row r="72" spans="1:6" x14ac:dyDescent="0.35">
      <c r="A72" t="s">
        <v>1939</v>
      </c>
      <c r="B72" t="s">
        <v>177</v>
      </c>
      <c r="C72">
        <v>1199328000</v>
      </c>
      <c r="D72">
        <v>0</v>
      </c>
      <c r="E72">
        <v>0</v>
      </c>
      <c r="F72">
        <v>0</v>
      </c>
    </row>
    <row r="73" spans="1:6" x14ac:dyDescent="0.35">
      <c r="A73" t="s">
        <v>1939</v>
      </c>
      <c r="B73" t="s">
        <v>178</v>
      </c>
      <c r="C73">
        <v>1493323353791</v>
      </c>
      <c r="D73">
        <v>1381118770011</v>
      </c>
      <c r="E73">
        <v>2093232835402</v>
      </c>
      <c r="F73">
        <v>2163456147696</v>
      </c>
    </row>
    <row r="74" spans="1:6" x14ac:dyDescent="0.35">
      <c r="A74" t="s">
        <v>1939</v>
      </c>
      <c r="B74" t="s">
        <v>179</v>
      </c>
      <c r="C74">
        <v>732667176739</v>
      </c>
      <c r="D74">
        <v>613939972394</v>
      </c>
      <c r="E74">
        <v>1081833401633</v>
      </c>
      <c r="F74">
        <v>1042528569954</v>
      </c>
    </row>
    <row r="75" spans="1:6" x14ac:dyDescent="0.35">
      <c r="A75" t="s">
        <v>1939</v>
      </c>
      <c r="B75" t="s">
        <v>180</v>
      </c>
      <c r="C75">
        <v>760656177052</v>
      </c>
      <c r="D75">
        <v>767178797617</v>
      </c>
      <c r="E75">
        <v>1011399433769</v>
      </c>
      <c r="F75">
        <v>1120927577742</v>
      </c>
    </row>
    <row r="76" spans="1:6" x14ac:dyDescent="0.35">
      <c r="A76" t="s">
        <v>1939</v>
      </c>
      <c r="B76" t="s">
        <v>181</v>
      </c>
      <c r="C76">
        <v>30534655288</v>
      </c>
      <c r="D76">
        <v>37462828457</v>
      </c>
      <c r="E76">
        <v>213920427160</v>
      </c>
      <c r="F76">
        <v>100599754753</v>
      </c>
    </row>
    <row r="77" spans="1:6" x14ac:dyDescent="0.35">
      <c r="A77" t="s">
        <v>1939</v>
      </c>
      <c r="B77" t="s">
        <v>182</v>
      </c>
      <c r="C77">
        <v>371239616425</v>
      </c>
      <c r="D77">
        <v>408629277678</v>
      </c>
      <c r="E77">
        <v>657088144981</v>
      </c>
      <c r="F77">
        <v>870734223835</v>
      </c>
    </row>
    <row r="78" spans="1:6" x14ac:dyDescent="0.35">
      <c r="A78" t="s">
        <v>1939</v>
      </c>
      <c r="B78" t="s">
        <v>183</v>
      </c>
      <c r="C78">
        <v>354411196128</v>
      </c>
      <c r="D78">
        <v>383781656592</v>
      </c>
      <c r="E78">
        <v>591825481199</v>
      </c>
      <c r="F78">
        <v>841733441926</v>
      </c>
    </row>
    <row r="79" spans="1:6" x14ac:dyDescent="0.35">
      <c r="A79" t="s">
        <v>1939</v>
      </c>
      <c r="B79" t="s">
        <v>184</v>
      </c>
      <c r="C79">
        <v>0</v>
      </c>
      <c r="D79">
        <v>6321996924</v>
      </c>
      <c r="E79">
        <v>12827967263</v>
      </c>
      <c r="F79">
        <v>5210379437</v>
      </c>
    </row>
    <row r="80" spans="1:6" x14ac:dyDescent="0.35">
      <c r="A80" t="s">
        <v>1939</v>
      </c>
      <c r="B80" t="s">
        <v>185</v>
      </c>
      <c r="C80">
        <v>1699625268</v>
      </c>
      <c r="D80">
        <v>471454958</v>
      </c>
      <c r="E80">
        <v>379174918</v>
      </c>
      <c r="F80">
        <v>985267357</v>
      </c>
    </row>
    <row r="81" spans="1:6" x14ac:dyDescent="0.35">
      <c r="A81" t="s">
        <v>1939</v>
      </c>
      <c r="B81" t="s">
        <v>186</v>
      </c>
      <c r="C81">
        <v>114323940038</v>
      </c>
      <c r="D81">
        <v>113864130849</v>
      </c>
      <c r="E81">
        <v>160341431872</v>
      </c>
      <c r="F81">
        <v>158479036896</v>
      </c>
    </row>
    <row r="82" spans="1:6" x14ac:dyDescent="0.35">
      <c r="A82" t="s">
        <v>1939</v>
      </c>
      <c r="B82" t="s">
        <v>187</v>
      </c>
      <c r="C82">
        <v>303927650609</v>
      </c>
      <c r="D82">
        <v>287998759513</v>
      </c>
      <c r="E82">
        <v>420339076421</v>
      </c>
      <c r="F82">
        <v>196539183844</v>
      </c>
    </row>
    <row r="83" spans="1:6" x14ac:dyDescent="0.35">
      <c r="A83" t="s">
        <v>1939</v>
      </c>
      <c r="B83" t="s">
        <v>188</v>
      </c>
      <c r="C83">
        <v>5833789856</v>
      </c>
      <c r="D83">
        <v>90906719725</v>
      </c>
      <c r="E83">
        <v>597421797</v>
      </c>
      <c r="F83">
        <v>5140742377</v>
      </c>
    </row>
    <row r="84" spans="1:6" x14ac:dyDescent="0.35">
      <c r="A84" t="s">
        <v>1939</v>
      </c>
      <c r="B84" t="s">
        <v>189</v>
      </c>
      <c r="C84">
        <v>1175195994</v>
      </c>
      <c r="D84">
        <v>10189812148</v>
      </c>
      <c r="E84">
        <v>14170122935</v>
      </c>
      <c r="F84">
        <v>6666182497</v>
      </c>
    </row>
    <row r="85" spans="1:6" x14ac:dyDescent="0.35">
      <c r="A85" t="s">
        <v>1939</v>
      </c>
      <c r="B85" t="s">
        <v>190</v>
      </c>
      <c r="C85">
        <v>4658593862</v>
      </c>
      <c r="D85">
        <v>80716907577</v>
      </c>
      <c r="E85">
        <v>-13572701138</v>
      </c>
      <c r="F85">
        <v>-1525440120</v>
      </c>
    </row>
    <row r="86" spans="1:6" x14ac:dyDescent="0.35">
      <c r="A86" t="s">
        <v>1939</v>
      </c>
      <c r="B86" t="s">
        <v>191</v>
      </c>
      <c r="C86">
        <v>308586244471</v>
      </c>
      <c r="D86">
        <v>368715667090</v>
      </c>
      <c r="E86">
        <v>406766375283</v>
      </c>
      <c r="F86">
        <v>195013743724</v>
      </c>
    </row>
    <row r="87" spans="1:6" x14ac:dyDescent="0.35">
      <c r="A87" t="s">
        <v>1939</v>
      </c>
      <c r="B87" t="s">
        <v>192</v>
      </c>
      <c r="C87">
        <v>14128972505</v>
      </c>
      <c r="D87">
        <v>44652211054</v>
      </c>
      <c r="E87">
        <v>41127952128</v>
      </c>
      <c r="F87">
        <v>46864367463</v>
      </c>
    </row>
    <row r="88" spans="1:6" x14ac:dyDescent="0.35">
      <c r="A88" t="s">
        <v>1939</v>
      </c>
      <c r="B88" t="s">
        <v>193</v>
      </c>
      <c r="C88">
        <v>-505583285</v>
      </c>
      <c r="D88">
        <v>-1370338666</v>
      </c>
      <c r="E88">
        <v>-4941157006</v>
      </c>
      <c r="F88">
        <v>4825429149</v>
      </c>
    </row>
    <row r="89" spans="1:6" x14ac:dyDescent="0.35">
      <c r="A89" t="s">
        <v>1939</v>
      </c>
      <c r="B89" t="s">
        <v>194</v>
      </c>
      <c r="C89">
        <v>294962855251</v>
      </c>
      <c r="D89">
        <v>325433794702</v>
      </c>
      <c r="E89">
        <v>370579580161</v>
      </c>
      <c r="F89">
        <v>143323947112</v>
      </c>
    </row>
    <row r="90" spans="1:6" x14ac:dyDescent="0.35">
      <c r="A90" t="s">
        <v>1939</v>
      </c>
      <c r="B90" t="s">
        <v>195</v>
      </c>
      <c r="C90">
        <v>257355412178</v>
      </c>
      <c r="D90">
        <v>282831537440</v>
      </c>
      <c r="E90">
        <v>315693407917</v>
      </c>
      <c r="F90">
        <v>137243674272</v>
      </c>
    </row>
    <row r="91" spans="1:6" x14ac:dyDescent="0.35">
      <c r="A91" t="s">
        <v>1939</v>
      </c>
      <c r="B91" t="s">
        <v>196</v>
      </c>
      <c r="C91">
        <v>37607443073</v>
      </c>
      <c r="D91">
        <v>42602257262</v>
      </c>
      <c r="E91">
        <v>54886172244</v>
      </c>
      <c r="F91">
        <v>6080272840</v>
      </c>
    </row>
    <row r="92" spans="1:6" x14ac:dyDescent="0.35">
      <c r="A92" t="s">
        <v>1939</v>
      </c>
      <c r="B92" t="s">
        <v>197</v>
      </c>
      <c r="C92">
        <v>1029</v>
      </c>
      <c r="D92">
        <v>937</v>
      </c>
      <c r="E92">
        <v>880</v>
      </c>
      <c r="F92">
        <v>214</v>
      </c>
    </row>
    <row r="93" spans="1:6" x14ac:dyDescent="0.35">
      <c r="A93" t="s">
        <v>1939</v>
      </c>
      <c r="B93" t="s">
        <v>198</v>
      </c>
      <c r="C93">
        <v>1029</v>
      </c>
      <c r="D93">
        <v>937</v>
      </c>
      <c r="E93">
        <v>855</v>
      </c>
      <c r="F93">
        <v>214</v>
      </c>
    </row>
    <row r="94" spans="1:6" x14ac:dyDescent="0.35">
      <c r="A94" t="s">
        <v>1940</v>
      </c>
      <c r="B94" t="s">
        <v>176</v>
      </c>
      <c r="C94">
        <v>4999229572070</v>
      </c>
      <c r="D94">
        <v>3778411799998</v>
      </c>
      <c r="E94">
        <v>3581190677660</v>
      </c>
      <c r="F94">
        <v>2889383967575</v>
      </c>
    </row>
    <row r="95" spans="1:6" x14ac:dyDescent="0.35">
      <c r="A95" t="s">
        <v>1940</v>
      </c>
      <c r="B95" t="s">
        <v>177</v>
      </c>
      <c r="C95">
        <v>651816635</v>
      </c>
      <c r="D95">
        <v>975656552</v>
      </c>
      <c r="E95">
        <v>0</v>
      </c>
      <c r="F95">
        <v>0</v>
      </c>
    </row>
    <row r="96" spans="1:6" x14ac:dyDescent="0.35">
      <c r="A96" t="s">
        <v>1940</v>
      </c>
      <c r="B96" t="s">
        <v>178</v>
      </c>
      <c r="C96">
        <v>4998577755435</v>
      </c>
      <c r="D96">
        <v>3777436143446</v>
      </c>
      <c r="E96">
        <v>3581190677660</v>
      </c>
      <c r="F96">
        <v>2889383967575</v>
      </c>
    </row>
    <row r="97" spans="1:6" x14ac:dyDescent="0.35">
      <c r="A97" t="s">
        <v>1940</v>
      </c>
      <c r="B97" t="s">
        <v>179</v>
      </c>
      <c r="C97">
        <v>2922132801729</v>
      </c>
      <c r="D97">
        <v>1457342438241</v>
      </c>
      <c r="E97">
        <v>1368819823994</v>
      </c>
      <c r="F97">
        <v>1166354221153</v>
      </c>
    </row>
    <row r="98" spans="1:6" x14ac:dyDescent="0.35">
      <c r="A98" t="s">
        <v>1940</v>
      </c>
      <c r="B98" t="s">
        <v>180</v>
      </c>
      <c r="C98">
        <v>2076444953706</v>
      </c>
      <c r="D98">
        <v>2320093705205</v>
      </c>
      <c r="E98">
        <v>2212370853666</v>
      </c>
      <c r="F98">
        <v>1723029746422</v>
      </c>
    </row>
    <row r="99" spans="1:6" x14ac:dyDescent="0.35">
      <c r="A99" t="s">
        <v>1940</v>
      </c>
      <c r="B99" t="s">
        <v>181</v>
      </c>
      <c r="C99">
        <v>45021144708</v>
      </c>
      <c r="D99">
        <v>79605715651</v>
      </c>
      <c r="E99">
        <v>83291140201</v>
      </c>
      <c r="F99">
        <v>40301874302</v>
      </c>
    </row>
    <row r="100" spans="1:6" x14ac:dyDescent="0.35">
      <c r="A100" t="s">
        <v>1940</v>
      </c>
      <c r="B100" t="s">
        <v>182</v>
      </c>
      <c r="C100">
        <v>370171307233</v>
      </c>
      <c r="D100">
        <v>408408687099</v>
      </c>
      <c r="E100">
        <v>517263975398</v>
      </c>
      <c r="F100">
        <v>569003134109</v>
      </c>
    </row>
    <row r="101" spans="1:6" x14ac:dyDescent="0.35">
      <c r="A101" t="s">
        <v>1940</v>
      </c>
      <c r="B101" t="s">
        <v>183</v>
      </c>
      <c r="C101">
        <v>362157788933</v>
      </c>
      <c r="D101">
        <v>386784756824</v>
      </c>
      <c r="E101">
        <v>500688616629</v>
      </c>
      <c r="F101">
        <v>486557619793</v>
      </c>
    </row>
    <row r="102" spans="1:6" x14ac:dyDescent="0.35">
      <c r="A102" t="s">
        <v>1940</v>
      </c>
      <c r="B102" t="s">
        <v>184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t="s">
        <v>1940</v>
      </c>
      <c r="B103" t="s">
        <v>185</v>
      </c>
      <c r="C103">
        <v>14171057559</v>
      </c>
      <c r="D103">
        <v>118551129818</v>
      </c>
      <c r="E103">
        <v>4603697832</v>
      </c>
      <c r="F103">
        <v>14516125805</v>
      </c>
    </row>
    <row r="104" spans="1:6" x14ac:dyDescent="0.35">
      <c r="A104" t="s">
        <v>1940</v>
      </c>
      <c r="B104" t="s">
        <v>186</v>
      </c>
      <c r="C104">
        <v>191846398930</v>
      </c>
      <c r="D104">
        <v>221869319144</v>
      </c>
      <c r="E104">
        <v>159148040047</v>
      </c>
      <c r="F104">
        <v>218473544853</v>
      </c>
    </row>
    <row r="105" spans="1:6" x14ac:dyDescent="0.35">
      <c r="A105" t="s">
        <v>1940</v>
      </c>
      <c r="B105" t="s">
        <v>187</v>
      </c>
      <c r="C105">
        <v>1545277334692</v>
      </c>
      <c r="D105">
        <v>1650870284795</v>
      </c>
      <c r="E105">
        <v>1614646280590</v>
      </c>
      <c r="F105">
        <v>961338815957</v>
      </c>
    </row>
    <row r="106" spans="1:6" x14ac:dyDescent="0.35">
      <c r="A106" t="s">
        <v>1940</v>
      </c>
      <c r="B106" t="s">
        <v>188</v>
      </c>
      <c r="C106">
        <v>5259775730</v>
      </c>
      <c r="D106">
        <v>24560799142</v>
      </c>
      <c r="E106">
        <v>18384564537</v>
      </c>
      <c r="F106">
        <v>20258275487</v>
      </c>
    </row>
    <row r="107" spans="1:6" x14ac:dyDescent="0.35">
      <c r="A107" t="s">
        <v>1940</v>
      </c>
      <c r="B107" t="s">
        <v>189</v>
      </c>
      <c r="C107">
        <v>10077393068</v>
      </c>
      <c r="D107">
        <v>32399804686</v>
      </c>
      <c r="E107">
        <v>28609350079</v>
      </c>
      <c r="F107">
        <v>18208075549</v>
      </c>
    </row>
    <row r="108" spans="1:6" x14ac:dyDescent="0.35">
      <c r="A108" t="s">
        <v>1940</v>
      </c>
      <c r="B108" t="s">
        <v>190</v>
      </c>
      <c r="C108">
        <v>-4817617338</v>
      </c>
      <c r="D108">
        <v>-7839005544</v>
      </c>
      <c r="E108">
        <v>-10224785542</v>
      </c>
      <c r="F108">
        <v>2050199938</v>
      </c>
    </row>
    <row r="109" spans="1:6" x14ac:dyDescent="0.35">
      <c r="A109" t="s">
        <v>1940</v>
      </c>
      <c r="B109" t="s">
        <v>191</v>
      </c>
      <c r="C109">
        <v>1540459717354</v>
      </c>
      <c r="D109">
        <v>1643031279251</v>
      </c>
      <c r="E109">
        <v>1604421495048</v>
      </c>
      <c r="F109">
        <v>963389015895</v>
      </c>
    </row>
    <row r="110" spans="1:6" x14ac:dyDescent="0.35">
      <c r="A110" t="s">
        <v>1940</v>
      </c>
      <c r="B110" t="s">
        <v>192</v>
      </c>
      <c r="C110">
        <v>286593566484</v>
      </c>
      <c r="D110">
        <v>307915296694</v>
      </c>
      <c r="E110">
        <v>231281863203</v>
      </c>
      <c r="F110">
        <v>90926437029</v>
      </c>
    </row>
    <row r="111" spans="1:6" x14ac:dyDescent="0.35">
      <c r="A111" t="s">
        <v>1940</v>
      </c>
      <c r="B111" t="s">
        <v>193</v>
      </c>
      <c r="C111">
        <v>7818740</v>
      </c>
      <c r="D111">
        <v>-8557076320</v>
      </c>
      <c r="E111">
        <v>11236230049</v>
      </c>
      <c r="F111">
        <v>6171216922</v>
      </c>
    </row>
    <row r="112" spans="1:6" x14ac:dyDescent="0.35">
      <c r="A112" t="s">
        <v>1940</v>
      </c>
      <c r="B112" t="s">
        <v>194</v>
      </c>
      <c r="C112">
        <v>1253858332130</v>
      </c>
      <c r="D112">
        <v>1343673058877</v>
      </c>
      <c r="E112">
        <v>1361903401796</v>
      </c>
      <c r="F112">
        <v>866291361944</v>
      </c>
    </row>
    <row r="113" spans="1:6" x14ac:dyDescent="0.35">
      <c r="A113" t="s">
        <v>1940</v>
      </c>
      <c r="B113" t="s">
        <v>195</v>
      </c>
      <c r="C113">
        <v>979141709319</v>
      </c>
      <c r="D113">
        <v>1096497637724</v>
      </c>
      <c r="E113">
        <v>1095618039142</v>
      </c>
      <c r="F113">
        <v>665078031091</v>
      </c>
    </row>
    <row r="114" spans="1:6" x14ac:dyDescent="0.35">
      <c r="A114" t="s">
        <v>1940</v>
      </c>
      <c r="B114" t="s">
        <v>196</v>
      </c>
      <c r="C114">
        <v>274716622811</v>
      </c>
      <c r="D114">
        <v>247175421153</v>
      </c>
      <c r="E114">
        <v>266285362654</v>
      </c>
      <c r="F114">
        <v>201213330853</v>
      </c>
    </row>
    <row r="115" spans="1:6" x14ac:dyDescent="0.35">
      <c r="A115" t="s">
        <v>1940</v>
      </c>
      <c r="B115" t="s">
        <v>197</v>
      </c>
      <c r="C115">
        <v>6158</v>
      </c>
      <c r="D115">
        <v>5735</v>
      </c>
      <c r="E115">
        <v>4507</v>
      </c>
      <c r="F115">
        <v>2175</v>
      </c>
    </row>
    <row r="116" spans="1:6" x14ac:dyDescent="0.35">
      <c r="A116" t="s">
        <v>1940</v>
      </c>
      <c r="B116" t="s">
        <v>198</v>
      </c>
      <c r="C116">
        <v>5752</v>
      </c>
      <c r="D116">
        <v>5447</v>
      </c>
      <c r="E116">
        <v>4507</v>
      </c>
      <c r="F116">
        <v>2175</v>
      </c>
    </row>
    <row r="117" spans="1:6" x14ac:dyDescent="0.35">
      <c r="A117" t="s">
        <v>1941</v>
      </c>
      <c r="B117" t="s">
        <v>176</v>
      </c>
      <c r="C117">
        <v>3536254793538</v>
      </c>
      <c r="D117">
        <v>0</v>
      </c>
      <c r="E117">
        <v>1005840232313</v>
      </c>
      <c r="F117">
        <v>2007948933386</v>
      </c>
    </row>
    <row r="118" spans="1:6" x14ac:dyDescent="0.35">
      <c r="A118" t="s">
        <v>1941</v>
      </c>
      <c r="B118" t="s">
        <v>177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1941</v>
      </c>
      <c r="B119" t="s">
        <v>178</v>
      </c>
      <c r="C119">
        <v>3536254793538</v>
      </c>
      <c r="D119">
        <v>1802653972149</v>
      </c>
      <c r="E119">
        <v>1005840232313</v>
      </c>
      <c r="F119">
        <v>2007948933386</v>
      </c>
    </row>
    <row r="120" spans="1:6" x14ac:dyDescent="0.35">
      <c r="A120" t="s">
        <v>1941</v>
      </c>
      <c r="B120" t="s">
        <v>179</v>
      </c>
      <c r="C120">
        <v>3231236173312</v>
      </c>
      <c r="D120">
        <v>1373857600368</v>
      </c>
      <c r="E120">
        <v>876947478997</v>
      </c>
      <c r="F120">
        <v>1722779557756</v>
      </c>
    </row>
    <row r="121" spans="1:6" x14ac:dyDescent="0.35">
      <c r="A121" t="s">
        <v>1941</v>
      </c>
      <c r="B121" t="s">
        <v>180</v>
      </c>
      <c r="C121">
        <v>305018620226</v>
      </c>
      <c r="D121">
        <v>428796371781</v>
      </c>
      <c r="E121">
        <v>128892753316</v>
      </c>
      <c r="F121">
        <v>285169375630</v>
      </c>
    </row>
    <row r="122" spans="1:6" x14ac:dyDescent="0.35">
      <c r="A122" t="s">
        <v>1941</v>
      </c>
      <c r="B122" t="s">
        <v>181</v>
      </c>
      <c r="C122">
        <v>346246521695</v>
      </c>
      <c r="D122">
        <v>15486180551</v>
      </c>
      <c r="E122">
        <v>276298630916</v>
      </c>
      <c r="F122">
        <v>13876314857</v>
      </c>
    </row>
    <row r="123" spans="1:6" x14ac:dyDescent="0.35">
      <c r="A123" t="s">
        <v>1941</v>
      </c>
      <c r="B123" t="s">
        <v>182</v>
      </c>
      <c r="C123">
        <v>113617315906</v>
      </c>
      <c r="D123">
        <v>107439648847</v>
      </c>
      <c r="E123">
        <v>69387291199</v>
      </c>
      <c r="F123">
        <v>57534267460</v>
      </c>
    </row>
    <row r="124" spans="1:6" x14ac:dyDescent="0.35">
      <c r="A124" t="s">
        <v>1941</v>
      </c>
      <c r="B124" t="s">
        <v>183</v>
      </c>
      <c r="C124">
        <v>105055315050</v>
      </c>
      <c r="D124">
        <v>106192359166</v>
      </c>
      <c r="E124">
        <v>69387291199</v>
      </c>
      <c r="F124">
        <v>50643242852</v>
      </c>
    </row>
    <row r="125" spans="1:6" x14ac:dyDescent="0.35">
      <c r="A125" t="s">
        <v>1941</v>
      </c>
      <c r="B125" t="s">
        <v>184</v>
      </c>
      <c r="C125">
        <v>1517230941</v>
      </c>
      <c r="D125">
        <v>-107610569</v>
      </c>
      <c r="E125">
        <v>0</v>
      </c>
      <c r="F125">
        <v>-488036061</v>
      </c>
    </row>
    <row r="126" spans="1:6" x14ac:dyDescent="0.35">
      <c r="A126" t="s">
        <v>1941</v>
      </c>
      <c r="B126" t="s">
        <v>185</v>
      </c>
      <c r="C126">
        <v>7782720007</v>
      </c>
      <c r="D126">
        <v>16897258501</v>
      </c>
      <c r="E126">
        <v>0</v>
      </c>
      <c r="F126">
        <v>0</v>
      </c>
    </row>
    <row r="127" spans="1:6" x14ac:dyDescent="0.35">
      <c r="A127" t="s">
        <v>1941</v>
      </c>
      <c r="B127" t="s">
        <v>186</v>
      </c>
      <c r="C127">
        <v>159691422387</v>
      </c>
      <c r="D127">
        <v>83701975089</v>
      </c>
      <c r="E127">
        <v>78998735273</v>
      </c>
      <c r="F127">
        <v>107336396420</v>
      </c>
    </row>
    <row r="128" spans="1:6" x14ac:dyDescent="0.35">
      <c r="A128" t="s">
        <v>1941</v>
      </c>
      <c r="B128" t="s">
        <v>187</v>
      </c>
      <c r="C128">
        <v>371690914562</v>
      </c>
      <c r="D128">
        <v>236136059326</v>
      </c>
      <c r="E128">
        <v>256805357760</v>
      </c>
      <c r="F128">
        <v>133686990546</v>
      </c>
    </row>
    <row r="129" spans="1:6" x14ac:dyDescent="0.35">
      <c r="A129" t="s">
        <v>1941</v>
      </c>
      <c r="B129" t="s">
        <v>188</v>
      </c>
      <c r="C129">
        <v>4004268449</v>
      </c>
      <c r="D129">
        <v>9221741832</v>
      </c>
      <c r="E129">
        <v>3242391554</v>
      </c>
      <c r="F129">
        <v>6538712976</v>
      </c>
    </row>
    <row r="130" spans="1:6" x14ac:dyDescent="0.35">
      <c r="A130" t="s">
        <v>1941</v>
      </c>
      <c r="B130" t="s">
        <v>189</v>
      </c>
      <c r="C130">
        <v>2783954472</v>
      </c>
      <c r="D130">
        <v>18043763865</v>
      </c>
      <c r="E130">
        <v>13923486797</v>
      </c>
      <c r="F130">
        <v>4902160517</v>
      </c>
    </row>
    <row r="131" spans="1:6" x14ac:dyDescent="0.35">
      <c r="A131" t="s">
        <v>1941</v>
      </c>
      <c r="B131" t="s">
        <v>190</v>
      </c>
      <c r="C131">
        <v>1220313977</v>
      </c>
      <c r="D131">
        <v>-8822022033</v>
      </c>
      <c r="E131">
        <v>-10681095243</v>
      </c>
      <c r="F131">
        <v>1636552459</v>
      </c>
    </row>
    <row r="132" spans="1:6" x14ac:dyDescent="0.35">
      <c r="A132" t="s">
        <v>1941</v>
      </c>
      <c r="B132" t="s">
        <v>191</v>
      </c>
      <c r="C132">
        <v>372911228539</v>
      </c>
      <c r="D132">
        <v>227314037293</v>
      </c>
      <c r="E132">
        <v>246124262517</v>
      </c>
      <c r="F132">
        <v>135323543005</v>
      </c>
    </row>
    <row r="133" spans="1:6" x14ac:dyDescent="0.35">
      <c r="A133" t="s">
        <v>1941</v>
      </c>
      <c r="B133" t="s">
        <v>192</v>
      </c>
      <c r="C133">
        <v>79416858751</v>
      </c>
      <c r="D133">
        <v>47938532710</v>
      </c>
      <c r="E133">
        <v>49735451172</v>
      </c>
      <c r="F133">
        <v>40707085842</v>
      </c>
    </row>
    <row r="134" spans="1:6" x14ac:dyDescent="0.35">
      <c r="A134" t="s">
        <v>1941</v>
      </c>
      <c r="B134" t="s">
        <v>193</v>
      </c>
      <c r="C134">
        <v>-18224481909</v>
      </c>
      <c r="D134">
        <v>-1434843422</v>
      </c>
      <c r="E134">
        <v>2101786345</v>
      </c>
      <c r="F134">
        <v>-6953333330</v>
      </c>
    </row>
    <row r="135" spans="1:6" x14ac:dyDescent="0.35">
      <c r="A135" t="s">
        <v>1941</v>
      </c>
      <c r="B135" t="s">
        <v>194</v>
      </c>
      <c r="C135">
        <v>311718851697</v>
      </c>
      <c r="D135">
        <v>180810348005</v>
      </c>
      <c r="E135">
        <v>194287025000</v>
      </c>
      <c r="F135">
        <v>101569790493</v>
      </c>
    </row>
    <row r="136" spans="1:6" x14ac:dyDescent="0.35">
      <c r="A136" t="s">
        <v>1941</v>
      </c>
      <c r="B136" t="s">
        <v>195</v>
      </c>
      <c r="C136">
        <v>311176707871</v>
      </c>
      <c r="D136">
        <v>181759176154</v>
      </c>
      <c r="E136">
        <v>192034722385</v>
      </c>
      <c r="F136">
        <v>103614621249</v>
      </c>
    </row>
    <row r="137" spans="1:6" x14ac:dyDescent="0.35">
      <c r="A137" t="s">
        <v>1941</v>
      </c>
      <c r="B137" t="s">
        <v>196</v>
      </c>
      <c r="C137">
        <v>542143826</v>
      </c>
      <c r="D137">
        <v>-948828149</v>
      </c>
      <c r="E137">
        <v>2252302615</v>
      </c>
      <c r="F137">
        <v>-2044830756</v>
      </c>
    </row>
    <row r="138" spans="1:6" x14ac:dyDescent="0.35">
      <c r="A138" t="s">
        <v>1941</v>
      </c>
      <c r="B138" t="s">
        <v>197</v>
      </c>
      <c r="C138">
        <v>2430</v>
      </c>
      <c r="D138">
        <v>1270</v>
      </c>
      <c r="E138">
        <v>835</v>
      </c>
      <c r="F138">
        <v>519</v>
      </c>
    </row>
    <row r="139" spans="1:6" x14ac:dyDescent="0.35">
      <c r="A139" t="s">
        <v>1941</v>
      </c>
      <c r="B139" t="s">
        <v>198</v>
      </c>
      <c r="C139">
        <v>2430</v>
      </c>
      <c r="D139">
        <v>1270</v>
      </c>
      <c r="E139">
        <v>835</v>
      </c>
      <c r="F139">
        <v>519</v>
      </c>
    </row>
    <row r="140" spans="1:6" x14ac:dyDescent="0.35">
      <c r="A140" t="s">
        <v>1942</v>
      </c>
      <c r="B140" t="s">
        <v>176</v>
      </c>
      <c r="C140">
        <v>6678600581343</v>
      </c>
      <c r="D140">
        <v>9828463180375</v>
      </c>
      <c r="E140">
        <v>8357602470324</v>
      </c>
      <c r="F140">
        <v>7775239783868</v>
      </c>
    </row>
    <row r="141" spans="1:6" x14ac:dyDescent="0.35">
      <c r="A141" t="s">
        <v>1942</v>
      </c>
      <c r="B141" t="s">
        <v>177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 t="s">
        <v>1942</v>
      </c>
      <c r="B142" t="s">
        <v>178</v>
      </c>
      <c r="C142">
        <v>6678600581343</v>
      </c>
      <c r="D142">
        <v>9828463180375</v>
      </c>
      <c r="E142">
        <v>8357602470324</v>
      </c>
      <c r="F142">
        <v>7775239783868</v>
      </c>
    </row>
    <row r="143" spans="1:6" x14ac:dyDescent="0.35">
      <c r="A143" t="s">
        <v>1942</v>
      </c>
      <c r="B143" t="s">
        <v>179</v>
      </c>
      <c r="C143">
        <v>5516946091407</v>
      </c>
      <c r="D143">
        <v>8672928765697</v>
      </c>
      <c r="E143">
        <v>6763095524845</v>
      </c>
      <c r="F143">
        <v>6194135244151</v>
      </c>
    </row>
    <row r="144" spans="1:6" x14ac:dyDescent="0.35">
      <c r="A144" t="s">
        <v>1942</v>
      </c>
      <c r="B144" t="s">
        <v>180</v>
      </c>
      <c r="C144">
        <v>1161654489936</v>
      </c>
      <c r="D144">
        <v>1155534414678</v>
      </c>
      <c r="E144">
        <v>1594506945479</v>
      </c>
      <c r="F144">
        <v>1581104539717</v>
      </c>
    </row>
    <row r="145" spans="1:6" x14ac:dyDescent="0.35">
      <c r="A145" t="s">
        <v>1942</v>
      </c>
      <c r="B145" t="s">
        <v>181</v>
      </c>
      <c r="C145">
        <v>37255892764</v>
      </c>
      <c r="D145">
        <v>319482922820</v>
      </c>
      <c r="E145">
        <v>95459120050</v>
      </c>
      <c r="F145">
        <v>182694013188</v>
      </c>
    </row>
    <row r="146" spans="1:6" x14ac:dyDescent="0.35">
      <c r="A146" t="s">
        <v>1942</v>
      </c>
      <c r="B146" t="s">
        <v>182</v>
      </c>
      <c r="C146">
        <v>243840926915</v>
      </c>
      <c r="D146">
        <v>359192614340</v>
      </c>
      <c r="E146">
        <v>766952588084</v>
      </c>
      <c r="F146">
        <v>967330851856</v>
      </c>
    </row>
    <row r="147" spans="1:6" x14ac:dyDescent="0.35">
      <c r="A147" t="s">
        <v>1942</v>
      </c>
      <c r="B147" t="s">
        <v>183</v>
      </c>
      <c r="C147">
        <v>242367390588</v>
      </c>
      <c r="D147">
        <v>315449056943</v>
      </c>
      <c r="E147">
        <v>605030533904</v>
      </c>
      <c r="F147">
        <v>843641541921</v>
      </c>
    </row>
    <row r="148" spans="1:6" x14ac:dyDescent="0.35">
      <c r="A148" t="s">
        <v>1942</v>
      </c>
      <c r="B148" t="s">
        <v>184</v>
      </c>
      <c r="C148">
        <v>18043746585</v>
      </c>
      <c r="D148">
        <v>85597674855</v>
      </c>
      <c r="E148">
        <v>697381631</v>
      </c>
      <c r="F148">
        <v>1577383209</v>
      </c>
    </row>
    <row r="149" spans="1:6" x14ac:dyDescent="0.35">
      <c r="A149" t="s">
        <v>1942</v>
      </c>
      <c r="B149" t="s">
        <v>185</v>
      </c>
      <c r="C149">
        <v>70552235921</v>
      </c>
      <c r="D149">
        <v>55977596827</v>
      </c>
      <c r="E149">
        <v>-8391008009</v>
      </c>
      <c r="F149">
        <v>55980734072</v>
      </c>
    </row>
    <row r="150" spans="1:6" x14ac:dyDescent="0.35">
      <c r="A150" t="s">
        <v>1942</v>
      </c>
      <c r="B150" t="s">
        <v>186</v>
      </c>
      <c r="C150">
        <v>267722567030</v>
      </c>
      <c r="D150">
        <v>240797400424</v>
      </c>
      <c r="E150">
        <v>285281303728</v>
      </c>
      <c r="F150">
        <v>335208954077</v>
      </c>
    </row>
    <row r="151" spans="1:6" x14ac:dyDescent="0.35">
      <c r="A151" t="s">
        <v>1942</v>
      </c>
      <c r="B151" t="s">
        <v>187</v>
      </c>
      <c r="C151">
        <v>634838399419</v>
      </c>
      <c r="D151">
        <v>904647400762</v>
      </c>
      <c r="E151">
        <v>646820563357</v>
      </c>
      <c r="F151">
        <v>406855396109</v>
      </c>
    </row>
    <row r="152" spans="1:6" x14ac:dyDescent="0.35">
      <c r="A152" t="s">
        <v>1942</v>
      </c>
      <c r="B152" t="s">
        <v>188</v>
      </c>
      <c r="C152">
        <v>28329992990</v>
      </c>
      <c r="D152">
        <v>28041497714</v>
      </c>
      <c r="E152">
        <v>19729647491</v>
      </c>
      <c r="F152">
        <v>10795650746</v>
      </c>
    </row>
    <row r="153" spans="1:6" x14ac:dyDescent="0.35">
      <c r="A153" t="s">
        <v>1942</v>
      </c>
      <c r="B153" t="s">
        <v>189</v>
      </c>
      <c r="C153">
        <v>11356483186</v>
      </c>
      <c r="D153">
        <v>36216096682</v>
      </c>
      <c r="E153">
        <v>61105267253</v>
      </c>
      <c r="F153">
        <v>28732891615</v>
      </c>
    </row>
    <row r="154" spans="1:6" x14ac:dyDescent="0.35">
      <c r="A154" t="s">
        <v>1942</v>
      </c>
      <c r="B154" t="s">
        <v>190</v>
      </c>
      <c r="C154">
        <v>16973509804</v>
      </c>
      <c r="D154">
        <v>-8174598968</v>
      </c>
      <c r="E154">
        <v>-41375619762</v>
      </c>
      <c r="F154">
        <v>-17937240869</v>
      </c>
    </row>
    <row r="155" spans="1:6" x14ac:dyDescent="0.35">
      <c r="A155" t="s">
        <v>1942</v>
      </c>
      <c r="B155" t="s">
        <v>191</v>
      </c>
      <c r="C155">
        <v>651811909223</v>
      </c>
      <c r="D155">
        <v>896472801794</v>
      </c>
      <c r="E155">
        <v>605444943595</v>
      </c>
      <c r="F155">
        <v>388918155240</v>
      </c>
    </row>
    <row r="156" spans="1:6" x14ac:dyDescent="0.35">
      <c r="A156" t="s">
        <v>1942</v>
      </c>
      <c r="B156" t="s">
        <v>192</v>
      </c>
      <c r="C156">
        <v>121451737943</v>
      </c>
      <c r="D156">
        <v>66688019076</v>
      </c>
      <c r="E156">
        <v>133948375022</v>
      </c>
      <c r="F156">
        <v>90396362846</v>
      </c>
    </row>
    <row r="157" spans="1:6" x14ac:dyDescent="0.35">
      <c r="A157" t="s">
        <v>1942</v>
      </c>
      <c r="B157" t="s">
        <v>193</v>
      </c>
      <c r="C157">
        <v>-13721486446</v>
      </c>
      <c r="D157">
        <v>65494816128</v>
      </c>
      <c r="E157">
        <v>-65435335150</v>
      </c>
      <c r="F157">
        <v>-4511197107</v>
      </c>
    </row>
    <row r="158" spans="1:6" x14ac:dyDescent="0.35">
      <c r="A158" t="s">
        <v>1942</v>
      </c>
      <c r="B158" t="s">
        <v>194</v>
      </c>
      <c r="C158">
        <v>544081657726</v>
      </c>
      <c r="D158">
        <v>764289966590</v>
      </c>
      <c r="E158">
        <v>536931903723</v>
      </c>
      <c r="F158">
        <v>303032989501</v>
      </c>
    </row>
    <row r="159" spans="1:6" x14ac:dyDescent="0.35">
      <c r="A159" t="s">
        <v>1942</v>
      </c>
      <c r="B159" t="s">
        <v>195</v>
      </c>
      <c r="C159">
        <v>512806303331</v>
      </c>
      <c r="D159">
        <v>695020247248</v>
      </c>
      <c r="E159">
        <v>459825388155</v>
      </c>
      <c r="F159">
        <v>139972323571</v>
      </c>
    </row>
    <row r="160" spans="1:6" x14ac:dyDescent="0.35">
      <c r="A160" t="s">
        <v>1942</v>
      </c>
      <c r="B160" t="s">
        <v>196</v>
      </c>
      <c r="C160">
        <v>31275354395</v>
      </c>
      <c r="D160">
        <v>69269719342</v>
      </c>
      <c r="E160">
        <v>77106515568</v>
      </c>
      <c r="F160">
        <v>163060665930</v>
      </c>
    </row>
    <row r="161" spans="1:6" x14ac:dyDescent="0.35">
      <c r="A161" t="s">
        <v>1942</v>
      </c>
      <c r="B161" t="s">
        <v>197</v>
      </c>
      <c r="C161">
        <v>2682</v>
      </c>
      <c r="D161">
        <v>2858</v>
      </c>
      <c r="E161">
        <v>1519</v>
      </c>
      <c r="F161">
        <v>405</v>
      </c>
    </row>
    <row r="162" spans="1:6" x14ac:dyDescent="0.35">
      <c r="A162" t="s">
        <v>1942</v>
      </c>
      <c r="B162" t="s">
        <v>198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t="s">
        <v>1943</v>
      </c>
      <c r="B163" t="s">
        <v>176</v>
      </c>
      <c r="C163">
        <v>5644088890450</v>
      </c>
      <c r="D163">
        <v>5815207697974</v>
      </c>
      <c r="E163">
        <v>9377949892489</v>
      </c>
      <c r="F163">
        <v>8579347840237</v>
      </c>
    </row>
    <row r="164" spans="1:6" x14ac:dyDescent="0.35">
      <c r="A164" t="s">
        <v>1943</v>
      </c>
      <c r="B164" t="s">
        <v>177</v>
      </c>
      <c r="C164">
        <v>4336164483</v>
      </c>
      <c r="D164">
        <v>5396769153</v>
      </c>
      <c r="E164">
        <v>6022115163</v>
      </c>
      <c r="F164">
        <v>9429498460</v>
      </c>
    </row>
    <row r="165" spans="1:6" x14ac:dyDescent="0.35">
      <c r="A165" t="s">
        <v>1943</v>
      </c>
      <c r="B165" t="s">
        <v>178</v>
      </c>
      <c r="C165">
        <v>5639752725967</v>
      </c>
      <c r="D165">
        <v>5809810928821</v>
      </c>
      <c r="E165">
        <v>9371927777326</v>
      </c>
      <c r="F165">
        <v>8569918341777</v>
      </c>
    </row>
    <row r="166" spans="1:6" x14ac:dyDescent="0.35">
      <c r="A166" t="s">
        <v>1943</v>
      </c>
      <c r="B166" t="s">
        <v>179</v>
      </c>
      <c r="C166">
        <v>4033887057177</v>
      </c>
      <c r="D166">
        <v>3499780319487</v>
      </c>
      <c r="E166">
        <v>5042144068004</v>
      </c>
      <c r="F166">
        <v>4859979570703</v>
      </c>
    </row>
    <row r="167" spans="1:6" x14ac:dyDescent="0.35">
      <c r="A167" t="s">
        <v>1943</v>
      </c>
      <c r="B167" t="s">
        <v>180</v>
      </c>
      <c r="C167">
        <v>1605865668790</v>
      </c>
      <c r="D167">
        <v>2310030609334</v>
      </c>
      <c r="E167">
        <v>4329783709322</v>
      </c>
      <c r="F167">
        <v>3709938771074</v>
      </c>
    </row>
    <row r="168" spans="1:6" x14ac:dyDescent="0.35">
      <c r="A168" t="s">
        <v>1943</v>
      </c>
      <c r="B168" t="s">
        <v>181</v>
      </c>
      <c r="C168">
        <v>221805860261</v>
      </c>
      <c r="D168">
        <v>466044378716</v>
      </c>
      <c r="E168">
        <v>186791709886</v>
      </c>
      <c r="F168">
        <v>227055551430</v>
      </c>
    </row>
    <row r="169" spans="1:6" x14ac:dyDescent="0.35">
      <c r="A169" t="s">
        <v>1943</v>
      </c>
      <c r="B169" t="s">
        <v>182</v>
      </c>
      <c r="C169">
        <v>474525519610</v>
      </c>
      <c r="D169">
        <v>707477013541</v>
      </c>
      <c r="E169">
        <v>941632842257</v>
      </c>
      <c r="F169">
        <v>1016426708380</v>
      </c>
    </row>
    <row r="170" spans="1:6" x14ac:dyDescent="0.35">
      <c r="A170" t="s">
        <v>1943</v>
      </c>
      <c r="B170" t="s">
        <v>183</v>
      </c>
      <c r="C170">
        <v>416425845956</v>
      </c>
      <c r="D170">
        <v>663213132564</v>
      </c>
      <c r="E170">
        <v>882746948990</v>
      </c>
      <c r="F170">
        <v>938879965835</v>
      </c>
    </row>
    <row r="171" spans="1:6" x14ac:dyDescent="0.35">
      <c r="A171" t="s">
        <v>1943</v>
      </c>
      <c r="B171" t="s">
        <v>184</v>
      </c>
      <c r="C171">
        <v>914775593286</v>
      </c>
      <c r="D171">
        <v>774158791759</v>
      </c>
      <c r="E171">
        <v>1077442346189</v>
      </c>
      <c r="F171">
        <v>877175804311</v>
      </c>
    </row>
    <row r="172" spans="1:6" x14ac:dyDescent="0.35">
      <c r="A172" t="s">
        <v>1943</v>
      </c>
      <c r="B172" t="s">
        <v>185</v>
      </c>
      <c r="C172">
        <v>82735361072</v>
      </c>
      <c r="D172">
        <v>85073572183</v>
      </c>
      <c r="E172">
        <v>88908329412</v>
      </c>
      <c r="F172">
        <v>92540436139</v>
      </c>
    </row>
    <row r="173" spans="1:6" x14ac:dyDescent="0.35">
      <c r="A173" t="s">
        <v>1943</v>
      </c>
      <c r="B173" t="s">
        <v>186</v>
      </c>
      <c r="C173">
        <v>283713770081</v>
      </c>
      <c r="D173">
        <v>370461124107</v>
      </c>
      <c r="E173">
        <v>577624360997</v>
      </c>
      <c r="F173">
        <v>663075670866</v>
      </c>
    </row>
    <row r="174" spans="1:6" x14ac:dyDescent="0.35">
      <c r="A174" t="s">
        <v>1943</v>
      </c>
      <c r="B174" t="s">
        <v>187</v>
      </c>
      <c r="C174">
        <v>1901472471574</v>
      </c>
      <c r="D174">
        <v>2387222069978</v>
      </c>
      <c r="E174">
        <v>3985852232731</v>
      </c>
      <c r="F174">
        <v>3042127311430</v>
      </c>
    </row>
    <row r="175" spans="1:6" x14ac:dyDescent="0.35">
      <c r="A175" t="s">
        <v>1943</v>
      </c>
      <c r="B175" t="s">
        <v>188</v>
      </c>
      <c r="C175">
        <v>28781973202</v>
      </c>
      <c r="D175">
        <v>24734212639</v>
      </c>
      <c r="E175">
        <v>43804003691</v>
      </c>
      <c r="F175">
        <v>21973706432</v>
      </c>
    </row>
    <row r="176" spans="1:6" x14ac:dyDescent="0.35">
      <c r="A176" t="s">
        <v>1943</v>
      </c>
      <c r="B176" t="s">
        <v>189</v>
      </c>
      <c r="C176">
        <v>6668972268</v>
      </c>
      <c r="D176">
        <v>12127253678</v>
      </c>
      <c r="E176">
        <v>151095155913</v>
      </c>
      <c r="F176">
        <v>8007546701</v>
      </c>
    </row>
    <row r="177" spans="1:6" x14ac:dyDescent="0.35">
      <c r="A177" t="s">
        <v>1943</v>
      </c>
      <c r="B177" t="s">
        <v>190</v>
      </c>
      <c r="C177">
        <v>22113000934</v>
      </c>
      <c r="D177">
        <v>12606958961</v>
      </c>
      <c r="E177">
        <v>-107291152222</v>
      </c>
      <c r="F177">
        <v>13966159731</v>
      </c>
    </row>
    <row r="178" spans="1:6" x14ac:dyDescent="0.35">
      <c r="A178" t="s">
        <v>1943</v>
      </c>
      <c r="B178" t="s">
        <v>191</v>
      </c>
      <c r="C178">
        <v>1923585472508</v>
      </c>
      <c r="D178">
        <v>2399829028939</v>
      </c>
      <c r="E178">
        <v>3878561080509</v>
      </c>
      <c r="F178">
        <v>3056093471161</v>
      </c>
    </row>
    <row r="179" spans="1:6" x14ac:dyDescent="0.35">
      <c r="A179" t="s">
        <v>1943</v>
      </c>
      <c r="B179" t="s">
        <v>192</v>
      </c>
      <c r="C179">
        <v>205948240596</v>
      </c>
      <c r="D179">
        <v>270987968658</v>
      </c>
      <c r="E179">
        <v>370027518385</v>
      </c>
      <c r="F179">
        <v>292077673699</v>
      </c>
    </row>
    <row r="180" spans="1:6" x14ac:dyDescent="0.35">
      <c r="A180" t="s">
        <v>1943</v>
      </c>
      <c r="B180" t="s">
        <v>193</v>
      </c>
      <c r="C180">
        <v>4135453010</v>
      </c>
      <c r="D180">
        <v>-6569186967</v>
      </c>
      <c r="E180">
        <v>-6843413041</v>
      </c>
      <c r="F180">
        <v>-22642266759</v>
      </c>
    </row>
    <row r="181" spans="1:6" x14ac:dyDescent="0.35">
      <c r="A181" t="s">
        <v>1943</v>
      </c>
      <c r="B181" t="s">
        <v>194</v>
      </c>
      <c r="C181">
        <v>1713501778902</v>
      </c>
      <c r="D181">
        <v>2135410247248</v>
      </c>
      <c r="E181">
        <v>3515376975165</v>
      </c>
      <c r="F181">
        <v>2786658064221</v>
      </c>
    </row>
    <row r="182" spans="1:6" x14ac:dyDescent="0.35">
      <c r="A182" t="s">
        <v>1943</v>
      </c>
      <c r="B182" t="s">
        <v>195</v>
      </c>
      <c r="C182">
        <v>1628076208584</v>
      </c>
      <c r="D182">
        <v>1855079628131</v>
      </c>
      <c r="E182">
        <v>2692516590418</v>
      </c>
      <c r="F182">
        <v>2188316658468</v>
      </c>
    </row>
    <row r="183" spans="1:6" x14ac:dyDescent="0.35">
      <c r="A183" t="s">
        <v>1943</v>
      </c>
      <c r="B183" t="s">
        <v>196</v>
      </c>
      <c r="C183">
        <v>85425570318</v>
      </c>
      <c r="D183">
        <v>280330619117</v>
      </c>
      <c r="E183">
        <v>822860384747</v>
      </c>
      <c r="F183">
        <v>598341405753</v>
      </c>
    </row>
    <row r="184" spans="1:6" x14ac:dyDescent="0.35">
      <c r="A184" t="s">
        <v>1943</v>
      </c>
      <c r="B184" t="s">
        <v>197</v>
      </c>
      <c r="C184">
        <v>5251</v>
      </c>
      <c r="D184">
        <v>6003</v>
      </c>
      <c r="E184">
        <v>7576</v>
      </c>
      <c r="F184">
        <v>5354</v>
      </c>
    </row>
    <row r="185" spans="1:6" x14ac:dyDescent="0.35">
      <c r="A185" t="s">
        <v>1943</v>
      </c>
      <c r="B185" t="s">
        <v>198</v>
      </c>
      <c r="C185">
        <v>5251</v>
      </c>
      <c r="D185">
        <v>6003</v>
      </c>
      <c r="E185">
        <v>7576</v>
      </c>
      <c r="F185">
        <v>5354</v>
      </c>
    </row>
    <row r="186" spans="1:6" x14ac:dyDescent="0.35">
      <c r="A186" t="s">
        <v>1958</v>
      </c>
      <c r="B186" t="s">
        <v>176</v>
      </c>
      <c r="C186">
        <v>495852606563</v>
      </c>
      <c r="D186">
        <v>661346377050</v>
      </c>
      <c r="E186">
        <v>808703629721</v>
      </c>
      <c r="F186">
        <v>655479232628</v>
      </c>
    </row>
    <row r="187" spans="1:6" x14ac:dyDescent="0.35">
      <c r="A187" t="s">
        <v>1958</v>
      </c>
      <c r="B187" t="s">
        <v>177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 t="s">
        <v>1958</v>
      </c>
      <c r="B188" t="s">
        <v>178</v>
      </c>
      <c r="C188">
        <v>495852606563</v>
      </c>
      <c r="D188">
        <v>661346377050</v>
      </c>
      <c r="E188">
        <v>808703629721</v>
      </c>
      <c r="F188">
        <v>655479232628</v>
      </c>
    </row>
    <row r="189" spans="1:6" x14ac:dyDescent="0.35">
      <c r="A189" t="s">
        <v>1958</v>
      </c>
      <c r="B189" t="s">
        <v>179</v>
      </c>
      <c r="C189">
        <v>171612750911</v>
      </c>
      <c r="D189">
        <v>286078193456</v>
      </c>
      <c r="E189">
        <v>308271173619</v>
      </c>
      <c r="F189">
        <v>287644373035</v>
      </c>
    </row>
    <row r="190" spans="1:6" x14ac:dyDescent="0.35">
      <c r="A190" t="s">
        <v>1958</v>
      </c>
      <c r="B190" t="s">
        <v>180</v>
      </c>
      <c r="C190">
        <v>324239855652</v>
      </c>
      <c r="D190">
        <v>375268183594</v>
      </c>
      <c r="E190">
        <v>500432456102</v>
      </c>
      <c r="F190">
        <v>367834859593</v>
      </c>
    </row>
    <row r="191" spans="1:6" x14ac:dyDescent="0.35">
      <c r="A191" t="s">
        <v>1958</v>
      </c>
      <c r="B191" t="s">
        <v>181</v>
      </c>
      <c r="C191">
        <v>163385273</v>
      </c>
      <c r="D191">
        <v>4266127761</v>
      </c>
      <c r="E191">
        <v>129442717</v>
      </c>
      <c r="F191">
        <v>172486239</v>
      </c>
    </row>
    <row r="192" spans="1:6" x14ac:dyDescent="0.35">
      <c r="A192" t="s">
        <v>1958</v>
      </c>
      <c r="B192" t="s">
        <v>182</v>
      </c>
      <c r="C192">
        <v>163716453201</v>
      </c>
      <c r="D192">
        <v>208645250651</v>
      </c>
      <c r="E192">
        <v>239731716431</v>
      </c>
      <c r="F192">
        <v>223085525165</v>
      </c>
    </row>
    <row r="193" spans="1:6" x14ac:dyDescent="0.35">
      <c r="A193" t="s">
        <v>1958</v>
      </c>
      <c r="B193" t="s">
        <v>183</v>
      </c>
      <c r="C193">
        <v>163716453201</v>
      </c>
      <c r="D193">
        <v>207910574527</v>
      </c>
      <c r="E193">
        <v>191726077614</v>
      </c>
      <c r="F193">
        <v>211481339563</v>
      </c>
    </row>
    <row r="194" spans="1:6" x14ac:dyDescent="0.35">
      <c r="A194" t="s">
        <v>1958</v>
      </c>
      <c r="B194" t="s">
        <v>184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 t="s">
        <v>1958</v>
      </c>
      <c r="B195" t="s">
        <v>185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 t="s">
        <v>1958</v>
      </c>
      <c r="B196" t="s">
        <v>186</v>
      </c>
      <c r="C196">
        <v>17220227532</v>
      </c>
      <c r="D196">
        <v>21036048837</v>
      </c>
      <c r="E196">
        <v>20890644019</v>
      </c>
      <c r="F196">
        <v>20025613615</v>
      </c>
    </row>
    <row r="197" spans="1:6" x14ac:dyDescent="0.35">
      <c r="A197" t="s">
        <v>1958</v>
      </c>
      <c r="B197" t="s">
        <v>187</v>
      </c>
      <c r="C197">
        <v>143466560192</v>
      </c>
      <c r="D197">
        <v>149853011867</v>
      </c>
      <c r="E197">
        <v>239939538369</v>
      </c>
      <c r="F197">
        <v>124896207052</v>
      </c>
    </row>
    <row r="198" spans="1:6" x14ac:dyDescent="0.35">
      <c r="A198" t="s">
        <v>1958</v>
      </c>
      <c r="B198" t="s">
        <v>188</v>
      </c>
      <c r="C198">
        <v>1014636381</v>
      </c>
      <c r="D198">
        <v>18182379</v>
      </c>
      <c r="E198">
        <v>1014448</v>
      </c>
      <c r="F198">
        <v>660377811</v>
      </c>
    </row>
    <row r="199" spans="1:6" x14ac:dyDescent="0.35">
      <c r="A199" t="s">
        <v>1958</v>
      </c>
      <c r="B199" t="s">
        <v>189</v>
      </c>
      <c r="C199">
        <v>1570730767</v>
      </c>
      <c r="D199">
        <v>7724958628</v>
      </c>
      <c r="E199">
        <v>20133782592</v>
      </c>
      <c r="F199">
        <v>12444414330</v>
      </c>
    </row>
    <row r="200" spans="1:6" x14ac:dyDescent="0.35">
      <c r="A200" t="s">
        <v>1958</v>
      </c>
      <c r="B200" t="s">
        <v>190</v>
      </c>
      <c r="C200">
        <v>-556094386</v>
      </c>
      <c r="D200">
        <v>-7706776249</v>
      </c>
      <c r="E200">
        <v>-20132768144</v>
      </c>
      <c r="F200">
        <v>-11784036519</v>
      </c>
    </row>
    <row r="201" spans="1:6" x14ac:dyDescent="0.35">
      <c r="A201" t="s">
        <v>1958</v>
      </c>
      <c r="B201" t="s">
        <v>191</v>
      </c>
      <c r="C201">
        <v>142910465806</v>
      </c>
      <c r="D201">
        <v>142146235618</v>
      </c>
      <c r="E201">
        <v>219806770225</v>
      </c>
      <c r="F201">
        <v>113112170533</v>
      </c>
    </row>
    <row r="202" spans="1:6" x14ac:dyDescent="0.35">
      <c r="A202" t="s">
        <v>1958</v>
      </c>
      <c r="B202" t="s">
        <v>192</v>
      </c>
      <c r="C202">
        <v>13767285379</v>
      </c>
      <c r="D202">
        <v>8754731008</v>
      </c>
      <c r="E202">
        <v>14822505336</v>
      </c>
      <c r="F202">
        <v>11651735731</v>
      </c>
    </row>
    <row r="203" spans="1:6" x14ac:dyDescent="0.35">
      <c r="A203" t="s">
        <v>1958</v>
      </c>
      <c r="B203" t="s">
        <v>193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 t="s">
        <v>1958</v>
      </c>
      <c r="B204" t="s">
        <v>194</v>
      </c>
      <c r="C204">
        <v>129143180427</v>
      </c>
      <c r="D204">
        <v>133391504610</v>
      </c>
      <c r="E204">
        <v>204984264889</v>
      </c>
      <c r="F204">
        <v>101460434802</v>
      </c>
    </row>
    <row r="205" spans="1:6" x14ac:dyDescent="0.35">
      <c r="A205" t="s">
        <v>1958</v>
      </c>
      <c r="B205" t="s">
        <v>195</v>
      </c>
      <c r="C205">
        <v>129143180427</v>
      </c>
      <c r="D205">
        <v>133391504610</v>
      </c>
      <c r="E205">
        <v>204984264889</v>
      </c>
      <c r="F205">
        <v>101460434802</v>
      </c>
    </row>
    <row r="206" spans="1:6" x14ac:dyDescent="0.35">
      <c r="A206" t="s">
        <v>1958</v>
      </c>
      <c r="B206" t="s">
        <v>196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t="s">
        <v>1958</v>
      </c>
      <c r="B207" t="s">
        <v>197</v>
      </c>
      <c r="C207">
        <v>782</v>
      </c>
      <c r="D207">
        <v>732</v>
      </c>
      <c r="E207">
        <v>969</v>
      </c>
      <c r="F207">
        <v>420</v>
      </c>
    </row>
    <row r="208" spans="1:6" x14ac:dyDescent="0.35">
      <c r="A208" t="s">
        <v>1958</v>
      </c>
      <c r="B208" t="s">
        <v>198</v>
      </c>
      <c r="C208">
        <v>0</v>
      </c>
      <c r="D208">
        <v>0</v>
      </c>
      <c r="E208">
        <v>969</v>
      </c>
      <c r="F208">
        <v>420</v>
      </c>
    </row>
    <row r="209" spans="1:6" x14ac:dyDescent="0.35">
      <c r="A209" t="s">
        <v>1944</v>
      </c>
      <c r="B209" t="s">
        <v>176</v>
      </c>
      <c r="C209">
        <v>3346394846990</v>
      </c>
      <c r="D209">
        <v>3629140570492</v>
      </c>
      <c r="E209">
        <v>1322050620541</v>
      </c>
      <c r="F209">
        <v>1061339545659</v>
      </c>
    </row>
    <row r="210" spans="1:6" x14ac:dyDescent="0.35">
      <c r="A210" t="s">
        <v>1944</v>
      </c>
      <c r="B210" t="s">
        <v>177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 t="s">
        <v>1944</v>
      </c>
      <c r="B211" t="s">
        <v>178</v>
      </c>
      <c r="C211">
        <v>3346394846990</v>
      </c>
      <c r="D211">
        <v>3629140570492</v>
      </c>
      <c r="E211">
        <v>1322050620541</v>
      </c>
      <c r="F211">
        <v>1061339545659</v>
      </c>
    </row>
    <row r="212" spans="1:6" x14ac:dyDescent="0.35">
      <c r="A212" t="s">
        <v>1944</v>
      </c>
      <c r="B212" t="s">
        <v>179</v>
      </c>
      <c r="C212">
        <v>2917913214615</v>
      </c>
      <c r="D212">
        <v>3298433325278</v>
      </c>
      <c r="E212">
        <v>1136168727554</v>
      </c>
      <c r="F212">
        <v>852156442184</v>
      </c>
    </row>
    <row r="213" spans="1:6" x14ac:dyDescent="0.35">
      <c r="A213" t="s">
        <v>1944</v>
      </c>
      <c r="B213" t="s">
        <v>180</v>
      </c>
      <c r="C213">
        <v>428481632375</v>
      </c>
      <c r="D213">
        <v>330707245214</v>
      </c>
      <c r="E213">
        <v>185881892987</v>
      </c>
      <c r="F213">
        <v>209183103475</v>
      </c>
    </row>
    <row r="214" spans="1:6" x14ac:dyDescent="0.35">
      <c r="A214" t="s">
        <v>1944</v>
      </c>
      <c r="B214" t="s">
        <v>181</v>
      </c>
      <c r="C214">
        <v>67168062641</v>
      </c>
      <c r="D214">
        <v>52155806100</v>
      </c>
      <c r="E214">
        <v>32195098767</v>
      </c>
      <c r="F214">
        <v>26272282863</v>
      </c>
    </row>
    <row r="215" spans="1:6" x14ac:dyDescent="0.35">
      <c r="A215" t="s">
        <v>1944</v>
      </c>
      <c r="B215" t="s">
        <v>182</v>
      </c>
      <c r="C215">
        <v>11359243689</v>
      </c>
      <c r="D215">
        <v>10081335620</v>
      </c>
      <c r="E215">
        <v>42223025288</v>
      </c>
      <c r="F215">
        <v>33075049322</v>
      </c>
    </row>
    <row r="216" spans="1:6" x14ac:dyDescent="0.35">
      <c r="A216" t="s">
        <v>1944</v>
      </c>
      <c r="B216" t="s">
        <v>183</v>
      </c>
      <c r="C216">
        <v>3745330871</v>
      </c>
      <c r="D216">
        <v>5703570871</v>
      </c>
      <c r="E216">
        <v>6097601863</v>
      </c>
      <c r="F216">
        <v>6833786084</v>
      </c>
    </row>
    <row r="217" spans="1:6" x14ac:dyDescent="0.35">
      <c r="A217" t="s">
        <v>1944</v>
      </c>
      <c r="B217" t="s">
        <v>184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 t="s">
        <v>1944</v>
      </c>
      <c r="B218" t="s">
        <v>185</v>
      </c>
      <c r="C218">
        <v>30754910102</v>
      </c>
      <c r="D218">
        <v>-85343775106</v>
      </c>
      <c r="E218">
        <v>-19952772095</v>
      </c>
      <c r="F218">
        <v>1731306963</v>
      </c>
    </row>
    <row r="219" spans="1:6" x14ac:dyDescent="0.35">
      <c r="A219" t="s">
        <v>1944</v>
      </c>
      <c r="B219" t="s">
        <v>186</v>
      </c>
      <c r="C219">
        <v>126152894491</v>
      </c>
      <c r="D219">
        <v>135128791645</v>
      </c>
      <c r="E219">
        <v>149244822412</v>
      </c>
      <c r="F219">
        <v>136607451639</v>
      </c>
    </row>
    <row r="220" spans="1:6" x14ac:dyDescent="0.35">
      <c r="A220" t="s">
        <v>1944</v>
      </c>
      <c r="B220" t="s">
        <v>187</v>
      </c>
      <c r="C220">
        <v>327382646734</v>
      </c>
      <c r="D220">
        <v>322996699155</v>
      </c>
      <c r="E220">
        <v>46561916149</v>
      </c>
      <c r="F220">
        <v>64041578414</v>
      </c>
    </row>
    <row r="221" spans="1:6" x14ac:dyDescent="0.35">
      <c r="A221" t="s">
        <v>1944</v>
      </c>
      <c r="B221" t="s">
        <v>188</v>
      </c>
      <c r="C221">
        <v>3407804842</v>
      </c>
      <c r="D221">
        <v>16150560379</v>
      </c>
      <c r="E221">
        <v>18804920779</v>
      </c>
      <c r="F221">
        <v>4511113298</v>
      </c>
    </row>
    <row r="222" spans="1:6" x14ac:dyDescent="0.35">
      <c r="A222" t="s">
        <v>1944</v>
      </c>
      <c r="B222" t="s">
        <v>189</v>
      </c>
      <c r="C222">
        <v>4002033578</v>
      </c>
      <c r="D222">
        <v>1437329447</v>
      </c>
      <c r="E222">
        <v>2020447134</v>
      </c>
      <c r="F222">
        <v>3045326230</v>
      </c>
    </row>
    <row r="223" spans="1:6" x14ac:dyDescent="0.35">
      <c r="A223" t="s">
        <v>1944</v>
      </c>
      <c r="B223" t="s">
        <v>190</v>
      </c>
      <c r="C223">
        <v>-594228736</v>
      </c>
      <c r="D223">
        <v>14713230932</v>
      </c>
      <c r="E223">
        <v>16784473645</v>
      </c>
      <c r="F223">
        <v>1465787068</v>
      </c>
    </row>
    <row r="224" spans="1:6" x14ac:dyDescent="0.35">
      <c r="A224" t="s">
        <v>1944</v>
      </c>
      <c r="B224" t="s">
        <v>191</v>
      </c>
      <c r="C224">
        <v>326788417998</v>
      </c>
      <c r="D224">
        <v>337709930087</v>
      </c>
      <c r="E224">
        <v>63346389794</v>
      </c>
      <c r="F224">
        <v>65507365482</v>
      </c>
    </row>
    <row r="225" spans="1:6" x14ac:dyDescent="0.35">
      <c r="A225" t="s">
        <v>1944</v>
      </c>
      <c r="B225" t="s">
        <v>192</v>
      </c>
      <c r="C225">
        <v>38292608292</v>
      </c>
      <c r="D225">
        <v>65953481238</v>
      </c>
      <c r="E225">
        <v>10164799053</v>
      </c>
      <c r="F225">
        <v>12842511158</v>
      </c>
    </row>
    <row r="226" spans="1:6" x14ac:dyDescent="0.35">
      <c r="A226" t="s">
        <v>1944</v>
      </c>
      <c r="B226" t="s">
        <v>193</v>
      </c>
      <c r="C226">
        <v>26296944736</v>
      </c>
      <c r="D226">
        <v>0</v>
      </c>
      <c r="E226">
        <v>295076451</v>
      </c>
      <c r="F226">
        <v>-481166338</v>
      </c>
    </row>
    <row r="227" spans="1:6" x14ac:dyDescent="0.35">
      <c r="A227" t="s">
        <v>1944</v>
      </c>
      <c r="B227" t="s">
        <v>194</v>
      </c>
      <c r="C227">
        <v>262198864970</v>
      </c>
      <c r="D227">
        <v>271756448849</v>
      </c>
      <c r="E227">
        <v>52886514290</v>
      </c>
      <c r="F227">
        <v>53146020662</v>
      </c>
    </row>
    <row r="228" spans="1:6" x14ac:dyDescent="0.35">
      <c r="A228" t="s">
        <v>1944</v>
      </c>
      <c r="B228" t="s">
        <v>195</v>
      </c>
      <c r="C228">
        <v>262198864970</v>
      </c>
      <c r="D228">
        <v>271756448849</v>
      </c>
      <c r="E228">
        <v>52886514290</v>
      </c>
      <c r="F228">
        <v>53146020662</v>
      </c>
    </row>
    <row r="229" spans="1:6" x14ac:dyDescent="0.35">
      <c r="A229" t="s">
        <v>1944</v>
      </c>
      <c r="B229" t="s">
        <v>196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t="s">
        <v>1944</v>
      </c>
      <c r="B230" t="s">
        <v>197</v>
      </c>
      <c r="C230">
        <v>7280</v>
      </c>
      <c r="D230">
        <v>6037</v>
      </c>
      <c r="E230">
        <v>783</v>
      </c>
      <c r="F230">
        <v>787</v>
      </c>
    </row>
    <row r="231" spans="1:6" x14ac:dyDescent="0.35">
      <c r="A231" t="s">
        <v>1944</v>
      </c>
      <c r="B231" t="s">
        <v>198</v>
      </c>
      <c r="C231">
        <v>0</v>
      </c>
      <c r="D231">
        <v>6037</v>
      </c>
      <c r="E231">
        <v>783</v>
      </c>
      <c r="F231">
        <v>787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7355-5852-4353-A870-ABAD5E8546F3}">
  <dimension ref="A1:R1191"/>
  <sheetViews>
    <sheetView workbookViewId="0">
      <selection activeCell="C1" sqref="C1:R1"/>
    </sheetView>
  </sheetViews>
  <sheetFormatPr defaultRowHeight="14.5" x14ac:dyDescent="0.35"/>
  <cols>
    <col min="1" max="1" width="16.453125" bestFit="1" customWidth="1"/>
    <col min="2" max="2" width="45.26953125" bestFit="1" customWidth="1"/>
    <col min="3" max="18" width="12.453125" bestFit="1" customWidth="1"/>
  </cols>
  <sheetData>
    <row r="1" spans="1:18" x14ac:dyDescent="0.35">
      <c r="A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199</v>
      </c>
      <c r="P1" t="s">
        <v>200</v>
      </c>
      <c r="Q1" t="s">
        <v>201</v>
      </c>
      <c r="R1" t="s">
        <v>202</v>
      </c>
    </row>
    <row r="2" spans="1:18" x14ac:dyDescent="0.35">
      <c r="A2" t="s">
        <v>1936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8" x14ac:dyDescent="0.35">
      <c r="A3" t="s">
        <v>1936</v>
      </c>
      <c r="B3" t="s">
        <v>7</v>
      </c>
      <c r="C3">
        <v>8911674052085</v>
      </c>
      <c r="D3">
        <v>8332104049323</v>
      </c>
      <c r="E3">
        <v>8907570807269</v>
      </c>
      <c r="F3">
        <v>9062524417662</v>
      </c>
      <c r="G3">
        <v>9201630600435</v>
      </c>
      <c r="H3">
        <v>9278792717291</v>
      </c>
      <c r="I3">
        <v>9617285366100</v>
      </c>
      <c r="J3">
        <v>9715175186930</v>
      </c>
      <c r="K3">
        <v>9318159848857</v>
      </c>
      <c r="L3">
        <v>9211846322393</v>
      </c>
      <c r="M3">
        <v>9728251939737</v>
      </c>
      <c r="N3">
        <v>9775134627436</v>
      </c>
      <c r="O3">
        <v>10011105362841</v>
      </c>
      <c r="P3">
        <v>11097792363751</v>
      </c>
      <c r="Q3">
        <v>10999184770663</v>
      </c>
      <c r="R3">
        <v>11491115730383</v>
      </c>
    </row>
    <row r="4" spans="1:18" x14ac:dyDescent="0.35">
      <c r="A4" t="s">
        <v>1936</v>
      </c>
      <c r="B4" t="s">
        <v>8</v>
      </c>
      <c r="C4">
        <v>771957779906</v>
      </c>
      <c r="D4">
        <v>781486471417</v>
      </c>
      <c r="E4">
        <v>603291123780</v>
      </c>
      <c r="F4">
        <v>968793255378</v>
      </c>
      <c r="G4">
        <v>846602135607</v>
      </c>
      <c r="H4">
        <v>800553548004</v>
      </c>
      <c r="I4">
        <v>449803838155</v>
      </c>
      <c r="J4">
        <v>782739356254</v>
      </c>
      <c r="K4">
        <v>987691169286</v>
      </c>
      <c r="L4">
        <v>817343213117</v>
      </c>
      <c r="M4">
        <v>612838248623</v>
      </c>
      <c r="N4">
        <v>324945379538</v>
      </c>
      <c r="O4">
        <v>859294255163</v>
      </c>
      <c r="P4">
        <v>1365027739995</v>
      </c>
      <c r="Q4">
        <v>657496133753</v>
      </c>
      <c r="R4">
        <v>723618193729</v>
      </c>
    </row>
    <row r="5" spans="1:18" x14ac:dyDescent="0.35">
      <c r="A5" t="s">
        <v>1936</v>
      </c>
      <c r="B5" t="s">
        <v>9</v>
      </c>
      <c r="C5">
        <v>668376031020</v>
      </c>
      <c r="D5">
        <v>490660505385</v>
      </c>
      <c r="E5">
        <v>432709374894</v>
      </c>
      <c r="F5">
        <v>564743883494</v>
      </c>
      <c r="G5">
        <v>482386025867</v>
      </c>
      <c r="H5">
        <v>464795608133</v>
      </c>
      <c r="I5">
        <v>353432213039</v>
      </c>
      <c r="J5">
        <v>493118188462</v>
      </c>
      <c r="K5">
        <v>481849111304</v>
      </c>
      <c r="L5">
        <v>468746575535</v>
      </c>
      <c r="M5">
        <v>524073449178</v>
      </c>
      <c r="N5">
        <v>265534926393</v>
      </c>
      <c r="O5">
        <v>367209234891</v>
      </c>
      <c r="P5">
        <v>444944309108</v>
      </c>
      <c r="Q5">
        <v>278695058009</v>
      </c>
      <c r="R5">
        <v>398268497869</v>
      </c>
    </row>
    <row r="6" spans="1:18" x14ac:dyDescent="0.35">
      <c r="A6" t="s">
        <v>1936</v>
      </c>
      <c r="B6" t="s">
        <v>10</v>
      </c>
      <c r="C6">
        <v>103581748886</v>
      </c>
      <c r="D6">
        <v>290825966032</v>
      </c>
      <c r="E6">
        <v>170581748886</v>
      </c>
      <c r="F6">
        <v>404049371884</v>
      </c>
      <c r="G6">
        <v>364216109740</v>
      </c>
      <c r="H6">
        <v>335757939871</v>
      </c>
      <c r="I6">
        <v>96371625116</v>
      </c>
      <c r="J6">
        <v>289621167792</v>
      </c>
      <c r="K6">
        <v>505842057982</v>
      </c>
      <c r="L6">
        <v>348596637582</v>
      </c>
      <c r="M6">
        <v>88764799445</v>
      </c>
      <c r="N6">
        <v>59410453145</v>
      </c>
      <c r="O6">
        <v>492085020272</v>
      </c>
      <c r="P6">
        <v>920083430887</v>
      </c>
      <c r="Q6">
        <v>378801075744</v>
      </c>
      <c r="R6">
        <v>325349695860</v>
      </c>
    </row>
    <row r="7" spans="1:18" x14ac:dyDescent="0.35">
      <c r="A7" t="s">
        <v>1936</v>
      </c>
      <c r="B7" t="s">
        <v>11</v>
      </c>
      <c r="C7">
        <v>549142853560</v>
      </c>
      <c r="D7">
        <v>1172783636414</v>
      </c>
      <c r="E7">
        <v>1334878831231</v>
      </c>
      <c r="F7">
        <v>1197160418872</v>
      </c>
      <c r="G7">
        <v>1337849546905</v>
      </c>
      <c r="H7">
        <v>1390026899680</v>
      </c>
      <c r="I7">
        <v>1619307943896</v>
      </c>
      <c r="J7">
        <v>1463372582530</v>
      </c>
      <c r="K7">
        <v>1161464431290</v>
      </c>
      <c r="L7">
        <v>981405931644</v>
      </c>
      <c r="M7">
        <v>1439685172568</v>
      </c>
      <c r="N7">
        <v>1700822783580</v>
      </c>
      <c r="O7">
        <v>1101796017811</v>
      </c>
      <c r="P7">
        <v>981956468827</v>
      </c>
      <c r="Q7">
        <v>1153509626518</v>
      </c>
      <c r="R7">
        <v>1238078658699</v>
      </c>
    </row>
    <row r="8" spans="1:18" x14ac:dyDescent="0.35">
      <c r="A8" t="s">
        <v>1936</v>
      </c>
      <c r="B8" t="s">
        <v>12</v>
      </c>
      <c r="C8">
        <v>0</v>
      </c>
      <c r="D8">
        <v>0</v>
      </c>
      <c r="E8">
        <v>0</v>
      </c>
      <c r="F8">
        <v>860445000</v>
      </c>
      <c r="G8">
        <v>0</v>
      </c>
      <c r="H8">
        <v>1410012119</v>
      </c>
      <c r="I8">
        <v>4767424194</v>
      </c>
      <c r="J8">
        <v>6558595140</v>
      </c>
      <c r="K8">
        <v>7011638216</v>
      </c>
      <c r="L8">
        <v>7269215860</v>
      </c>
      <c r="M8">
        <v>7100649645</v>
      </c>
      <c r="N8">
        <v>6651198112</v>
      </c>
      <c r="O8">
        <v>6786976053</v>
      </c>
      <c r="P8">
        <v>6509116327</v>
      </c>
      <c r="Q8">
        <v>5995356412</v>
      </c>
      <c r="R8">
        <v>6257255627</v>
      </c>
    </row>
    <row r="9" spans="1:18" x14ac:dyDescent="0.35">
      <c r="A9" t="s">
        <v>1936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-22502203</v>
      </c>
      <c r="J9">
        <v>-1537559628</v>
      </c>
      <c r="K9">
        <v>-2092583614</v>
      </c>
      <c r="L9">
        <v>-2362011972</v>
      </c>
      <c r="M9">
        <v>-2074692645</v>
      </c>
      <c r="N9">
        <v>-1469059930</v>
      </c>
      <c r="O9">
        <v>-1213536075</v>
      </c>
      <c r="P9">
        <v>-1316610153</v>
      </c>
      <c r="Q9">
        <v>-698321585</v>
      </c>
      <c r="R9">
        <v>-847726043</v>
      </c>
    </row>
    <row r="10" spans="1:18" x14ac:dyDescent="0.35">
      <c r="A10" t="s">
        <v>1936</v>
      </c>
      <c r="B10" t="s">
        <v>14</v>
      </c>
      <c r="C10">
        <v>549142853560</v>
      </c>
      <c r="D10">
        <v>1172783636414</v>
      </c>
      <c r="E10">
        <v>1334878831231</v>
      </c>
      <c r="F10">
        <v>1196299973872</v>
      </c>
      <c r="G10">
        <v>1337849546905</v>
      </c>
      <c r="H10">
        <v>1388616887561</v>
      </c>
      <c r="I10">
        <v>1614563021905</v>
      </c>
      <c r="J10">
        <v>1458351547018</v>
      </c>
      <c r="K10">
        <v>1156545376688</v>
      </c>
      <c r="L10">
        <v>976498727756</v>
      </c>
      <c r="M10">
        <v>1434659215568</v>
      </c>
      <c r="N10">
        <v>1695640645398</v>
      </c>
      <c r="O10">
        <v>1096222577833</v>
      </c>
      <c r="P10">
        <v>976763962653</v>
      </c>
      <c r="Q10">
        <v>1148212591691</v>
      </c>
      <c r="R10">
        <v>1232669129115</v>
      </c>
    </row>
    <row r="11" spans="1:18" x14ac:dyDescent="0.35">
      <c r="A11" t="s">
        <v>1936</v>
      </c>
      <c r="B11" t="s">
        <v>15</v>
      </c>
      <c r="C11">
        <v>3984059646849</v>
      </c>
      <c r="D11">
        <v>3176963793150</v>
      </c>
      <c r="E11">
        <v>3875375839905</v>
      </c>
      <c r="F11">
        <v>3969720954618</v>
      </c>
      <c r="G11">
        <v>4273872005913</v>
      </c>
      <c r="H11">
        <v>4177940761844</v>
      </c>
      <c r="I11">
        <v>4671192859421</v>
      </c>
      <c r="J11">
        <v>4588227586240</v>
      </c>
      <c r="K11">
        <v>4153128670087</v>
      </c>
      <c r="L11">
        <v>4165336155454</v>
      </c>
      <c r="M11">
        <v>4496775318265</v>
      </c>
      <c r="N11">
        <v>4198311301114</v>
      </c>
      <c r="O11">
        <v>4309319804698</v>
      </c>
      <c r="P11">
        <v>4132243385406</v>
      </c>
      <c r="Q11">
        <v>4687404575326</v>
      </c>
      <c r="R11">
        <v>5158871237586</v>
      </c>
    </row>
    <row r="12" spans="1:18" x14ac:dyDescent="0.35">
      <c r="A12" t="s">
        <v>1936</v>
      </c>
      <c r="B12" t="s">
        <v>16</v>
      </c>
      <c r="C12">
        <v>1831000691056</v>
      </c>
      <c r="D12">
        <v>1424087544943</v>
      </c>
      <c r="E12">
        <v>1773366666271</v>
      </c>
      <c r="F12">
        <v>1840634463896</v>
      </c>
      <c r="G12">
        <v>1793699716662</v>
      </c>
      <c r="H12">
        <v>1721315263872</v>
      </c>
      <c r="I12">
        <v>1959573386975</v>
      </c>
      <c r="J12">
        <v>1773537818470</v>
      </c>
      <c r="K12">
        <v>1852097786875</v>
      </c>
      <c r="L12">
        <v>1744033006809</v>
      </c>
      <c r="M12">
        <v>1911424587748</v>
      </c>
      <c r="N12">
        <v>1886702514479</v>
      </c>
      <c r="O12">
        <v>1869394884129</v>
      </c>
      <c r="P12">
        <v>1663306509210</v>
      </c>
      <c r="Q12">
        <v>2088426470054</v>
      </c>
      <c r="R12">
        <v>2338809227597</v>
      </c>
    </row>
    <row r="13" spans="1:18" x14ac:dyDescent="0.35">
      <c r="A13" t="s">
        <v>1936</v>
      </c>
      <c r="B13" t="s">
        <v>17</v>
      </c>
      <c r="C13">
        <v>1744174307227</v>
      </c>
      <c r="D13">
        <v>1416175246423</v>
      </c>
      <c r="E13">
        <v>1784510915448</v>
      </c>
      <c r="F13">
        <v>1911093502903</v>
      </c>
      <c r="G13">
        <v>2256990811347</v>
      </c>
      <c r="H13">
        <v>2233239365040</v>
      </c>
      <c r="I13">
        <v>2358657090894</v>
      </c>
      <c r="J13">
        <v>2444909075823</v>
      </c>
      <c r="K13">
        <v>2076752992473</v>
      </c>
      <c r="L13">
        <v>2196408024364</v>
      </c>
      <c r="M13">
        <v>2298410227362</v>
      </c>
      <c r="N13">
        <v>2019491859444</v>
      </c>
      <c r="O13">
        <v>2147697880070</v>
      </c>
      <c r="P13">
        <v>2227673234512</v>
      </c>
      <c r="Q13">
        <v>2345361526183</v>
      </c>
      <c r="R13">
        <v>2503711954626</v>
      </c>
    </row>
    <row r="14" spans="1:18" x14ac:dyDescent="0.35">
      <c r="A14" t="s">
        <v>1936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8" x14ac:dyDescent="0.35">
      <c r="A15" t="s">
        <v>1936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8" x14ac:dyDescent="0.35">
      <c r="A16" t="s">
        <v>1936</v>
      </c>
      <c r="B16" t="s">
        <v>20</v>
      </c>
      <c r="C16">
        <v>1000000000</v>
      </c>
      <c r="D16">
        <v>1000000000</v>
      </c>
      <c r="E16">
        <v>1000000000</v>
      </c>
      <c r="F16">
        <v>500000000</v>
      </c>
      <c r="G16">
        <v>300000000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8" x14ac:dyDescent="0.35">
      <c r="A17" t="s">
        <v>1936</v>
      </c>
      <c r="B17" t="s">
        <v>21</v>
      </c>
      <c r="C17">
        <v>475806522627</v>
      </c>
      <c r="D17">
        <v>403352545694</v>
      </c>
      <c r="E17">
        <v>384168826081</v>
      </c>
      <c r="F17">
        <v>285163555714</v>
      </c>
      <c r="G17">
        <v>290552045799</v>
      </c>
      <c r="H17">
        <v>290076839813</v>
      </c>
      <c r="I17">
        <v>419754621960</v>
      </c>
      <c r="J17">
        <v>436572932355</v>
      </c>
      <c r="K17">
        <v>290946721747</v>
      </c>
      <c r="L17">
        <v>291598501932</v>
      </c>
      <c r="M17">
        <v>353649334163</v>
      </c>
      <c r="N17">
        <v>358825758199</v>
      </c>
      <c r="O17">
        <v>358935871507</v>
      </c>
      <c r="P17">
        <v>309488236729</v>
      </c>
      <c r="Q17">
        <v>321846912747</v>
      </c>
      <c r="R17">
        <v>384580389021</v>
      </c>
    </row>
    <row r="18" spans="1:18" x14ac:dyDescent="0.35">
      <c r="A18" t="s">
        <v>1936</v>
      </c>
      <c r="B18" t="s">
        <v>22</v>
      </c>
      <c r="C18">
        <v>-67921874061</v>
      </c>
      <c r="D18">
        <v>-67670567895</v>
      </c>
      <c r="E18">
        <v>-67670567895</v>
      </c>
      <c r="F18">
        <v>-67670567895</v>
      </c>
      <c r="G18">
        <v>-67670567895</v>
      </c>
      <c r="H18">
        <v>-66792240408</v>
      </c>
      <c r="I18">
        <v>-66792240408</v>
      </c>
      <c r="J18">
        <v>-66792240408</v>
      </c>
      <c r="K18">
        <v>-66668831008</v>
      </c>
      <c r="L18">
        <v>-66708831008</v>
      </c>
      <c r="M18">
        <v>-66708831008</v>
      </c>
      <c r="N18">
        <v>-66708831008</v>
      </c>
      <c r="O18">
        <v>-66708831008</v>
      </c>
      <c r="P18">
        <v>-68230333658</v>
      </c>
      <c r="Q18">
        <v>-68230333658</v>
      </c>
      <c r="R18">
        <v>-68230333658</v>
      </c>
    </row>
    <row r="19" spans="1:18" x14ac:dyDescent="0.35">
      <c r="A19" t="s">
        <v>1936</v>
      </c>
      <c r="B19" t="s">
        <v>23</v>
      </c>
      <c r="C19">
        <v>0</v>
      </c>
      <c r="D19">
        <v>19023985</v>
      </c>
      <c r="E19">
        <v>0</v>
      </c>
      <c r="F19">
        <v>0</v>
      </c>
      <c r="G19">
        <v>0</v>
      </c>
      <c r="H19">
        <v>101533527</v>
      </c>
      <c r="I19">
        <v>0</v>
      </c>
      <c r="J19">
        <v>0</v>
      </c>
      <c r="K19">
        <v>0</v>
      </c>
      <c r="L19">
        <v>5453357</v>
      </c>
      <c r="M19">
        <v>0</v>
      </c>
      <c r="N19">
        <v>0</v>
      </c>
      <c r="P19">
        <v>5738613</v>
      </c>
    </row>
    <row r="20" spans="1:18" x14ac:dyDescent="0.35">
      <c r="A20" t="s">
        <v>1936</v>
      </c>
      <c r="B20" t="s">
        <v>24</v>
      </c>
      <c r="C20">
        <v>3526625173170</v>
      </c>
      <c r="D20">
        <v>3043665023354</v>
      </c>
      <c r="E20">
        <v>3028481483338</v>
      </c>
      <c r="F20">
        <v>2852455294672</v>
      </c>
      <c r="G20">
        <v>2670250606232</v>
      </c>
      <c r="H20">
        <v>2856255557398</v>
      </c>
      <c r="I20">
        <v>2820614856297</v>
      </c>
      <c r="J20">
        <v>2819546882212</v>
      </c>
      <c r="K20">
        <v>2958484388549</v>
      </c>
      <c r="L20">
        <v>3189929388841</v>
      </c>
      <c r="M20">
        <v>3118207898844</v>
      </c>
      <c r="N20">
        <v>3486108809295</v>
      </c>
      <c r="O20">
        <v>3659916365273</v>
      </c>
      <c r="P20">
        <v>4555774826135</v>
      </c>
      <c r="Q20">
        <v>4440092791223</v>
      </c>
      <c r="R20">
        <v>4309170145185</v>
      </c>
    </row>
    <row r="21" spans="1:18" x14ac:dyDescent="0.35">
      <c r="A21" t="s">
        <v>1936</v>
      </c>
      <c r="B21" t="s">
        <v>25</v>
      </c>
      <c r="C21">
        <v>3528381804167</v>
      </c>
      <c r="D21">
        <v>3093171082237</v>
      </c>
      <c r="E21">
        <v>3077987542221</v>
      </c>
      <c r="F21">
        <v>2901961353555</v>
      </c>
      <c r="G21">
        <v>2719756665115</v>
      </c>
      <c r="H21">
        <v>2856255557398</v>
      </c>
      <c r="I21">
        <v>2820614856297</v>
      </c>
      <c r="J21">
        <v>2819546882212</v>
      </c>
      <c r="K21">
        <v>2958484388549</v>
      </c>
      <c r="L21">
        <v>3189929388841</v>
      </c>
      <c r="M21">
        <v>3118515019739</v>
      </c>
      <c r="N21">
        <v>3486415930190</v>
      </c>
      <c r="O21">
        <v>3660223486168</v>
      </c>
      <c r="P21">
        <v>4556081947030</v>
      </c>
      <c r="Q21">
        <v>4440399912118</v>
      </c>
      <c r="R21">
        <v>4309477266080</v>
      </c>
    </row>
    <row r="22" spans="1:18" x14ac:dyDescent="0.35">
      <c r="A22" t="s">
        <v>1936</v>
      </c>
      <c r="B22" t="s">
        <v>26</v>
      </c>
      <c r="C22">
        <v>-1756630997</v>
      </c>
      <c r="D22">
        <v>-49506058883</v>
      </c>
      <c r="E22">
        <v>-49506058883</v>
      </c>
      <c r="F22">
        <v>-49506058883</v>
      </c>
      <c r="G22">
        <v>-49506058883</v>
      </c>
      <c r="H22">
        <v>0</v>
      </c>
      <c r="I22">
        <v>0</v>
      </c>
      <c r="J22">
        <v>0</v>
      </c>
      <c r="K22">
        <v>0</v>
      </c>
      <c r="L22">
        <v>0</v>
      </c>
      <c r="M22">
        <v>-307120895</v>
      </c>
      <c r="N22">
        <v>-307120895</v>
      </c>
      <c r="O22">
        <v>-307120895</v>
      </c>
      <c r="P22">
        <v>-307120895</v>
      </c>
      <c r="Q22">
        <v>-307120895</v>
      </c>
      <c r="R22">
        <v>-307120895</v>
      </c>
    </row>
    <row r="23" spans="1:18" x14ac:dyDescent="0.35">
      <c r="A23" t="s">
        <v>1936</v>
      </c>
      <c r="B23" t="s">
        <v>27</v>
      </c>
      <c r="C23">
        <v>79888598600</v>
      </c>
      <c r="D23">
        <v>157205124988</v>
      </c>
      <c r="E23">
        <v>65543529015</v>
      </c>
      <c r="F23">
        <v>74394494122</v>
      </c>
      <c r="G23">
        <v>73056305778</v>
      </c>
      <c r="H23">
        <v>54015950365</v>
      </c>
      <c r="I23">
        <v>56365868331</v>
      </c>
      <c r="J23">
        <v>61288779694</v>
      </c>
      <c r="K23">
        <v>57391189645</v>
      </c>
      <c r="L23">
        <v>57831633337</v>
      </c>
      <c r="M23">
        <v>60745301437</v>
      </c>
      <c r="N23">
        <v>64946353909</v>
      </c>
      <c r="O23">
        <v>80778919896</v>
      </c>
      <c r="P23">
        <v>62789943388</v>
      </c>
      <c r="Q23">
        <v>60681643843</v>
      </c>
      <c r="R23">
        <v>61377495184</v>
      </c>
    </row>
    <row r="24" spans="1:18" x14ac:dyDescent="0.35">
      <c r="A24" t="s">
        <v>1936</v>
      </c>
      <c r="B24" t="s">
        <v>28</v>
      </c>
      <c r="C24">
        <v>5841034447</v>
      </c>
      <c r="D24">
        <v>5018884770</v>
      </c>
      <c r="E24">
        <v>7495835175</v>
      </c>
      <c r="F24">
        <v>13806482540</v>
      </c>
      <c r="G24">
        <v>12095698056</v>
      </c>
      <c r="H24">
        <v>5756555692</v>
      </c>
      <c r="I24">
        <v>8451160155</v>
      </c>
      <c r="J24">
        <v>8296209007</v>
      </c>
      <c r="K24">
        <v>6510364956</v>
      </c>
      <c r="L24">
        <v>6037655500</v>
      </c>
      <c r="M24">
        <v>10100406569</v>
      </c>
      <c r="N24">
        <v>14520962658</v>
      </c>
      <c r="O24">
        <v>10089120009</v>
      </c>
      <c r="P24">
        <v>3801657166</v>
      </c>
      <c r="Q24">
        <v>10967317487</v>
      </c>
      <c r="R24">
        <v>9910117871</v>
      </c>
    </row>
    <row r="25" spans="1:18" x14ac:dyDescent="0.35">
      <c r="A25" t="s">
        <v>1936</v>
      </c>
      <c r="B25" t="s">
        <v>29</v>
      </c>
      <c r="C25">
        <v>73636333524</v>
      </c>
      <c r="D25">
        <v>151778261410</v>
      </c>
      <c r="E25">
        <v>54476689532</v>
      </c>
      <c r="F25">
        <v>59044538880</v>
      </c>
      <c r="G25">
        <v>59437821037</v>
      </c>
      <c r="H25">
        <v>46643987787</v>
      </c>
      <c r="I25">
        <v>46298409230</v>
      </c>
      <c r="J25">
        <v>52378045416</v>
      </c>
      <c r="K25">
        <v>50293534834</v>
      </c>
      <c r="L25">
        <v>51118700633</v>
      </c>
      <c r="M25">
        <v>49764534085</v>
      </c>
      <c r="N25">
        <v>49625304427</v>
      </c>
      <c r="O25">
        <v>48766246520</v>
      </c>
      <c r="P25">
        <v>50860270568</v>
      </c>
      <c r="Q25">
        <v>47185359502</v>
      </c>
      <c r="R25">
        <v>49917753365</v>
      </c>
    </row>
    <row r="26" spans="1:18" x14ac:dyDescent="0.35">
      <c r="A26" t="s">
        <v>1936</v>
      </c>
      <c r="B26" t="s">
        <v>30</v>
      </c>
      <c r="C26">
        <v>411230629</v>
      </c>
      <c r="D26">
        <v>407978808</v>
      </c>
      <c r="E26">
        <v>3571004308</v>
      </c>
      <c r="F26">
        <v>1543472702</v>
      </c>
      <c r="G26">
        <v>1522786685</v>
      </c>
      <c r="H26">
        <v>1615406886</v>
      </c>
      <c r="I26">
        <v>1616298946</v>
      </c>
      <c r="J26">
        <v>614525271</v>
      </c>
      <c r="K26">
        <v>587289855</v>
      </c>
      <c r="L26">
        <v>675277204</v>
      </c>
      <c r="M26">
        <v>880360783</v>
      </c>
      <c r="N26">
        <v>800086824</v>
      </c>
      <c r="O26">
        <v>21923553367</v>
      </c>
      <c r="P26">
        <v>8128015654</v>
      </c>
      <c r="Q26">
        <v>2528966854</v>
      </c>
      <c r="R26">
        <v>1549623948</v>
      </c>
    </row>
    <row r="27" spans="1:18" x14ac:dyDescent="0.35">
      <c r="A27" t="s">
        <v>1936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8" x14ac:dyDescent="0.35">
      <c r="A28" t="s">
        <v>1936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8" x14ac:dyDescent="0.35">
      <c r="A29" t="s">
        <v>1936</v>
      </c>
      <c r="B29" t="s">
        <v>33</v>
      </c>
      <c r="C29">
        <v>7851295350935</v>
      </c>
      <c r="D29">
        <v>9274122153014</v>
      </c>
      <c r="E29">
        <v>9052821364404</v>
      </c>
      <c r="F29">
        <v>9016766323963</v>
      </c>
      <c r="G29">
        <v>8933666978520</v>
      </c>
      <c r="H29">
        <v>8885267896041</v>
      </c>
      <c r="I29">
        <v>9274428855792</v>
      </c>
      <c r="J29">
        <v>9291464164171</v>
      </c>
      <c r="K29">
        <v>9907553229477</v>
      </c>
      <c r="L29">
        <v>9899069990046</v>
      </c>
      <c r="M29">
        <v>9714564862705</v>
      </c>
      <c r="N29">
        <v>9505957971102</v>
      </c>
      <c r="O29">
        <v>9402997612550</v>
      </c>
      <c r="P29">
        <v>9217182495373</v>
      </c>
      <c r="Q29">
        <v>9295012589864</v>
      </c>
      <c r="R29">
        <v>9151844656781</v>
      </c>
    </row>
    <row r="30" spans="1:18" x14ac:dyDescent="0.35">
      <c r="A30" t="s">
        <v>1936</v>
      </c>
      <c r="B30" t="s">
        <v>34</v>
      </c>
      <c r="C30">
        <v>36810173710</v>
      </c>
      <c r="D30">
        <v>31049611008</v>
      </c>
      <c r="E30">
        <v>42928236008</v>
      </c>
      <c r="F30">
        <v>42838236008</v>
      </c>
      <c r="G30">
        <v>46670007625</v>
      </c>
      <c r="H30">
        <v>40112215814</v>
      </c>
      <c r="I30">
        <v>52837680399</v>
      </c>
      <c r="J30">
        <v>51343373399</v>
      </c>
      <c r="K30">
        <v>51870566897</v>
      </c>
      <c r="L30">
        <v>53685264990</v>
      </c>
      <c r="M30">
        <v>53592443329</v>
      </c>
      <c r="N30">
        <v>85638943329</v>
      </c>
      <c r="O30">
        <v>37517583329</v>
      </c>
      <c r="P30">
        <v>35363850763</v>
      </c>
      <c r="Q30">
        <v>33245850763</v>
      </c>
      <c r="R30">
        <v>33363720763</v>
      </c>
    </row>
    <row r="31" spans="1:18" x14ac:dyDescent="0.35">
      <c r="A31" t="s">
        <v>1936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8" x14ac:dyDescent="0.35">
      <c r="A32" t="s">
        <v>1936</v>
      </c>
      <c r="B32" t="s">
        <v>36</v>
      </c>
      <c r="C32">
        <v>14500000</v>
      </c>
      <c r="D32">
        <v>14500000</v>
      </c>
      <c r="E32">
        <v>14500000</v>
      </c>
      <c r="F32">
        <v>14500000</v>
      </c>
      <c r="G32">
        <v>14500000</v>
      </c>
      <c r="H32">
        <v>14500000</v>
      </c>
      <c r="I32">
        <v>16500000</v>
      </c>
      <c r="J32">
        <v>14500000</v>
      </c>
      <c r="K32">
        <v>14500000</v>
      </c>
      <c r="L32">
        <v>19445000</v>
      </c>
      <c r="M32">
        <v>14500000</v>
      </c>
      <c r="N32">
        <v>14500000</v>
      </c>
      <c r="O32">
        <v>14500000</v>
      </c>
      <c r="P32">
        <v>14500000</v>
      </c>
      <c r="Q32">
        <v>14500000</v>
      </c>
      <c r="R32">
        <v>14500000</v>
      </c>
    </row>
    <row r="33" spans="1:18" x14ac:dyDescent="0.35">
      <c r="A33" t="s">
        <v>1936</v>
      </c>
      <c r="B33" t="s">
        <v>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8" x14ac:dyDescent="0.35">
      <c r="A34" t="s">
        <v>1936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8" x14ac:dyDescent="0.35">
      <c r="A35" t="s">
        <v>1936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32000000000</v>
      </c>
    </row>
    <row r="36" spans="1:18" x14ac:dyDescent="0.35">
      <c r="A36" t="s">
        <v>1936</v>
      </c>
      <c r="B36" t="s">
        <v>40</v>
      </c>
      <c r="C36">
        <v>36795673710</v>
      </c>
      <c r="D36">
        <v>31035111008</v>
      </c>
      <c r="E36">
        <v>42913736008</v>
      </c>
      <c r="F36">
        <v>42823736008</v>
      </c>
      <c r="G36">
        <v>46655507625</v>
      </c>
      <c r="H36">
        <v>40097715814</v>
      </c>
      <c r="I36">
        <v>52821180399</v>
      </c>
      <c r="J36">
        <v>51328873399</v>
      </c>
      <c r="K36">
        <v>51856066897</v>
      </c>
      <c r="L36">
        <v>53665819990</v>
      </c>
      <c r="M36">
        <v>53577943329</v>
      </c>
      <c r="N36">
        <v>53624443329</v>
      </c>
      <c r="O36">
        <v>37503083329</v>
      </c>
      <c r="P36">
        <v>35349350763</v>
      </c>
      <c r="Q36">
        <v>33231350763</v>
      </c>
      <c r="R36">
        <v>33349220763</v>
      </c>
    </row>
    <row r="37" spans="1:18" x14ac:dyDescent="0.35">
      <c r="A37" t="s">
        <v>1936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8" x14ac:dyDescent="0.35">
      <c r="A38" t="s">
        <v>1936</v>
      </c>
      <c r="B38" t="s">
        <v>42</v>
      </c>
      <c r="C38">
        <v>5689453473633</v>
      </c>
      <c r="D38">
        <v>6942810803526</v>
      </c>
      <c r="E38">
        <v>6879066310990</v>
      </c>
      <c r="F38">
        <v>6861605094482</v>
      </c>
      <c r="G38">
        <v>6761951410956</v>
      </c>
      <c r="H38">
        <v>6708514353774</v>
      </c>
      <c r="I38">
        <v>6828409394017</v>
      </c>
      <c r="J38">
        <v>6753318535713</v>
      </c>
      <c r="K38">
        <v>6895782337020</v>
      </c>
      <c r="L38">
        <v>6847171975772</v>
      </c>
      <c r="M38">
        <v>6769092552330</v>
      </c>
      <c r="N38">
        <v>6685859167203</v>
      </c>
      <c r="O38">
        <v>6620867163950</v>
      </c>
      <c r="P38">
        <v>6560339365072</v>
      </c>
      <c r="Q38">
        <v>6640363785320</v>
      </c>
      <c r="R38">
        <v>6518386289631</v>
      </c>
    </row>
    <row r="39" spans="1:18" x14ac:dyDescent="0.35">
      <c r="A39" t="s">
        <v>1936</v>
      </c>
      <c r="B39" t="s">
        <v>43</v>
      </c>
      <c r="C39">
        <v>4133085031271</v>
      </c>
      <c r="D39">
        <v>5368768013242</v>
      </c>
      <c r="E39">
        <v>5320967031758</v>
      </c>
      <c r="F39">
        <v>5312221876466</v>
      </c>
      <c r="G39">
        <v>5260804912807</v>
      </c>
      <c r="H39">
        <v>5196911478708</v>
      </c>
      <c r="I39">
        <v>5053367916357</v>
      </c>
      <c r="J39">
        <v>5041792082317</v>
      </c>
      <c r="K39">
        <v>4982441524539</v>
      </c>
      <c r="L39">
        <v>4898233271016</v>
      </c>
      <c r="M39">
        <v>4841410028659</v>
      </c>
      <c r="N39">
        <v>4780910475208</v>
      </c>
      <c r="O39">
        <v>4826936707358</v>
      </c>
      <c r="P39">
        <v>4779477356882</v>
      </c>
      <c r="Q39">
        <v>4876929418628</v>
      </c>
      <c r="R39">
        <v>4772236285856</v>
      </c>
    </row>
    <row r="40" spans="1:18" x14ac:dyDescent="0.35">
      <c r="A40" t="s">
        <v>1936</v>
      </c>
      <c r="B40" t="s">
        <v>44</v>
      </c>
      <c r="C40">
        <v>4820464911927</v>
      </c>
      <c r="D40">
        <v>6114905948774</v>
      </c>
      <c r="E40">
        <v>6149080756379</v>
      </c>
      <c r="F40">
        <v>6217584261246</v>
      </c>
      <c r="G40">
        <v>6250359518312</v>
      </c>
      <c r="H40">
        <v>6261072263062</v>
      </c>
      <c r="I40">
        <v>6132057474176</v>
      </c>
      <c r="J40">
        <v>6186546886191</v>
      </c>
      <c r="K40">
        <v>6201786790087</v>
      </c>
      <c r="L40">
        <v>6168765454516</v>
      </c>
      <c r="M40">
        <v>6182814453533</v>
      </c>
      <c r="N40">
        <v>6192823387629</v>
      </c>
      <c r="O40">
        <v>6366222685695</v>
      </c>
      <c r="P40">
        <v>6394334913051</v>
      </c>
      <c r="Q40">
        <v>6567577526044</v>
      </c>
      <c r="R40">
        <v>6532175411389</v>
      </c>
    </row>
    <row r="41" spans="1:18" x14ac:dyDescent="0.35">
      <c r="A41" t="s">
        <v>1936</v>
      </c>
      <c r="B41" t="s">
        <v>45</v>
      </c>
      <c r="C41">
        <v>-687379880656</v>
      </c>
      <c r="D41">
        <v>-746137935532</v>
      </c>
      <c r="E41">
        <v>-828113724621</v>
      </c>
      <c r="F41">
        <v>-905362384780</v>
      </c>
      <c r="G41">
        <v>-989554605505</v>
      </c>
      <c r="H41">
        <v>-1064160784354</v>
      </c>
      <c r="I41">
        <v>-1078689557819</v>
      </c>
      <c r="J41">
        <v>-1144754803874</v>
      </c>
      <c r="K41">
        <v>-1219345265548</v>
      </c>
      <c r="L41">
        <v>-1270532183500</v>
      </c>
      <c r="M41">
        <v>-1341404424874</v>
      </c>
      <c r="N41">
        <v>-1411912912421</v>
      </c>
      <c r="O41">
        <v>-1539285978337</v>
      </c>
      <c r="P41">
        <v>-1614857556169</v>
      </c>
      <c r="Q41">
        <v>-1690648107416</v>
      </c>
      <c r="R41">
        <v>-1759939125533</v>
      </c>
    </row>
    <row r="42" spans="1:18" x14ac:dyDescent="0.35">
      <c r="A42" t="s">
        <v>1936</v>
      </c>
      <c r="B42" t="s">
        <v>46</v>
      </c>
      <c r="C42">
        <v>266842432544</v>
      </c>
      <c r="D42">
        <v>295754662666</v>
      </c>
      <c r="E42">
        <v>285005929059</v>
      </c>
      <c r="F42">
        <v>272647804814</v>
      </c>
      <c r="G42">
        <v>233826757879</v>
      </c>
      <c r="H42">
        <v>249470828912</v>
      </c>
      <c r="I42">
        <v>513856354109</v>
      </c>
      <c r="J42">
        <v>489492938846</v>
      </c>
      <c r="K42">
        <v>473590800093</v>
      </c>
      <c r="L42">
        <v>514575899892</v>
      </c>
      <c r="M42">
        <v>498698311155</v>
      </c>
      <c r="N42">
        <v>483665707266</v>
      </c>
      <c r="O42">
        <v>377965161686</v>
      </c>
      <c r="P42">
        <v>365893043822</v>
      </c>
      <c r="Q42">
        <v>353823455096</v>
      </c>
      <c r="R42">
        <v>341755130942</v>
      </c>
    </row>
    <row r="43" spans="1:18" x14ac:dyDescent="0.35">
      <c r="A43" t="s">
        <v>1936</v>
      </c>
      <c r="B43" t="s">
        <v>44</v>
      </c>
      <c r="C43">
        <v>348607188441</v>
      </c>
      <c r="D43">
        <v>384839846296</v>
      </c>
      <c r="E43">
        <v>379322456296</v>
      </c>
      <c r="F43">
        <v>375280331296</v>
      </c>
      <c r="G43">
        <v>333015679962</v>
      </c>
      <c r="H43">
        <v>312371978814</v>
      </c>
      <c r="I43">
        <v>591746820768</v>
      </c>
      <c r="J43">
        <v>577822665652</v>
      </c>
      <c r="K43">
        <v>568811974297</v>
      </c>
      <c r="L43">
        <v>616345508297</v>
      </c>
      <c r="M43">
        <v>616345508297</v>
      </c>
      <c r="N43">
        <v>617190962842</v>
      </c>
      <c r="O43">
        <v>463281218676</v>
      </c>
      <c r="P43">
        <v>463281218676</v>
      </c>
      <c r="Q43">
        <v>463281218676</v>
      </c>
      <c r="R43">
        <v>463281218676</v>
      </c>
    </row>
    <row r="44" spans="1:18" x14ac:dyDescent="0.35">
      <c r="A44" t="s">
        <v>1936</v>
      </c>
      <c r="B44" t="s">
        <v>45</v>
      </c>
      <c r="C44">
        <v>-81764755897</v>
      </c>
      <c r="D44">
        <v>-89085183630</v>
      </c>
      <c r="E44">
        <v>-94316527237</v>
      </c>
      <c r="F44">
        <v>-102632526482</v>
      </c>
      <c r="G44">
        <v>-99188922083</v>
      </c>
      <c r="H44">
        <v>-62901149902</v>
      </c>
      <c r="I44">
        <v>-77890466659</v>
      </c>
      <c r="J44">
        <v>-88329726806</v>
      </c>
      <c r="K44">
        <v>-95221174204</v>
      </c>
      <c r="L44">
        <v>-101769608405</v>
      </c>
      <c r="M44">
        <v>-117647197142</v>
      </c>
      <c r="N44">
        <v>-133525255576</v>
      </c>
      <c r="O44">
        <v>-85316056990</v>
      </c>
      <c r="P44">
        <v>-97388174854</v>
      </c>
      <c r="Q44">
        <v>-109457763580</v>
      </c>
      <c r="R44">
        <v>-121526087734</v>
      </c>
    </row>
    <row r="45" spans="1:18" x14ac:dyDescent="0.35">
      <c r="A45" t="s">
        <v>1936</v>
      </c>
      <c r="B45" t="s">
        <v>47</v>
      </c>
      <c r="C45">
        <v>1289526009818</v>
      </c>
      <c r="D45">
        <v>1278288127618</v>
      </c>
      <c r="E45">
        <v>1273093350173</v>
      </c>
      <c r="F45">
        <v>1276735413202</v>
      </c>
      <c r="G45">
        <v>1267319740270</v>
      </c>
      <c r="H45">
        <v>1262132046154</v>
      </c>
      <c r="I45">
        <v>1261185123551</v>
      </c>
      <c r="J45">
        <v>1222033514550</v>
      </c>
      <c r="K45">
        <v>1439750012388</v>
      </c>
      <c r="L45">
        <v>1434362804864</v>
      </c>
      <c r="M45">
        <v>1428984212516</v>
      </c>
      <c r="N45">
        <v>1421282984729</v>
      </c>
      <c r="O45">
        <v>1415965294906</v>
      </c>
      <c r="P45">
        <v>1414968964368</v>
      </c>
      <c r="Q45">
        <v>1409610911596</v>
      </c>
      <c r="R45">
        <v>1404394872833</v>
      </c>
    </row>
    <row r="46" spans="1:18" x14ac:dyDescent="0.35">
      <c r="A46" t="s">
        <v>1936</v>
      </c>
      <c r="B46" t="s">
        <v>44</v>
      </c>
      <c r="C46">
        <v>1349215504148</v>
      </c>
      <c r="D46">
        <v>1343172399393</v>
      </c>
      <c r="E46">
        <v>1343172399393</v>
      </c>
      <c r="F46">
        <v>1352014078331</v>
      </c>
      <c r="G46">
        <v>1347788344380</v>
      </c>
      <c r="H46">
        <v>1347788344380</v>
      </c>
      <c r="I46">
        <v>1347788344380</v>
      </c>
      <c r="J46">
        <v>1313832990834</v>
      </c>
      <c r="K46">
        <v>1536947516258</v>
      </c>
      <c r="L46">
        <v>1536947516258</v>
      </c>
      <c r="M46">
        <v>1536947516258</v>
      </c>
      <c r="N46">
        <v>1534617166258</v>
      </c>
      <c r="O46">
        <v>1534670681258</v>
      </c>
      <c r="P46">
        <v>1539044754258</v>
      </c>
      <c r="Q46">
        <v>1539044754258</v>
      </c>
      <c r="R46">
        <v>1539194754258</v>
      </c>
    </row>
    <row r="47" spans="1:18" x14ac:dyDescent="0.35">
      <c r="A47" t="s">
        <v>1936</v>
      </c>
      <c r="B47" t="s">
        <v>45</v>
      </c>
      <c r="C47">
        <v>-59689494330</v>
      </c>
      <c r="D47">
        <v>-64884271775</v>
      </c>
      <c r="E47">
        <v>-70079049220</v>
      </c>
      <c r="F47">
        <v>-75278665129</v>
      </c>
      <c r="G47">
        <v>-80468604110</v>
      </c>
      <c r="H47">
        <v>-85656298226</v>
      </c>
      <c r="I47">
        <v>-86603220829</v>
      </c>
      <c r="J47">
        <v>-91799476284</v>
      </c>
      <c r="K47">
        <v>-97197503870</v>
      </c>
      <c r="L47">
        <v>-102584711394</v>
      </c>
      <c r="M47">
        <v>-107963303742</v>
      </c>
      <c r="N47">
        <v>-113334181529</v>
      </c>
      <c r="O47">
        <v>-118705386352</v>
      </c>
      <c r="P47">
        <v>-124075789890</v>
      </c>
      <c r="Q47">
        <v>-129433842662</v>
      </c>
      <c r="R47">
        <v>-134799881425</v>
      </c>
    </row>
    <row r="48" spans="1:18" x14ac:dyDescent="0.35">
      <c r="A48" t="s">
        <v>1936</v>
      </c>
      <c r="B48" t="s">
        <v>48</v>
      </c>
      <c r="C48">
        <v>266294678949</v>
      </c>
      <c r="D48">
        <v>327297737900</v>
      </c>
      <c r="E48">
        <v>321352131179</v>
      </c>
      <c r="F48">
        <v>317820556031</v>
      </c>
      <c r="G48">
        <v>320954391549</v>
      </c>
      <c r="H48">
        <v>323039583988</v>
      </c>
      <c r="I48">
        <v>308076695427</v>
      </c>
      <c r="J48">
        <v>318391931578</v>
      </c>
      <c r="K48">
        <v>314811622471</v>
      </c>
      <c r="L48">
        <v>513544896439</v>
      </c>
      <c r="M48">
        <v>509951396563</v>
      </c>
      <c r="N48">
        <v>505847537086</v>
      </c>
      <c r="O48">
        <v>500797425981</v>
      </c>
      <c r="P48">
        <v>498014547420</v>
      </c>
      <c r="Q48">
        <v>493892496426</v>
      </c>
      <c r="R48">
        <v>489742026723</v>
      </c>
    </row>
    <row r="49" spans="1:18" x14ac:dyDescent="0.35">
      <c r="A49" t="s">
        <v>1936</v>
      </c>
      <c r="B49" t="s">
        <v>44</v>
      </c>
      <c r="C49">
        <v>348675664341</v>
      </c>
      <c r="D49">
        <v>413600931716</v>
      </c>
      <c r="E49">
        <v>411649113534</v>
      </c>
      <c r="F49">
        <v>411826269754</v>
      </c>
      <c r="G49">
        <v>423305942201</v>
      </c>
      <c r="H49">
        <v>435099358626</v>
      </c>
      <c r="I49">
        <v>416081591179</v>
      </c>
      <c r="J49">
        <v>430123093139</v>
      </c>
      <c r="K49">
        <v>430123093139</v>
      </c>
      <c r="L49">
        <v>632691629991</v>
      </c>
      <c r="M49">
        <v>632691629991</v>
      </c>
      <c r="N49">
        <v>632691629991</v>
      </c>
      <c r="O49">
        <v>631718397668</v>
      </c>
      <c r="P49">
        <v>633051196259</v>
      </c>
      <c r="Q49">
        <v>633051196259</v>
      </c>
      <c r="R49">
        <v>633051196259</v>
      </c>
    </row>
    <row r="50" spans="1:18" x14ac:dyDescent="0.35">
      <c r="A50" t="s">
        <v>1936</v>
      </c>
      <c r="B50" t="s">
        <v>45</v>
      </c>
      <c r="C50">
        <v>-82380985392</v>
      </c>
      <c r="D50">
        <v>-86303193816</v>
      </c>
      <c r="E50">
        <v>-90296982355</v>
      </c>
      <c r="F50">
        <v>-94005713723</v>
      </c>
      <c r="G50">
        <v>-102351550652</v>
      </c>
      <c r="H50">
        <v>-112059774638</v>
      </c>
      <c r="I50">
        <v>-108004895752</v>
      </c>
      <c r="J50">
        <v>-111731161561</v>
      </c>
      <c r="K50">
        <v>-115311470668</v>
      </c>
      <c r="L50">
        <v>-119146733552</v>
      </c>
      <c r="M50">
        <v>-122740233428</v>
      </c>
      <c r="N50">
        <v>-126844092905</v>
      </c>
      <c r="O50">
        <v>-130920971687</v>
      </c>
      <c r="P50">
        <v>-135036648839</v>
      </c>
      <c r="Q50">
        <v>-139158699833</v>
      </c>
      <c r="R50">
        <v>-143309169536</v>
      </c>
    </row>
    <row r="51" spans="1:18" x14ac:dyDescent="0.35">
      <c r="A51" t="s">
        <v>1936</v>
      </c>
      <c r="B51" t="s">
        <v>49</v>
      </c>
      <c r="C51">
        <v>822111568719</v>
      </c>
      <c r="D51">
        <v>1053200134336</v>
      </c>
      <c r="E51">
        <v>1055242835824</v>
      </c>
      <c r="F51">
        <v>1058722450030</v>
      </c>
      <c r="G51">
        <v>858014694018</v>
      </c>
      <c r="H51">
        <v>884908794899</v>
      </c>
      <c r="I51">
        <v>1089067183110</v>
      </c>
      <c r="J51">
        <v>1134714593981</v>
      </c>
      <c r="K51">
        <v>1363640315149</v>
      </c>
      <c r="L51">
        <v>1204191719204</v>
      </c>
      <c r="M51">
        <v>1138279976150</v>
      </c>
      <c r="N51">
        <v>1140073212880</v>
      </c>
      <c r="O51">
        <v>1149425986284</v>
      </c>
      <c r="P51">
        <v>1021024544092</v>
      </c>
      <c r="Q51">
        <v>1054328233481</v>
      </c>
      <c r="R51">
        <v>1067978429610</v>
      </c>
    </row>
    <row r="52" spans="1:18" x14ac:dyDescent="0.35">
      <c r="A52" t="s">
        <v>1936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8" x14ac:dyDescent="0.35">
      <c r="A53" t="s">
        <v>1936</v>
      </c>
      <c r="B53" t="s">
        <v>51</v>
      </c>
      <c r="C53">
        <v>822111568719</v>
      </c>
      <c r="D53">
        <v>1053200134336</v>
      </c>
      <c r="E53">
        <v>1055242835824</v>
      </c>
      <c r="F53">
        <v>1058722450030</v>
      </c>
      <c r="G53">
        <v>858014694018</v>
      </c>
      <c r="H53">
        <v>884908794899</v>
      </c>
      <c r="I53">
        <v>1089067183110</v>
      </c>
      <c r="J53">
        <v>1134714593981</v>
      </c>
      <c r="K53">
        <v>1363640315149</v>
      </c>
      <c r="L53">
        <v>1204191719204</v>
      </c>
      <c r="M53">
        <v>1138279976150</v>
      </c>
      <c r="N53">
        <v>1140073212880</v>
      </c>
      <c r="O53">
        <v>1149425986284</v>
      </c>
      <c r="P53">
        <v>1021024544092</v>
      </c>
      <c r="Q53">
        <v>1054328233481</v>
      </c>
      <c r="R53">
        <v>1067978429610</v>
      </c>
    </row>
    <row r="54" spans="1:18" x14ac:dyDescent="0.35">
      <c r="A54" t="s">
        <v>1936</v>
      </c>
      <c r="B54" t="s">
        <v>52</v>
      </c>
      <c r="C54">
        <v>387494700426</v>
      </c>
      <c r="D54">
        <v>267434700426</v>
      </c>
      <c r="E54">
        <v>140784700426</v>
      </c>
      <c r="F54">
        <v>130120000000</v>
      </c>
      <c r="G54">
        <v>144453226547</v>
      </c>
      <c r="H54">
        <v>141395612472</v>
      </c>
      <c r="I54">
        <v>191395612472</v>
      </c>
      <c r="J54">
        <v>243395612472</v>
      </c>
      <c r="K54">
        <v>143395612472</v>
      </c>
      <c r="L54">
        <v>143310000000</v>
      </c>
      <c r="M54">
        <v>133310000000</v>
      </c>
      <c r="N54">
        <v>3310000000</v>
      </c>
      <c r="O54">
        <v>33421111111</v>
      </c>
      <c r="P54">
        <v>33310000000</v>
      </c>
      <c r="Q54">
        <v>33310000000</v>
      </c>
      <c r="R54">
        <v>33310000000</v>
      </c>
    </row>
    <row r="55" spans="1:18" x14ac:dyDescent="0.35">
      <c r="A55" t="s">
        <v>1936</v>
      </c>
      <c r="B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8" x14ac:dyDescent="0.35">
      <c r="A56" t="s">
        <v>1936</v>
      </c>
      <c r="B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8" x14ac:dyDescent="0.35">
      <c r="A57" t="s">
        <v>1936</v>
      </c>
      <c r="B57" t="s">
        <v>55</v>
      </c>
      <c r="C57">
        <v>2000000000</v>
      </c>
      <c r="D57">
        <v>2000000000</v>
      </c>
      <c r="E57">
        <v>2000000000</v>
      </c>
      <c r="F57">
        <v>2000000000</v>
      </c>
      <c r="G57">
        <v>2000000000</v>
      </c>
      <c r="H57">
        <v>2000000000</v>
      </c>
      <c r="I57">
        <v>2000000000</v>
      </c>
      <c r="J57">
        <v>2000000000</v>
      </c>
      <c r="K57">
        <v>2000000000</v>
      </c>
      <c r="L57">
        <v>2000000000</v>
      </c>
      <c r="M57">
        <v>2000000000</v>
      </c>
      <c r="N57">
        <v>2000000000</v>
      </c>
      <c r="O57">
        <v>2111111111</v>
      </c>
      <c r="P57">
        <v>2000000000</v>
      </c>
      <c r="Q57">
        <v>2000000000</v>
      </c>
      <c r="R57">
        <v>2000000000</v>
      </c>
    </row>
    <row r="58" spans="1:18" x14ac:dyDescent="0.35">
      <c r="A58" t="s">
        <v>1936</v>
      </c>
      <c r="B58" t="s">
        <v>56</v>
      </c>
      <c r="C58">
        <v>-1560299574</v>
      </c>
      <c r="D58">
        <v>-1560299574</v>
      </c>
      <c r="E58">
        <v>-1560299574</v>
      </c>
      <c r="F58">
        <v>-2000000000</v>
      </c>
      <c r="G58">
        <v>-2000000000</v>
      </c>
      <c r="H58">
        <v>-2000000000</v>
      </c>
      <c r="I58">
        <v>-2000000000</v>
      </c>
      <c r="J58">
        <v>-2000000000</v>
      </c>
      <c r="K58">
        <v>-2000000000</v>
      </c>
      <c r="L58">
        <v>-2000000000</v>
      </c>
      <c r="M58">
        <v>-2000000000</v>
      </c>
      <c r="N58">
        <v>-2000000000</v>
      </c>
      <c r="O58">
        <v>-2000000000</v>
      </c>
      <c r="P58">
        <v>-2000000000</v>
      </c>
      <c r="Q58">
        <v>-2000000000</v>
      </c>
      <c r="R58">
        <v>-2000000000</v>
      </c>
    </row>
    <row r="59" spans="1:18" x14ac:dyDescent="0.35">
      <c r="A59" t="s">
        <v>1936</v>
      </c>
      <c r="B59" t="s">
        <v>57</v>
      </c>
      <c r="C59">
        <v>387055000000</v>
      </c>
      <c r="D59">
        <v>266995000000</v>
      </c>
      <c r="E59">
        <v>140345000000</v>
      </c>
      <c r="F59">
        <v>130120000000</v>
      </c>
      <c r="G59">
        <v>144453226547</v>
      </c>
      <c r="H59">
        <v>141395612472</v>
      </c>
      <c r="I59">
        <v>191395612472</v>
      </c>
      <c r="J59">
        <v>243395612472</v>
      </c>
      <c r="K59">
        <v>143395612472</v>
      </c>
      <c r="L59">
        <v>143310000000</v>
      </c>
      <c r="M59">
        <v>133310000000</v>
      </c>
      <c r="N59">
        <v>3310000000</v>
      </c>
      <c r="O59">
        <v>33310000000</v>
      </c>
      <c r="P59">
        <v>33310000000</v>
      </c>
      <c r="Q59">
        <v>33310000000</v>
      </c>
      <c r="R59">
        <v>33310000000</v>
      </c>
    </row>
    <row r="60" spans="1:18" x14ac:dyDescent="0.35">
      <c r="A60" t="s">
        <v>1936</v>
      </c>
      <c r="B60" t="s">
        <v>58</v>
      </c>
      <c r="C60">
        <v>649130755498</v>
      </c>
      <c r="D60">
        <v>652329165818</v>
      </c>
      <c r="E60">
        <v>613447149977</v>
      </c>
      <c r="F60">
        <v>605659987412</v>
      </c>
      <c r="G60">
        <v>801623247825</v>
      </c>
      <c r="H60">
        <v>787297335094</v>
      </c>
      <c r="I60">
        <v>804642290367</v>
      </c>
      <c r="J60">
        <v>790300117028</v>
      </c>
      <c r="K60">
        <v>1138052775468</v>
      </c>
      <c r="L60">
        <v>1137166133641</v>
      </c>
      <c r="M60">
        <v>1110338494333</v>
      </c>
      <c r="N60">
        <v>1085229110604</v>
      </c>
      <c r="O60">
        <v>1060968341895</v>
      </c>
      <c r="P60">
        <v>1069130188026</v>
      </c>
      <c r="Q60">
        <v>1039872223874</v>
      </c>
      <c r="R60">
        <v>1009064190054</v>
      </c>
    </row>
    <row r="61" spans="1:18" x14ac:dyDescent="0.35">
      <c r="A61" t="s">
        <v>1936</v>
      </c>
      <c r="B61" t="s">
        <v>59</v>
      </c>
      <c r="C61">
        <v>407137071410</v>
      </c>
      <c r="D61">
        <v>407017344275</v>
      </c>
      <c r="E61">
        <v>392979218900</v>
      </c>
      <c r="F61">
        <v>393111445546</v>
      </c>
      <c r="G61">
        <v>593004635237</v>
      </c>
      <c r="H61">
        <v>587900578728</v>
      </c>
      <c r="I61">
        <v>617913147618</v>
      </c>
      <c r="J61">
        <v>610950501275</v>
      </c>
      <c r="K61">
        <v>627176902274</v>
      </c>
      <c r="L61">
        <v>658995343127</v>
      </c>
      <c r="M61">
        <v>651207262137</v>
      </c>
      <c r="N61">
        <v>643197177994</v>
      </c>
      <c r="O61">
        <v>635294635392</v>
      </c>
      <c r="P61">
        <v>656551695561</v>
      </c>
      <c r="Q61">
        <v>645473724807</v>
      </c>
      <c r="R61">
        <v>635797495866</v>
      </c>
    </row>
    <row r="62" spans="1:18" x14ac:dyDescent="0.35">
      <c r="A62" t="s">
        <v>1936</v>
      </c>
      <c r="B62" t="s">
        <v>60</v>
      </c>
      <c r="C62">
        <v>2534128223</v>
      </c>
      <c r="D62">
        <v>2576809910</v>
      </c>
      <c r="E62">
        <v>2177369537</v>
      </c>
      <c r="F62">
        <v>3328950102</v>
      </c>
      <c r="G62">
        <v>6731452903</v>
      </c>
      <c r="H62">
        <v>6573499908</v>
      </c>
      <c r="I62">
        <v>4874262093</v>
      </c>
      <c r="J62">
        <v>4654165749</v>
      </c>
      <c r="K62">
        <v>3115369027</v>
      </c>
      <c r="L62">
        <v>2965886029</v>
      </c>
      <c r="M62">
        <v>1321168779</v>
      </c>
      <c r="N62">
        <v>1281536017</v>
      </c>
      <c r="O62">
        <v>1982976734</v>
      </c>
      <c r="P62">
        <v>5947429520</v>
      </c>
      <c r="Q62">
        <v>4827102946</v>
      </c>
      <c r="R62">
        <v>754964886</v>
      </c>
    </row>
    <row r="63" spans="1:18" x14ac:dyDescent="0.35">
      <c r="A63" t="s">
        <v>1936</v>
      </c>
      <c r="B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8" x14ac:dyDescent="0.35">
      <c r="A64" t="s">
        <v>1936</v>
      </c>
      <c r="B64" t="s">
        <v>62</v>
      </c>
      <c r="C64">
        <v>0</v>
      </c>
      <c r="D64">
        <v>13365326700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8" x14ac:dyDescent="0.35">
      <c r="A65" t="s">
        <v>1936</v>
      </c>
      <c r="B65" t="s">
        <v>63</v>
      </c>
      <c r="C65">
        <v>239459555865</v>
      </c>
      <c r="D65">
        <v>229369684933</v>
      </c>
      <c r="E65">
        <v>218290561540</v>
      </c>
      <c r="F65">
        <v>209219591764</v>
      </c>
      <c r="G65">
        <v>201887159685</v>
      </c>
      <c r="H65">
        <v>192823256458</v>
      </c>
      <c r="I65">
        <v>181854880656</v>
      </c>
      <c r="J65">
        <v>174695450004</v>
      </c>
      <c r="K65">
        <v>507760504167</v>
      </c>
      <c r="L65">
        <v>475204904485</v>
      </c>
      <c r="M65">
        <v>457810063417</v>
      </c>
      <c r="N65">
        <v>440750396593</v>
      </c>
      <c r="O65">
        <v>423690729769</v>
      </c>
      <c r="P65">
        <v>406631062945</v>
      </c>
      <c r="Q65">
        <v>389571396121</v>
      </c>
      <c r="R65">
        <v>372511729302</v>
      </c>
    </row>
    <row r="66" spans="1:18" x14ac:dyDescent="0.35">
      <c r="A66" t="s">
        <v>1936</v>
      </c>
      <c r="B66" t="s">
        <v>64</v>
      </c>
      <c r="C66">
        <v>16762969403020</v>
      </c>
      <c r="D66">
        <v>17606226202337</v>
      </c>
      <c r="E66">
        <v>17960392171673</v>
      </c>
      <c r="F66">
        <v>18079290741625</v>
      </c>
      <c r="G66">
        <v>18135297578955</v>
      </c>
      <c r="H66">
        <v>18164060613332</v>
      </c>
      <c r="I66">
        <v>18891714221892</v>
      </c>
      <c r="J66">
        <v>19006639351101</v>
      </c>
      <c r="K66">
        <v>19225713078334</v>
      </c>
      <c r="L66">
        <v>19110916312439</v>
      </c>
      <c r="M66">
        <v>19442816802442</v>
      </c>
      <c r="N66">
        <v>19281092598538</v>
      </c>
      <c r="O66">
        <v>19414102975391</v>
      </c>
      <c r="P66">
        <v>20314974859124</v>
      </c>
      <c r="Q66">
        <v>20294197360527</v>
      </c>
      <c r="R66">
        <v>20642960387164</v>
      </c>
    </row>
    <row r="67" spans="1:18" x14ac:dyDescent="0.35">
      <c r="A67" t="s">
        <v>1936</v>
      </c>
      <c r="B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8" x14ac:dyDescent="0.35">
      <c r="A68" t="s">
        <v>1936</v>
      </c>
      <c r="B68" t="s">
        <v>66</v>
      </c>
      <c r="C68">
        <v>10022946856519</v>
      </c>
      <c r="D68">
        <v>10720839523373</v>
      </c>
      <c r="E68">
        <v>10938135328954</v>
      </c>
      <c r="F68">
        <v>10956929953288</v>
      </c>
      <c r="G68">
        <v>10738685958928</v>
      </c>
      <c r="H68">
        <v>10592730853644</v>
      </c>
      <c r="I68">
        <v>11057638150058</v>
      </c>
      <c r="J68">
        <v>10798239148776</v>
      </c>
      <c r="K68">
        <v>10946123346538</v>
      </c>
      <c r="L68">
        <v>11270429237355</v>
      </c>
      <c r="M68">
        <v>11517104454054</v>
      </c>
      <c r="N68">
        <v>11501927019103</v>
      </c>
      <c r="O68">
        <v>11577101016981</v>
      </c>
      <c r="P68">
        <v>12466305026061</v>
      </c>
      <c r="Q68">
        <v>12386077637573</v>
      </c>
      <c r="R68">
        <v>12622007998965</v>
      </c>
    </row>
    <row r="69" spans="1:18" x14ac:dyDescent="0.35">
      <c r="A69" t="s">
        <v>1936</v>
      </c>
      <c r="B69" t="s">
        <v>67</v>
      </c>
      <c r="C69">
        <v>6509496079763</v>
      </c>
      <c r="D69">
        <v>6522053338394</v>
      </c>
      <c r="E69">
        <v>6640837670758</v>
      </c>
      <c r="F69">
        <v>6698323483182</v>
      </c>
      <c r="G69">
        <v>6542479267978</v>
      </c>
      <c r="H69">
        <v>6491188545086</v>
      </c>
      <c r="I69">
        <v>6671340234683</v>
      </c>
      <c r="J69">
        <v>6478802078606</v>
      </c>
      <c r="K69">
        <v>7328707364263</v>
      </c>
      <c r="L69">
        <v>7321331245556</v>
      </c>
      <c r="M69">
        <v>7061672276654</v>
      </c>
      <c r="N69">
        <v>7230839087965</v>
      </c>
      <c r="O69">
        <v>7297488471071</v>
      </c>
      <c r="P69">
        <v>7868028470372</v>
      </c>
      <c r="Q69">
        <v>8008262456154</v>
      </c>
      <c r="R69">
        <v>8243803300256</v>
      </c>
    </row>
    <row r="70" spans="1:18" x14ac:dyDescent="0.35">
      <c r="A70" t="s">
        <v>1936</v>
      </c>
      <c r="B70" t="s">
        <v>68</v>
      </c>
      <c r="C70">
        <v>577295259388</v>
      </c>
      <c r="D70">
        <v>799984851256</v>
      </c>
      <c r="E70">
        <v>1149734097194</v>
      </c>
      <c r="F70">
        <v>1276066363479</v>
      </c>
      <c r="G70">
        <v>1004103628716</v>
      </c>
      <c r="H70">
        <v>963380260622</v>
      </c>
      <c r="I70">
        <v>953958794114</v>
      </c>
      <c r="J70">
        <v>786544579346</v>
      </c>
      <c r="K70">
        <v>764054501722</v>
      </c>
      <c r="L70">
        <v>641859676785</v>
      </c>
      <c r="M70">
        <v>535529516024</v>
      </c>
      <c r="N70">
        <v>667648618940</v>
      </c>
      <c r="O70">
        <v>706425382182</v>
      </c>
      <c r="P70">
        <v>520910126114</v>
      </c>
      <c r="Q70">
        <v>600954526986</v>
      </c>
      <c r="R70">
        <v>538611816158</v>
      </c>
    </row>
    <row r="71" spans="1:18" x14ac:dyDescent="0.35">
      <c r="A71" t="s">
        <v>1936</v>
      </c>
      <c r="B71" t="s">
        <v>69</v>
      </c>
      <c r="C71">
        <v>959979552898</v>
      </c>
      <c r="D71">
        <v>389921570815</v>
      </c>
      <c r="E71">
        <v>471568882225</v>
      </c>
      <c r="F71">
        <v>368224771704</v>
      </c>
      <c r="G71">
        <v>545757550067</v>
      </c>
      <c r="H71">
        <v>581448360748</v>
      </c>
      <c r="I71">
        <v>668721451961</v>
      </c>
      <c r="J71">
        <v>628079538039</v>
      </c>
      <c r="K71">
        <v>430571265544</v>
      </c>
      <c r="L71">
        <v>310447211365</v>
      </c>
      <c r="M71">
        <v>530080566801</v>
      </c>
      <c r="N71">
        <v>298339776384</v>
      </c>
      <c r="O71">
        <v>405399624886</v>
      </c>
      <c r="P71">
        <v>382783964460</v>
      </c>
      <c r="Q71">
        <v>418094119169</v>
      </c>
      <c r="R71">
        <v>229724578887</v>
      </c>
    </row>
    <row r="72" spans="1:18" x14ac:dyDescent="0.35">
      <c r="A72" t="s">
        <v>1936</v>
      </c>
      <c r="B72" t="s">
        <v>70</v>
      </c>
      <c r="C72">
        <v>109640817714</v>
      </c>
      <c r="D72">
        <v>123080148215</v>
      </c>
      <c r="E72">
        <v>114280499731</v>
      </c>
      <c r="F72">
        <v>122110689935</v>
      </c>
      <c r="G72">
        <v>158291949048</v>
      </c>
      <c r="H72">
        <v>175980015871</v>
      </c>
      <c r="I72">
        <v>193306945786</v>
      </c>
      <c r="J72">
        <v>163357816359</v>
      </c>
      <c r="K72">
        <v>201600982964</v>
      </c>
      <c r="L72">
        <v>228146109553</v>
      </c>
      <c r="M72">
        <v>168752862819</v>
      </c>
      <c r="N72">
        <v>149030490393</v>
      </c>
      <c r="O72">
        <v>101273703749</v>
      </c>
      <c r="P72">
        <v>521665599668</v>
      </c>
      <c r="Q72">
        <v>386434737205</v>
      </c>
      <c r="R72">
        <v>322966177392</v>
      </c>
    </row>
    <row r="73" spans="1:18" x14ac:dyDescent="0.35">
      <c r="A73" t="s">
        <v>1936</v>
      </c>
      <c r="B73" t="s">
        <v>71</v>
      </c>
      <c r="C73">
        <v>27481281263</v>
      </c>
      <c r="D73">
        <v>52231042638</v>
      </c>
      <c r="E73">
        <v>28223625039</v>
      </c>
      <c r="F73">
        <v>31027969120</v>
      </c>
      <c r="G73">
        <v>17552667299</v>
      </c>
      <c r="H73">
        <v>32170720758</v>
      </c>
      <c r="I73">
        <v>32846574950</v>
      </c>
      <c r="J73">
        <v>32311246595</v>
      </c>
      <c r="K73">
        <v>27665119798</v>
      </c>
      <c r="L73">
        <v>35566563258</v>
      </c>
      <c r="M73">
        <v>34264558740</v>
      </c>
      <c r="N73">
        <v>32406038257</v>
      </c>
      <c r="O73">
        <v>29325500253</v>
      </c>
      <c r="P73">
        <v>35149434608</v>
      </c>
      <c r="Q73">
        <v>29467864657</v>
      </c>
      <c r="R73">
        <v>30670212843</v>
      </c>
    </row>
    <row r="74" spans="1:18" x14ac:dyDescent="0.35">
      <c r="A74" t="s">
        <v>1936</v>
      </c>
      <c r="B74" t="s">
        <v>72</v>
      </c>
      <c r="C74">
        <v>9357388771</v>
      </c>
      <c r="D74">
        <v>33445272110</v>
      </c>
      <c r="E74">
        <v>23967366073</v>
      </c>
      <c r="F74">
        <v>25326040311</v>
      </c>
      <c r="G74">
        <v>24448940030</v>
      </c>
      <c r="H74">
        <v>34686870794</v>
      </c>
      <c r="I74">
        <v>31345509160</v>
      </c>
      <c r="J74">
        <v>35211402470</v>
      </c>
      <c r="K74">
        <v>34397812052</v>
      </c>
      <c r="L74">
        <v>39554723221</v>
      </c>
      <c r="M74">
        <v>31080776565</v>
      </c>
      <c r="N74">
        <v>41251950582</v>
      </c>
      <c r="O74">
        <v>30515820349</v>
      </c>
      <c r="P74">
        <v>42804743058</v>
      </c>
      <c r="Q74">
        <v>32831294357</v>
      </c>
      <c r="R74">
        <v>50340707270</v>
      </c>
    </row>
    <row r="75" spans="1:18" x14ac:dyDescent="0.35">
      <c r="A75" t="s">
        <v>1936</v>
      </c>
      <c r="B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8" x14ac:dyDescent="0.35">
      <c r="A76" t="s">
        <v>1936</v>
      </c>
      <c r="B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R76">
        <v>3704863163</v>
      </c>
    </row>
    <row r="77" spans="1:18" x14ac:dyDescent="0.35">
      <c r="A77" t="s">
        <v>1936</v>
      </c>
      <c r="B77" t="s">
        <v>75</v>
      </c>
      <c r="C77">
        <v>8460935027</v>
      </c>
      <c r="D77">
        <v>8704601693</v>
      </c>
      <c r="E77">
        <v>6366400652</v>
      </c>
      <c r="F77">
        <v>15135746637</v>
      </c>
      <c r="G77">
        <v>15135746637</v>
      </c>
      <c r="H77">
        <v>6241876910</v>
      </c>
      <c r="I77">
        <v>3321263971</v>
      </c>
      <c r="J77">
        <v>3121701971</v>
      </c>
      <c r="K77">
        <v>3894783722</v>
      </c>
      <c r="L77">
        <v>4023228959</v>
      </c>
      <c r="M77">
        <v>3167496023</v>
      </c>
      <c r="N77">
        <v>4881281068</v>
      </c>
      <c r="O77">
        <v>4501059378</v>
      </c>
      <c r="P77">
        <v>3486491831</v>
      </c>
      <c r="Q77">
        <v>3247341831</v>
      </c>
      <c r="R77">
        <v>121403602046</v>
      </c>
    </row>
    <row r="78" spans="1:18" x14ac:dyDescent="0.35">
      <c r="A78" t="s">
        <v>1936</v>
      </c>
      <c r="B78" t="s">
        <v>76</v>
      </c>
      <c r="C78">
        <v>157334300038</v>
      </c>
      <c r="D78">
        <v>135990426175</v>
      </c>
      <c r="E78">
        <v>90327504651</v>
      </c>
      <c r="F78">
        <v>69521907178</v>
      </c>
      <c r="G78">
        <v>70511740448</v>
      </c>
      <c r="H78">
        <v>70151617460</v>
      </c>
      <c r="I78">
        <v>105186234087</v>
      </c>
      <c r="J78">
        <v>137758361893</v>
      </c>
      <c r="K78">
        <v>318166775137</v>
      </c>
      <c r="L78">
        <v>138344031592</v>
      </c>
      <c r="M78">
        <v>109702060042</v>
      </c>
      <c r="N78">
        <v>119124644558</v>
      </c>
      <c r="O78">
        <v>110329774757</v>
      </c>
      <c r="P78">
        <v>111937410952</v>
      </c>
      <c r="Q78">
        <v>155529628085</v>
      </c>
      <c r="R78">
        <v>6896821246832</v>
      </c>
    </row>
    <row r="79" spans="1:18" x14ac:dyDescent="0.35">
      <c r="A79" t="s">
        <v>1936</v>
      </c>
      <c r="B79" t="s">
        <v>77</v>
      </c>
      <c r="C79">
        <v>4630870886535</v>
      </c>
      <c r="D79">
        <v>4950176667363</v>
      </c>
      <c r="E79">
        <v>4725972841012</v>
      </c>
      <c r="F79">
        <v>4756515760637</v>
      </c>
      <c r="G79">
        <v>4672282811552</v>
      </c>
      <c r="H79">
        <v>4592736587742</v>
      </c>
      <c r="I79">
        <v>4648261226473</v>
      </c>
      <c r="J79">
        <v>4654102807752</v>
      </c>
      <c r="K79">
        <v>5510062889143</v>
      </c>
      <c r="L79">
        <v>5885161693020</v>
      </c>
      <c r="M79">
        <v>5610868431837</v>
      </c>
      <c r="N79">
        <v>5872938779980</v>
      </c>
      <c r="O79">
        <v>5864504317714</v>
      </c>
      <c r="P79">
        <v>6202057761377</v>
      </c>
      <c r="Q79">
        <v>6335976632560</v>
      </c>
    </row>
    <row r="80" spans="1:18" x14ac:dyDescent="0.35">
      <c r="A80" t="s">
        <v>1936</v>
      </c>
      <c r="B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2022226343</v>
      </c>
      <c r="Q80">
        <v>522599343</v>
      </c>
      <c r="R80">
        <v>49560095665</v>
      </c>
    </row>
    <row r="81" spans="1:18" x14ac:dyDescent="0.35">
      <c r="A81" t="s">
        <v>1936</v>
      </c>
      <c r="B81" t="s">
        <v>79</v>
      </c>
      <c r="C81">
        <v>29075658129</v>
      </c>
      <c r="D81">
        <v>28518758129</v>
      </c>
      <c r="E81">
        <v>30396454181</v>
      </c>
      <c r="F81">
        <v>34394234181</v>
      </c>
      <c r="G81">
        <v>34394234181</v>
      </c>
      <c r="H81">
        <v>34392234181</v>
      </c>
      <c r="I81">
        <v>34392234181</v>
      </c>
      <c r="J81">
        <v>38314624181</v>
      </c>
      <c r="K81">
        <v>38293234181</v>
      </c>
      <c r="L81">
        <v>38228007803</v>
      </c>
      <c r="M81">
        <v>38226007803</v>
      </c>
      <c r="N81">
        <v>45217507803</v>
      </c>
      <c r="O81">
        <v>45213287803</v>
      </c>
      <c r="P81">
        <v>45210711961</v>
      </c>
      <c r="Q81">
        <v>45203711961</v>
      </c>
    </row>
    <row r="82" spans="1:18" x14ac:dyDescent="0.35">
      <c r="A82" t="s">
        <v>1936</v>
      </c>
      <c r="B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8" x14ac:dyDescent="0.35">
      <c r="A83" t="s">
        <v>1936</v>
      </c>
      <c r="B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8" x14ac:dyDescent="0.35">
      <c r="A84" t="s">
        <v>1936</v>
      </c>
      <c r="B84" t="s">
        <v>82</v>
      </c>
      <c r="C84">
        <v>3513450776756</v>
      </c>
      <c r="D84">
        <v>4198786184979</v>
      </c>
      <c r="E84">
        <v>4297297658196</v>
      </c>
      <c r="F84">
        <v>4258606470106</v>
      </c>
      <c r="G84">
        <v>4196206690950</v>
      </c>
      <c r="H84">
        <v>4101542308558</v>
      </c>
      <c r="I84">
        <v>4386297915375</v>
      </c>
      <c r="J84">
        <v>4319437070170</v>
      </c>
      <c r="K84">
        <v>3617415982275</v>
      </c>
      <c r="L84">
        <v>3949097991799</v>
      </c>
      <c r="M84">
        <v>4455432177400</v>
      </c>
      <c r="N84">
        <v>4271087931138</v>
      </c>
      <c r="O84">
        <v>4279612545910</v>
      </c>
      <c r="P84">
        <v>4598276555689</v>
      </c>
      <c r="Q84">
        <v>4377815181419</v>
      </c>
      <c r="R84">
        <v>4378204698709</v>
      </c>
    </row>
    <row r="85" spans="1:18" x14ac:dyDescent="0.35">
      <c r="A85" t="s">
        <v>1936</v>
      </c>
      <c r="B85" t="s">
        <v>83</v>
      </c>
      <c r="C85">
        <v>0</v>
      </c>
      <c r="D85">
        <v>757451821237</v>
      </c>
      <c r="E85">
        <v>771341821237</v>
      </c>
      <c r="F85">
        <v>771341821237</v>
      </c>
      <c r="G85">
        <v>771341821237</v>
      </c>
      <c r="H85">
        <v>771341821237</v>
      </c>
      <c r="I85">
        <v>761623110547</v>
      </c>
      <c r="J85">
        <v>761623110547</v>
      </c>
      <c r="K85">
        <v>0</v>
      </c>
      <c r="L85">
        <v>0</v>
      </c>
      <c r="M85">
        <v>0</v>
      </c>
      <c r="N85">
        <v>0</v>
      </c>
    </row>
    <row r="86" spans="1:18" x14ac:dyDescent="0.35">
      <c r="A86" t="s">
        <v>1936</v>
      </c>
      <c r="B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8" x14ac:dyDescent="0.35">
      <c r="A87" t="s">
        <v>1936</v>
      </c>
      <c r="B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8" x14ac:dyDescent="0.35">
      <c r="A88" t="s">
        <v>1936</v>
      </c>
      <c r="B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8" x14ac:dyDescent="0.35">
      <c r="A89" t="s">
        <v>1936</v>
      </c>
      <c r="B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8" x14ac:dyDescent="0.35">
      <c r="A90" t="s">
        <v>1936</v>
      </c>
      <c r="B90" t="s">
        <v>88</v>
      </c>
      <c r="C90">
        <v>15410245071</v>
      </c>
      <c r="D90">
        <v>12077519372</v>
      </c>
      <c r="E90">
        <v>15942623719</v>
      </c>
      <c r="F90">
        <v>15589608520</v>
      </c>
      <c r="G90">
        <v>15750047867</v>
      </c>
      <c r="H90">
        <v>14648536668</v>
      </c>
      <c r="I90">
        <v>14876176015</v>
      </c>
      <c r="J90">
        <v>14523160816</v>
      </c>
      <c r="K90">
        <v>14715600163</v>
      </c>
      <c r="L90">
        <v>14362584964</v>
      </c>
      <c r="M90">
        <v>15143111062</v>
      </c>
      <c r="N90">
        <v>14709495643</v>
      </c>
      <c r="O90">
        <v>14879400224</v>
      </c>
      <c r="P90">
        <v>14445784805</v>
      </c>
      <c r="Q90">
        <v>14612169386</v>
      </c>
      <c r="R90">
        <v>14178553967</v>
      </c>
    </row>
    <row r="91" spans="1:18" x14ac:dyDescent="0.35">
      <c r="A91" t="s">
        <v>1936</v>
      </c>
      <c r="B91" t="s">
        <v>89</v>
      </c>
      <c r="C91">
        <v>2220000000</v>
      </c>
      <c r="D91">
        <v>1320000000</v>
      </c>
      <c r="E91">
        <v>1920000000</v>
      </c>
      <c r="F91">
        <v>1920000000</v>
      </c>
      <c r="G91">
        <v>1920000000</v>
      </c>
      <c r="H91">
        <v>1870000000</v>
      </c>
      <c r="I91">
        <v>1870000000</v>
      </c>
      <c r="J91">
        <v>1870000000</v>
      </c>
      <c r="K91">
        <v>1870000000</v>
      </c>
      <c r="L91">
        <v>1870000000</v>
      </c>
      <c r="M91">
        <v>1870000000</v>
      </c>
      <c r="N91">
        <v>1920000000</v>
      </c>
      <c r="O91">
        <v>1920000000</v>
      </c>
      <c r="P91">
        <v>2090000000</v>
      </c>
      <c r="Q91">
        <v>2040000000</v>
      </c>
      <c r="R91">
        <v>2640000000</v>
      </c>
    </row>
    <row r="92" spans="1:18" x14ac:dyDescent="0.35">
      <c r="A92" t="s">
        <v>1936</v>
      </c>
      <c r="B92" t="s">
        <v>90</v>
      </c>
      <c r="C92">
        <v>3495219702704</v>
      </c>
      <c r="D92">
        <v>3427336015389</v>
      </c>
      <c r="E92">
        <v>3507502911290</v>
      </c>
      <c r="F92">
        <v>3469058146159</v>
      </c>
      <c r="G92">
        <v>3406222230293</v>
      </c>
      <c r="H92">
        <v>3311922309367</v>
      </c>
      <c r="I92">
        <v>3606168987527</v>
      </c>
      <c r="J92">
        <v>3539661157521</v>
      </c>
      <c r="K92">
        <v>3598860071206</v>
      </c>
      <c r="L92">
        <v>3930858267024</v>
      </c>
      <c r="M92">
        <v>4436379243430</v>
      </c>
      <c r="N92">
        <v>4252387329904</v>
      </c>
      <c r="O92">
        <v>4260742040095</v>
      </c>
      <c r="P92">
        <v>4579700947976</v>
      </c>
      <c r="Q92">
        <v>4359123189125</v>
      </c>
      <c r="R92">
        <v>4359346321834</v>
      </c>
    </row>
    <row r="93" spans="1:18" x14ac:dyDescent="0.35">
      <c r="A93" t="s">
        <v>1936</v>
      </c>
      <c r="B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8" x14ac:dyDescent="0.35">
      <c r="A94" t="s">
        <v>1936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8" x14ac:dyDescent="0.35">
      <c r="A95" t="s">
        <v>1936</v>
      </c>
      <c r="B95" t="s">
        <v>93</v>
      </c>
      <c r="C95">
        <v>600828981</v>
      </c>
      <c r="D95">
        <v>600828981</v>
      </c>
      <c r="E95">
        <v>590301950</v>
      </c>
      <c r="F95">
        <v>696894190</v>
      </c>
      <c r="G95">
        <v>972591553</v>
      </c>
      <c r="H95">
        <v>1759641286</v>
      </c>
      <c r="I95">
        <v>1759641286</v>
      </c>
      <c r="J95">
        <v>1759641286</v>
      </c>
      <c r="K95">
        <v>1970310906</v>
      </c>
      <c r="L95">
        <v>2007139811</v>
      </c>
      <c r="M95">
        <v>2039822908</v>
      </c>
      <c r="N95">
        <v>2071105591</v>
      </c>
      <c r="O95">
        <v>2071105591</v>
      </c>
      <c r="P95">
        <v>2039822908</v>
      </c>
      <c r="Q95">
        <v>2039822908</v>
      </c>
      <c r="R95">
        <v>2039822908</v>
      </c>
    </row>
    <row r="96" spans="1:18" x14ac:dyDescent="0.35">
      <c r="A96" t="s">
        <v>1936</v>
      </c>
      <c r="B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8" x14ac:dyDescent="0.35">
      <c r="A97" t="s">
        <v>1936</v>
      </c>
      <c r="B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8" x14ac:dyDescent="0.35">
      <c r="A98" t="s">
        <v>1936</v>
      </c>
      <c r="B98" t="s">
        <v>96</v>
      </c>
      <c r="C98">
        <v>6740022546501</v>
      </c>
      <c r="D98">
        <v>6885386678964</v>
      </c>
      <c r="E98">
        <v>7022256842719</v>
      </c>
      <c r="F98">
        <v>7122360788337</v>
      </c>
      <c r="G98">
        <v>7396611620027</v>
      </c>
      <c r="H98">
        <v>7571329759688</v>
      </c>
      <c r="I98">
        <v>7834076071834</v>
      </c>
      <c r="J98">
        <v>8208400202325</v>
      </c>
      <c r="K98">
        <v>8279589731796</v>
      </c>
      <c r="L98">
        <v>7840487075084</v>
      </c>
      <c r="M98">
        <v>7925712348388</v>
      </c>
      <c r="N98">
        <v>7779165579435</v>
      </c>
      <c r="O98">
        <v>7837001958410</v>
      </c>
      <c r="P98">
        <v>7848669833063</v>
      </c>
      <c r="Q98">
        <v>7908119722954</v>
      </c>
      <c r="R98">
        <v>8020952388199</v>
      </c>
    </row>
    <row r="99" spans="1:18" x14ac:dyDescent="0.35">
      <c r="A99" t="s">
        <v>1936</v>
      </c>
      <c r="B99" t="s">
        <v>97</v>
      </c>
      <c r="C99">
        <v>6725813550701</v>
      </c>
      <c r="D99">
        <v>6869177683164</v>
      </c>
      <c r="E99">
        <v>7015521188219</v>
      </c>
      <c r="F99">
        <v>7115625133837</v>
      </c>
      <c r="G99">
        <v>7389875965527</v>
      </c>
      <c r="H99">
        <v>7563699738488</v>
      </c>
      <c r="I99">
        <v>7823812686734</v>
      </c>
      <c r="J99">
        <v>8198136817225</v>
      </c>
      <c r="K99">
        <v>8269326346696</v>
      </c>
      <c r="L99">
        <v>7830223689984</v>
      </c>
      <c r="M99">
        <v>7915448963288</v>
      </c>
      <c r="N99">
        <v>7768902194335</v>
      </c>
      <c r="O99">
        <v>7826738573310</v>
      </c>
      <c r="P99">
        <v>7838406447963</v>
      </c>
      <c r="Q99">
        <v>7908119722954</v>
      </c>
      <c r="R99">
        <v>8010689003099</v>
      </c>
    </row>
    <row r="100" spans="1:18" x14ac:dyDescent="0.35">
      <c r="A100" t="s">
        <v>1936</v>
      </c>
      <c r="B100" t="s">
        <v>98</v>
      </c>
      <c r="C100">
        <v>2588678490000</v>
      </c>
      <c r="D100">
        <v>2588678490000</v>
      </c>
      <c r="E100">
        <v>2588678490000</v>
      </c>
      <c r="F100">
        <v>2588678490000</v>
      </c>
      <c r="G100">
        <v>2588678490000</v>
      </c>
      <c r="H100">
        <v>2588678490000</v>
      </c>
      <c r="I100">
        <v>3365267520000</v>
      </c>
      <c r="J100">
        <v>3365267520000</v>
      </c>
      <c r="K100">
        <v>3365267520000</v>
      </c>
      <c r="L100">
        <v>3365267520000</v>
      </c>
      <c r="M100">
        <v>3365267520000</v>
      </c>
      <c r="N100">
        <v>3365267520000</v>
      </c>
      <c r="O100">
        <v>3365267520000</v>
      </c>
      <c r="P100">
        <v>3365267520000</v>
      </c>
      <c r="Q100">
        <v>3365267520000</v>
      </c>
      <c r="R100">
        <v>3365267520000</v>
      </c>
    </row>
    <row r="101" spans="1:18" x14ac:dyDescent="0.35">
      <c r="A101" t="s">
        <v>1936</v>
      </c>
      <c r="B101" t="s">
        <v>99</v>
      </c>
      <c r="C101">
        <v>2588678490000</v>
      </c>
      <c r="D101">
        <v>2588678490000</v>
      </c>
      <c r="E101">
        <v>2588678490000</v>
      </c>
      <c r="F101">
        <v>2588678490000</v>
      </c>
      <c r="G101">
        <v>2588678490000</v>
      </c>
      <c r="H101">
        <v>2588678490000</v>
      </c>
      <c r="I101">
        <v>3365267520000</v>
      </c>
      <c r="J101">
        <v>3365267520000</v>
      </c>
      <c r="K101">
        <v>3365267520000</v>
      </c>
      <c r="L101">
        <v>3365267520000</v>
      </c>
      <c r="M101">
        <v>3365267520000</v>
      </c>
      <c r="N101">
        <v>3365267520000</v>
      </c>
      <c r="O101">
        <v>3365267520000</v>
      </c>
      <c r="P101">
        <v>3365267520000</v>
      </c>
      <c r="Q101">
        <v>3365267520000</v>
      </c>
      <c r="R101">
        <v>3365267520000</v>
      </c>
    </row>
    <row r="102" spans="1:18" x14ac:dyDescent="0.35">
      <c r="A102" t="s">
        <v>1936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8" x14ac:dyDescent="0.35">
      <c r="A103" t="s">
        <v>1936</v>
      </c>
      <c r="B103" t="s">
        <v>101</v>
      </c>
      <c r="C103">
        <v>45104200000</v>
      </c>
      <c r="D103">
        <v>45104200000</v>
      </c>
      <c r="E103">
        <v>45104200000</v>
      </c>
      <c r="F103">
        <v>45104200000</v>
      </c>
      <c r="G103">
        <v>45104200000</v>
      </c>
      <c r="H103">
        <v>45104200000</v>
      </c>
      <c r="I103">
        <v>45104200000</v>
      </c>
      <c r="J103">
        <v>45104200000</v>
      </c>
      <c r="K103">
        <v>45104200000</v>
      </c>
      <c r="L103">
        <v>45104200000</v>
      </c>
      <c r="M103">
        <v>45104200000</v>
      </c>
      <c r="N103">
        <v>45104200000</v>
      </c>
      <c r="O103">
        <v>45104200000</v>
      </c>
      <c r="P103">
        <v>45104200000</v>
      </c>
      <c r="Q103">
        <v>45104200000</v>
      </c>
      <c r="R103">
        <v>45104200000</v>
      </c>
    </row>
    <row r="104" spans="1:18" x14ac:dyDescent="0.35">
      <c r="A104" t="s">
        <v>1936</v>
      </c>
      <c r="B104" t="s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8" x14ac:dyDescent="0.35">
      <c r="A105" t="s">
        <v>1936</v>
      </c>
      <c r="B105" t="s">
        <v>103</v>
      </c>
      <c r="C105">
        <v>272989639477</v>
      </c>
      <c r="D105">
        <v>272989639477</v>
      </c>
      <c r="E105">
        <v>272989640875</v>
      </c>
      <c r="F105">
        <v>272989640875</v>
      </c>
      <c r="G105">
        <v>272989640875</v>
      </c>
      <c r="H105">
        <v>272989640875</v>
      </c>
      <c r="I105">
        <v>345904760875</v>
      </c>
      <c r="J105">
        <v>345904760875</v>
      </c>
      <c r="K105">
        <v>407153460875</v>
      </c>
      <c r="L105">
        <v>407153460875</v>
      </c>
      <c r="M105">
        <v>341715380976</v>
      </c>
      <c r="N105">
        <v>341715380976</v>
      </c>
      <c r="O105">
        <v>341715380976</v>
      </c>
      <c r="Q105">
        <v>341715380976</v>
      </c>
      <c r="R105">
        <v>341715380976</v>
      </c>
    </row>
    <row r="106" spans="1:18" x14ac:dyDescent="0.35">
      <c r="A106" t="s">
        <v>1936</v>
      </c>
      <c r="B106" t="s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P106">
        <v>341715380976</v>
      </c>
    </row>
    <row r="107" spans="1:18" x14ac:dyDescent="0.35">
      <c r="A107" t="s">
        <v>1936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8" x14ac:dyDescent="0.35">
      <c r="A108" t="s">
        <v>1936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8" x14ac:dyDescent="0.35">
      <c r="A109" t="s">
        <v>1936</v>
      </c>
      <c r="B109" t="s">
        <v>107</v>
      </c>
      <c r="C109">
        <v>104092888935</v>
      </c>
      <c r="D109">
        <v>104092888935</v>
      </c>
      <c r="E109">
        <v>104092515046</v>
      </c>
      <c r="F109">
        <v>117244369244</v>
      </c>
      <c r="G109">
        <v>117244369244</v>
      </c>
      <c r="H109">
        <v>117244369244</v>
      </c>
      <c r="I109">
        <v>117244369244</v>
      </c>
      <c r="J109">
        <v>131293378883</v>
      </c>
      <c r="K109">
        <v>131293378883</v>
      </c>
      <c r="L109">
        <v>131293378883</v>
      </c>
      <c r="M109">
        <v>131293378883</v>
      </c>
      <c r="N109">
        <v>145525353651</v>
      </c>
      <c r="O109">
        <v>145525353651</v>
      </c>
      <c r="P109">
        <v>145525353651</v>
      </c>
      <c r="Q109">
        <v>145525353651</v>
      </c>
      <c r="R109">
        <v>158221234076</v>
      </c>
    </row>
    <row r="110" spans="1:18" x14ac:dyDescent="0.35">
      <c r="A110" t="s">
        <v>1936</v>
      </c>
      <c r="B110" t="s">
        <v>108</v>
      </c>
      <c r="C110">
        <v>3824545613</v>
      </c>
      <c r="D110">
        <v>3824545613</v>
      </c>
      <c r="E110">
        <v>3824545613</v>
      </c>
      <c r="F110">
        <v>4878380532</v>
      </c>
      <c r="G110">
        <v>4878380532</v>
      </c>
      <c r="H110">
        <v>4878380532</v>
      </c>
      <c r="I110">
        <v>4878380532</v>
      </c>
      <c r="J110">
        <v>4878380532</v>
      </c>
      <c r="K110">
        <v>4878380532</v>
      </c>
      <c r="L110">
        <v>4878380532</v>
      </c>
      <c r="M110">
        <v>4878380532</v>
      </c>
      <c r="N110">
        <v>5987831202</v>
      </c>
      <c r="O110">
        <v>5987831202</v>
      </c>
      <c r="P110">
        <v>5987831202</v>
      </c>
      <c r="Q110">
        <v>5987831202</v>
      </c>
      <c r="R110">
        <v>6210491202</v>
      </c>
    </row>
    <row r="111" spans="1:18" x14ac:dyDescent="0.35">
      <c r="A111" t="s">
        <v>1936</v>
      </c>
      <c r="B111" t="s">
        <v>109</v>
      </c>
      <c r="C111">
        <v>8276716593</v>
      </c>
      <c r="D111">
        <v>8276716593</v>
      </c>
      <c r="E111">
        <v>8276716593</v>
      </c>
      <c r="F111">
        <v>9330551512</v>
      </c>
      <c r="G111">
        <v>9330551512</v>
      </c>
      <c r="H111">
        <v>9330551512</v>
      </c>
      <c r="I111">
        <v>9330551512</v>
      </c>
      <c r="J111">
        <v>7379561151</v>
      </c>
      <c r="K111">
        <v>7379561151</v>
      </c>
      <c r="L111">
        <v>7379561151</v>
      </c>
      <c r="M111">
        <v>7379561151</v>
      </c>
      <c r="N111">
        <v>8489011821</v>
      </c>
      <c r="O111">
        <v>8489011821</v>
      </c>
      <c r="P111">
        <v>8489011821</v>
      </c>
      <c r="Q111">
        <v>8489011821</v>
      </c>
      <c r="R111">
        <v>8711671821</v>
      </c>
    </row>
    <row r="112" spans="1:18" x14ac:dyDescent="0.35">
      <c r="A112" t="s">
        <v>1936</v>
      </c>
      <c r="B112" t="s">
        <v>110</v>
      </c>
      <c r="C112">
        <v>1364903812446</v>
      </c>
      <c r="D112">
        <v>1484308526035</v>
      </c>
      <c r="E112">
        <v>1581543548620</v>
      </c>
      <c r="F112">
        <v>1651456081057</v>
      </c>
      <c r="G112">
        <v>1917011855800</v>
      </c>
      <c r="H112">
        <v>2046068192867</v>
      </c>
      <c r="I112">
        <v>1341429594071</v>
      </c>
      <c r="J112">
        <v>1584255799957</v>
      </c>
      <c r="K112">
        <v>1502718446919</v>
      </c>
      <c r="L112">
        <v>1041684275370</v>
      </c>
      <c r="M112">
        <v>1383522028298</v>
      </c>
      <c r="N112">
        <v>1275097805813</v>
      </c>
      <c r="O112">
        <v>1311972980151</v>
      </c>
      <c r="P112">
        <v>1336111445770</v>
      </c>
      <c r="Q112">
        <v>1370550847661</v>
      </c>
      <c r="R112">
        <v>1454527125936</v>
      </c>
    </row>
    <row r="113" spans="1:18" x14ac:dyDescent="0.35">
      <c r="A113" t="s">
        <v>1936</v>
      </c>
      <c r="B113" t="s">
        <v>111</v>
      </c>
      <c r="C113">
        <v>368642194738</v>
      </c>
      <c r="D113">
        <v>488046908327</v>
      </c>
      <c r="E113">
        <v>113868120251</v>
      </c>
      <c r="F113">
        <v>199953713075</v>
      </c>
      <c r="G113">
        <v>466345085424</v>
      </c>
      <c r="H113">
        <v>601791596491</v>
      </c>
      <c r="I113">
        <v>208816194139</v>
      </c>
      <c r="J113">
        <v>441178992793</v>
      </c>
      <c r="K113">
        <v>587438605255</v>
      </c>
      <c r="L113">
        <v>410489713664</v>
      </c>
      <c r="M113">
        <v>1314266286158</v>
      </c>
      <c r="N113">
        <v>1293382866068</v>
      </c>
      <c r="O113">
        <v>1285194969793</v>
      </c>
      <c r="P113">
        <v>1293842634282</v>
      </c>
      <c r="Q113">
        <v>1312074899685</v>
      </c>
      <c r="R113">
        <v>1308230061102</v>
      </c>
    </row>
    <row r="114" spans="1:18" x14ac:dyDescent="0.35">
      <c r="A114" t="s">
        <v>1936</v>
      </c>
      <c r="B114" t="s">
        <v>112</v>
      </c>
      <c r="C114">
        <v>996261617708</v>
      </c>
      <c r="D114">
        <v>996261617708</v>
      </c>
      <c r="E114">
        <v>1467675428369</v>
      </c>
      <c r="F114">
        <v>1451502367982</v>
      </c>
      <c r="G114">
        <v>1450666770376</v>
      </c>
      <c r="H114">
        <v>1444276596376</v>
      </c>
      <c r="I114">
        <v>1132613399932</v>
      </c>
      <c r="J114">
        <v>1143076807164</v>
      </c>
      <c r="K114">
        <v>915279841664</v>
      </c>
      <c r="L114">
        <v>631194561706</v>
      </c>
      <c r="M114">
        <v>69255742140</v>
      </c>
      <c r="N114">
        <v>-18285060255</v>
      </c>
      <c r="O114">
        <v>26778010358</v>
      </c>
      <c r="P114">
        <v>42268811488</v>
      </c>
      <c r="Q114">
        <v>58475947976</v>
      </c>
      <c r="R114">
        <v>146297064834</v>
      </c>
    </row>
    <row r="115" spans="1:18" x14ac:dyDescent="0.35">
      <c r="A115" t="s">
        <v>1936</v>
      </c>
      <c r="B115" t="s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Q115">
        <v>10263385100</v>
      </c>
    </row>
    <row r="116" spans="1:18" x14ac:dyDescent="0.35">
      <c r="A116" t="s">
        <v>1936</v>
      </c>
      <c r="B116" t="s">
        <v>114</v>
      </c>
      <c r="C116">
        <v>2337943257637</v>
      </c>
      <c r="D116">
        <v>2361902676511</v>
      </c>
      <c r="E116">
        <v>2411011531472</v>
      </c>
      <c r="F116">
        <v>2425943420617</v>
      </c>
      <c r="G116">
        <v>2434638477564</v>
      </c>
      <c r="H116">
        <v>2479405913458</v>
      </c>
      <c r="I116">
        <v>2594653310500</v>
      </c>
      <c r="J116">
        <v>2714053215827</v>
      </c>
      <c r="K116">
        <v>2805531398336</v>
      </c>
      <c r="L116">
        <v>2827462913173</v>
      </c>
      <c r="M116">
        <v>2636288513448</v>
      </c>
      <c r="N116">
        <v>2581715090872</v>
      </c>
      <c r="O116">
        <v>2602676295509</v>
      </c>
      <c r="P116">
        <v>2590205704543</v>
      </c>
      <c r="Q116">
        <v>2615216192543</v>
      </c>
      <c r="R116">
        <v>2630931379088</v>
      </c>
    </row>
    <row r="117" spans="1:18" x14ac:dyDescent="0.35">
      <c r="A117" t="s">
        <v>1936</v>
      </c>
      <c r="B117" t="s">
        <v>115</v>
      </c>
      <c r="C117">
        <v>14208995800</v>
      </c>
      <c r="D117">
        <v>16208995800</v>
      </c>
      <c r="E117">
        <v>6735654500</v>
      </c>
      <c r="F117">
        <v>6735654500</v>
      </c>
      <c r="G117">
        <v>6735654500</v>
      </c>
      <c r="H117">
        <v>7630021200</v>
      </c>
      <c r="I117">
        <v>10263385100</v>
      </c>
      <c r="J117">
        <v>10263385100</v>
      </c>
      <c r="K117">
        <v>10263385100</v>
      </c>
      <c r="L117">
        <v>10263385100</v>
      </c>
      <c r="M117">
        <v>10263385100</v>
      </c>
      <c r="N117">
        <v>10263385100</v>
      </c>
      <c r="O117">
        <v>10263385100</v>
      </c>
      <c r="P117">
        <v>10263385100</v>
      </c>
      <c r="Q117">
        <v>10263385100</v>
      </c>
      <c r="R117">
        <v>10263385100</v>
      </c>
    </row>
    <row r="118" spans="1:18" x14ac:dyDescent="0.35">
      <c r="A118" t="s">
        <v>1936</v>
      </c>
      <c r="B118" t="s">
        <v>116</v>
      </c>
      <c r="C118">
        <v>14208995800</v>
      </c>
      <c r="D118">
        <v>16208995800</v>
      </c>
      <c r="E118">
        <v>6735654500</v>
      </c>
      <c r="F118">
        <v>6735654500</v>
      </c>
      <c r="G118">
        <v>6735654500</v>
      </c>
      <c r="H118">
        <v>7630021200</v>
      </c>
      <c r="I118">
        <v>10263385100</v>
      </c>
      <c r="J118">
        <v>10263385100</v>
      </c>
      <c r="K118">
        <v>10263385100</v>
      </c>
      <c r="L118">
        <v>10263385100</v>
      </c>
      <c r="M118">
        <v>10263385100</v>
      </c>
      <c r="N118">
        <v>10263385100</v>
      </c>
      <c r="O118">
        <v>10263385100</v>
      </c>
      <c r="P118">
        <v>10263385100</v>
      </c>
      <c r="Q118">
        <v>10263385100</v>
      </c>
      <c r="R118">
        <v>10263385100</v>
      </c>
    </row>
    <row r="119" spans="1:18" x14ac:dyDescent="0.35">
      <c r="A119" t="s">
        <v>1936</v>
      </c>
      <c r="B119" t="s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8" x14ac:dyDescent="0.35">
      <c r="A120" t="s">
        <v>1936</v>
      </c>
      <c r="B120" t="s">
        <v>118</v>
      </c>
      <c r="C120">
        <v>16762969403020</v>
      </c>
      <c r="D120">
        <v>17606226202337</v>
      </c>
      <c r="E120">
        <v>17960392171673</v>
      </c>
      <c r="F120">
        <v>18079290741625</v>
      </c>
      <c r="G120">
        <v>18135297578955</v>
      </c>
      <c r="H120">
        <v>18164060613332</v>
      </c>
      <c r="I120">
        <v>18891714221892</v>
      </c>
      <c r="J120">
        <v>19006639351101</v>
      </c>
      <c r="K120">
        <v>19225713078334</v>
      </c>
      <c r="L120">
        <v>19110916312439</v>
      </c>
      <c r="M120">
        <v>19442816802442</v>
      </c>
      <c r="N120">
        <v>19281092598538</v>
      </c>
      <c r="O120">
        <v>19414102975391</v>
      </c>
      <c r="P120">
        <v>20314974859124</v>
      </c>
      <c r="Q120">
        <v>20294197360527</v>
      </c>
      <c r="R120">
        <v>20642960387164</v>
      </c>
    </row>
    <row r="121" spans="1:18" x14ac:dyDescent="0.35">
      <c r="A121" t="s">
        <v>1937</v>
      </c>
      <c r="B121" t="s">
        <v>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8" x14ac:dyDescent="0.35">
      <c r="A122" t="s">
        <v>1937</v>
      </c>
      <c r="B122" t="s">
        <v>7</v>
      </c>
      <c r="C122">
        <v>7569718433679</v>
      </c>
      <c r="D122">
        <v>10264097646254</v>
      </c>
      <c r="E122">
        <v>12945717333903</v>
      </c>
      <c r="F122">
        <v>13864992023797</v>
      </c>
      <c r="G122">
        <v>12414282056631</v>
      </c>
      <c r="H122">
        <v>16387835655383</v>
      </c>
      <c r="I122">
        <v>17294508628366</v>
      </c>
      <c r="J122">
        <v>19977263929543</v>
      </c>
      <c r="K122">
        <v>19831248551883</v>
      </c>
      <c r="L122">
        <v>17901192937767</v>
      </c>
      <c r="M122">
        <v>19536250446053</v>
      </c>
      <c r="N122">
        <v>22414755009574</v>
      </c>
      <c r="O122">
        <v>20193255243591</v>
      </c>
      <c r="P122">
        <v>19099120362211</v>
      </c>
      <c r="Q122">
        <v>19946957364270</v>
      </c>
      <c r="R122">
        <v>20986282367757</v>
      </c>
    </row>
    <row r="123" spans="1:18" x14ac:dyDescent="0.35">
      <c r="A123" t="s">
        <v>1937</v>
      </c>
      <c r="B123" t="s">
        <v>8</v>
      </c>
      <c r="C123">
        <v>741852005244</v>
      </c>
      <c r="D123">
        <v>903386455277</v>
      </c>
      <c r="E123">
        <v>1988968677417</v>
      </c>
      <c r="F123">
        <v>1284820241574</v>
      </c>
      <c r="G123">
        <v>689108067503</v>
      </c>
      <c r="H123">
        <v>1053016793912</v>
      </c>
      <c r="I123">
        <v>882447484459</v>
      </c>
      <c r="J123">
        <v>832277260522</v>
      </c>
      <c r="K123">
        <v>1325306111748</v>
      </c>
      <c r="L123">
        <v>629499271758</v>
      </c>
      <c r="M123">
        <v>600656508886</v>
      </c>
      <c r="N123">
        <v>734721427643</v>
      </c>
      <c r="O123">
        <v>653300254554</v>
      </c>
      <c r="P123">
        <v>756889055520</v>
      </c>
      <c r="Q123">
        <v>422239722474</v>
      </c>
      <c r="R123">
        <v>1179658049428</v>
      </c>
    </row>
    <row r="124" spans="1:18" x14ac:dyDescent="0.35">
      <c r="A124" t="s">
        <v>1937</v>
      </c>
      <c r="B124" t="s">
        <v>9</v>
      </c>
      <c r="C124">
        <v>676372005244</v>
      </c>
      <c r="D124">
        <v>816052667698</v>
      </c>
      <c r="E124">
        <v>1759003677417</v>
      </c>
      <c r="F124">
        <v>1219164762122</v>
      </c>
      <c r="G124">
        <v>417923578134</v>
      </c>
      <c r="H124">
        <v>662286793912</v>
      </c>
      <c r="I124">
        <v>546407484459</v>
      </c>
      <c r="J124">
        <v>423520931754</v>
      </c>
      <c r="K124">
        <v>984499524130</v>
      </c>
      <c r="L124">
        <v>540799271758</v>
      </c>
      <c r="M124">
        <v>480541508886</v>
      </c>
      <c r="N124">
        <v>663521427643</v>
      </c>
      <c r="O124">
        <v>435873601146</v>
      </c>
      <c r="P124">
        <v>480333502712</v>
      </c>
      <c r="Q124">
        <v>369659722474</v>
      </c>
      <c r="R124">
        <v>981616458679</v>
      </c>
    </row>
    <row r="125" spans="1:18" x14ac:dyDescent="0.35">
      <c r="A125" t="s">
        <v>1937</v>
      </c>
      <c r="B125" t="s">
        <v>10</v>
      </c>
      <c r="C125">
        <v>65480000000</v>
      </c>
      <c r="D125">
        <v>87333787579</v>
      </c>
      <c r="E125">
        <v>229965000000</v>
      </c>
      <c r="F125">
        <v>65655479452</v>
      </c>
      <c r="G125">
        <v>271184489369</v>
      </c>
      <c r="H125">
        <v>390730000000</v>
      </c>
      <c r="I125">
        <v>336040000000</v>
      </c>
      <c r="J125">
        <v>408756328768</v>
      </c>
      <c r="K125">
        <v>340806587618</v>
      </c>
      <c r="L125">
        <v>88700000000</v>
      </c>
      <c r="M125">
        <v>120115000000</v>
      </c>
      <c r="N125">
        <v>71200000000</v>
      </c>
      <c r="O125">
        <v>217426653408</v>
      </c>
      <c r="P125">
        <v>276555552808</v>
      </c>
      <c r="Q125">
        <v>52580000000</v>
      </c>
      <c r="R125">
        <v>198041590749</v>
      </c>
    </row>
    <row r="126" spans="1:18" x14ac:dyDescent="0.35">
      <c r="A126" t="s">
        <v>1937</v>
      </c>
      <c r="B126" t="s">
        <v>11</v>
      </c>
      <c r="C126">
        <v>598967088890</v>
      </c>
      <c r="D126">
        <v>593767088890</v>
      </c>
      <c r="E126">
        <v>682746433024</v>
      </c>
      <c r="F126">
        <v>650984468890</v>
      </c>
      <c r="G126">
        <v>1738734488090</v>
      </c>
      <c r="H126">
        <v>1583414128890</v>
      </c>
      <c r="I126">
        <v>1531332942985</v>
      </c>
      <c r="J126">
        <v>1883560975541</v>
      </c>
      <c r="K126">
        <v>1581130733167</v>
      </c>
      <c r="L126">
        <v>510594134175</v>
      </c>
      <c r="M126">
        <v>461533210887</v>
      </c>
      <c r="N126">
        <v>469767018887</v>
      </c>
      <c r="O126">
        <v>650393405355</v>
      </c>
      <c r="P126">
        <v>589518592264</v>
      </c>
      <c r="Q126">
        <v>1062217466155</v>
      </c>
      <c r="R126">
        <v>520927924170</v>
      </c>
    </row>
    <row r="127" spans="1:18" x14ac:dyDescent="0.35">
      <c r="A127" t="s">
        <v>1937</v>
      </c>
      <c r="B127" t="s">
        <v>12</v>
      </c>
      <c r="C127">
        <v>566767088890</v>
      </c>
      <c r="D127">
        <v>566767088890</v>
      </c>
      <c r="E127">
        <v>566767088890</v>
      </c>
      <c r="F127">
        <v>566767088890</v>
      </c>
      <c r="G127">
        <v>1670117108090</v>
      </c>
      <c r="H127">
        <v>1001401748890</v>
      </c>
      <c r="I127">
        <v>1001401748890</v>
      </c>
      <c r="J127">
        <v>998611748890</v>
      </c>
      <c r="K127">
        <v>998611748890</v>
      </c>
      <c r="L127">
        <v>43541748890</v>
      </c>
      <c r="M127">
        <v>43541748890</v>
      </c>
      <c r="N127">
        <v>43488748890</v>
      </c>
      <c r="O127">
        <v>188487595040</v>
      </c>
      <c r="P127">
        <v>153112781949</v>
      </c>
      <c r="Q127">
        <v>495011655840</v>
      </c>
      <c r="R127">
        <v>5011655840</v>
      </c>
    </row>
    <row r="128" spans="1:18" x14ac:dyDescent="0.35">
      <c r="A128" t="s">
        <v>1937</v>
      </c>
      <c r="B128" t="s">
        <v>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8" x14ac:dyDescent="0.35">
      <c r="A129" t="s">
        <v>1937</v>
      </c>
      <c r="B129" t="s">
        <v>14</v>
      </c>
      <c r="C129">
        <v>32200000000</v>
      </c>
      <c r="D129">
        <v>27000000000</v>
      </c>
      <c r="E129">
        <v>115979344134</v>
      </c>
      <c r="F129">
        <v>84217380000</v>
      </c>
      <c r="G129">
        <v>68617380000</v>
      </c>
      <c r="H129">
        <v>582012380000</v>
      </c>
      <c r="I129">
        <v>529931194095</v>
      </c>
      <c r="J129">
        <v>884949226651</v>
      </c>
      <c r="K129">
        <v>582518984277</v>
      </c>
      <c r="L129">
        <v>467052385285</v>
      </c>
      <c r="M129">
        <v>417991461997</v>
      </c>
      <c r="N129">
        <v>426278269997</v>
      </c>
      <c r="O129">
        <v>461905810315</v>
      </c>
      <c r="P129">
        <v>436405810315</v>
      </c>
      <c r="Q129">
        <v>567205810315</v>
      </c>
      <c r="R129">
        <v>515916268330</v>
      </c>
    </row>
    <row r="130" spans="1:18" x14ac:dyDescent="0.35">
      <c r="A130" t="s">
        <v>1937</v>
      </c>
      <c r="B130" t="s">
        <v>15</v>
      </c>
      <c r="C130">
        <v>4960060347526</v>
      </c>
      <c r="D130">
        <v>5963333695000</v>
      </c>
      <c r="E130">
        <v>7538412045634</v>
      </c>
      <c r="F130">
        <v>9545689856223</v>
      </c>
      <c r="G130">
        <v>7539354246195</v>
      </c>
      <c r="H130">
        <v>10424438445318</v>
      </c>
      <c r="I130">
        <v>12003220227458</v>
      </c>
      <c r="J130">
        <v>14064055276549</v>
      </c>
      <c r="K130">
        <v>13646484342538</v>
      </c>
      <c r="L130">
        <v>13610751865682</v>
      </c>
      <c r="M130">
        <v>13797938456398</v>
      </c>
      <c r="N130">
        <v>16938161966458</v>
      </c>
      <c r="O130">
        <v>14770484210260</v>
      </c>
      <c r="P130">
        <v>13576852563052</v>
      </c>
      <c r="Q130">
        <v>14213151776279</v>
      </c>
      <c r="R130">
        <v>14872682567549</v>
      </c>
    </row>
    <row r="131" spans="1:18" x14ac:dyDescent="0.35">
      <c r="A131" t="s">
        <v>1937</v>
      </c>
      <c r="B131" t="s">
        <v>16</v>
      </c>
      <c r="C131">
        <v>623273971405</v>
      </c>
      <c r="D131">
        <v>902118322187</v>
      </c>
      <c r="E131">
        <v>878478672957</v>
      </c>
      <c r="F131">
        <v>608049078064</v>
      </c>
      <c r="G131">
        <v>980473809941</v>
      </c>
      <c r="H131">
        <v>519146029383</v>
      </c>
      <c r="I131">
        <v>1157458433779</v>
      </c>
      <c r="J131">
        <v>1738886015548</v>
      </c>
      <c r="K131">
        <v>1678214870733</v>
      </c>
      <c r="L131">
        <v>806105957363</v>
      </c>
      <c r="M131">
        <v>852236736278</v>
      </c>
      <c r="N131">
        <v>974748184199</v>
      </c>
      <c r="O131">
        <v>1364182444708</v>
      </c>
      <c r="P131">
        <v>1354495062762</v>
      </c>
      <c r="Q131">
        <v>1363542093637</v>
      </c>
      <c r="R131">
        <v>1490195799684</v>
      </c>
    </row>
    <row r="132" spans="1:18" x14ac:dyDescent="0.35">
      <c r="A132" t="s">
        <v>1937</v>
      </c>
      <c r="B132" t="s">
        <v>17</v>
      </c>
      <c r="C132">
        <v>1148699159199</v>
      </c>
      <c r="D132">
        <v>756580946393</v>
      </c>
      <c r="E132">
        <v>1096156399275</v>
      </c>
      <c r="F132">
        <v>1934294616349</v>
      </c>
      <c r="G132">
        <v>1540357771583</v>
      </c>
      <c r="H132">
        <v>1266070904464</v>
      </c>
      <c r="I132">
        <v>1421896297374</v>
      </c>
      <c r="J132">
        <v>3453863974631</v>
      </c>
      <c r="K132">
        <v>3733094029263</v>
      </c>
      <c r="L132">
        <v>4323157289385</v>
      </c>
      <c r="M132">
        <v>4034407277651</v>
      </c>
      <c r="N132">
        <v>4103528920697</v>
      </c>
      <c r="O132">
        <v>4339545027563</v>
      </c>
      <c r="P132">
        <v>4260496319569</v>
      </c>
      <c r="Q132">
        <v>4369689206097</v>
      </c>
      <c r="R132">
        <v>4629119156911</v>
      </c>
    </row>
    <row r="133" spans="1:18" x14ac:dyDescent="0.35">
      <c r="A133" t="s">
        <v>1937</v>
      </c>
      <c r="B133" t="s">
        <v>18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8" x14ac:dyDescent="0.35">
      <c r="A134" t="s">
        <v>1937</v>
      </c>
      <c r="B134" t="s">
        <v>19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8" x14ac:dyDescent="0.35">
      <c r="A135" t="s">
        <v>1937</v>
      </c>
      <c r="B135" t="s">
        <v>20</v>
      </c>
      <c r="C135">
        <v>6500000000</v>
      </c>
      <c r="D135">
        <v>8400000000</v>
      </c>
      <c r="E135">
        <v>8400000000</v>
      </c>
      <c r="F135">
        <v>310979269580</v>
      </c>
      <c r="G135">
        <v>584266628470</v>
      </c>
      <c r="H135">
        <v>516326232039</v>
      </c>
      <c r="I135">
        <v>190653654149</v>
      </c>
      <c r="J135">
        <v>267383276124</v>
      </c>
      <c r="K135">
        <v>267143814715</v>
      </c>
      <c r="L135">
        <v>178769483975</v>
      </c>
      <c r="M135">
        <v>691476483975</v>
      </c>
      <c r="N135">
        <v>607061483975</v>
      </c>
      <c r="O135">
        <v>635895050139</v>
      </c>
      <c r="P135">
        <v>587623443975</v>
      </c>
      <c r="Q135">
        <v>605033443975</v>
      </c>
      <c r="R135">
        <v>601839162332</v>
      </c>
    </row>
    <row r="136" spans="1:18" x14ac:dyDescent="0.35">
      <c r="A136" t="s">
        <v>1937</v>
      </c>
      <c r="B136" t="s">
        <v>21</v>
      </c>
      <c r="C136">
        <v>3247133753322</v>
      </c>
      <c r="D136">
        <v>4383400907423</v>
      </c>
      <c r="E136">
        <v>5642683454405</v>
      </c>
      <c r="F136">
        <v>6779673373233</v>
      </c>
      <c r="G136">
        <v>4521562517204</v>
      </c>
      <c r="H136">
        <v>8355687997372</v>
      </c>
      <c r="I136">
        <v>9441662718564</v>
      </c>
      <c r="J136">
        <v>8700905478785</v>
      </c>
      <c r="K136">
        <v>8058161764723</v>
      </c>
      <c r="L136">
        <v>8400363632813</v>
      </c>
      <c r="M136">
        <v>8317541482181</v>
      </c>
      <c r="N136">
        <v>11285479748949</v>
      </c>
      <c r="O136">
        <v>8463594026453</v>
      </c>
      <c r="P136">
        <v>7417959485790</v>
      </c>
      <c r="Q136">
        <v>7917909660764</v>
      </c>
      <c r="R136">
        <v>8199597938430</v>
      </c>
    </row>
    <row r="137" spans="1:18" x14ac:dyDescent="0.35">
      <c r="A137" t="s">
        <v>1937</v>
      </c>
      <c r="B137" t="s">
        <v>22</v>
      </c>
      <c r="C137">
        <v>-65692574700</v>
      </c>
      <c r="D137">
        <v>-87180715940</v>
      </c>
      <c r="E137">
        <v>-87320715940</v>
      </c>
      <c r="F137">
        <v>-87320715940</v>
      </c>
      <c r="G137">
        <v>-87320715940</v>
      </c>
      <c r="H137">
        <v>-232881275591</v>
      </c>
      <c r="I137">
        <v>-230533351239</v>
      </c>
      <c r="J137">
        <v>-97072026190</v>
      </c>
      <c r="K137">
        <v>-90218694547</v>
      </c>
      <c r="L137">
        <v>-97733055505</v>
      </c>
      <c r="M137">
        <v>-97814401315</v>
      </c>
      <c r="N137">
        <v>-32747248990</v>
      </c>
      <c r="O137">
        <v>-32823216231</v>
      </c>
      <c r="P137">
        <v>-43812626672</v>
      </c>
      <c r="Q137">
        <v>-43113505822</v>
      </c>
      <c r="R137">
        <v>-48160367436</v>
      </c>
    </row>
    <row r="138" spans="1:18" x14ac:dyDescent="0.35">
      <c r="A138" t="s">
        <v>1937</v>
      </c>
      <c r="B138" t="s">
        <v>23</v>
      </c>
      <c r="C138">
        <v>146038300</v>
      </c>
      <c r="D138">
        <v>14234937</v>
      </c>
      <c r="E138">
        <v>14234937</v>
      </c>
      <c r="F138">
        <v>14234937</v>
      </c>
      <c r="G138">
        <v>14234937</v>
      </c>
      <c r="H138">
        <v>88557651</v>
      </c>
      <c r="I138">
        <v>22082474831</v>
      </c>
      <c r="J138">
        <v>88557651</v>
      </c>
      <c r="K138">
        <v>88557651</v>
      </c>
      <c r="L138">
        <v>88557651</v>
      </c>
      <c r="M138">
        <v>90877628</v>
      </c>
      <c r="N138">
        <v>90877628</v>
      </c>
      <c r="O138">
        <v>90877628</v>
      </c>
      <c r="P138">
        <v>90877628</v>
      </c>
      <c r="Q138">
        <v>90877628</v>
      </c>
      <c r="R138">
        <v>90877628</v>
      </c>
    </row>
    <row r="139" spans="1:18" x14ac:dyDescent="0.35">
      <c r="A139" t="s">
        <v>1937</v>
      </c>
      <c r="B139" t="s">
        <v>24</v>
      </c>
      <c r="C139">
        <v>1158759171817</v>
      </c>
      <c r="D139">
        <v>2322253105420</v>
      </c>
      <c r="E139">
        <v>2200478543137</v>
      </c>
      <c r="F139">
        <v>2127981144922</v>
      </c>
      <c r="G139">
        <v>2126607329641</v>
      </c>
      <c r="H139">
        <v>2867290132091</v>
      </c>
      <c r="I139">
        <v>2524421865126</v>
      </c>
      <c r="J139">
        <v>2773391211711</v>
      </c>
      <c r="K139">
        <v>2848468405852</v>
      </c>
      <c r="L139">
        <v>2749022528685</v>
      </c>
      <c r="M139">
        <v>4275530478733</v>
      </c>
      <c r="N139">
        <v>3870309658975</v>
      </c>
      <c r="O139">
        <v>3715284341799</v>
      </c>
      <c r="P139">
        <v>3781801237012</v>
      </c>
      <c r="Q139">
        <v>3749091600856</v>
      </c>
      <c r="R139">
        <v>3820502204526</v>
      </c>
    </row>
    <row r="140" spans="1:18" x14ac:dyDescent="0.35">
      <c r="A140" t="s">
        <v>1937</v>
      </c>
      <c r="B140" t="s">
        <v>25</v>
      </c>
      <c r="C140">
        <v>1158759171817</v>
      </c>
      <c r="D140">
        <v>2322253105420</v>
      </c>
      <c r="E140">
        <v>2200478543137</v>
      </c>
      <c r="F140">
        <v>2127981144922</v>
      </c>
      <c r="G140">
        <v>2126607329641</v>
      </c>
      <c r="H140">
        <v>2867290132091</v>
      </c>
      <c r="I140">
        <v>2524421865126</v>
      </c>
      <c r="J140">
        <v>2773391211711</v>
      </c>
      <c r="K140">
        <v>2848468405852</v>
      </c>
      <c r="L140">
        <v>2787320881170</v>
      </c>
      <c r="M140">
        <v>4313828831218</v>
      </c>
      <c r="N140">
        <v>3904405444990</v>
      </c>
      <c r="O140">
        <v>3749650573937</v>
      </c>
      <c r="P140">
        <v>3815532917098</v>
      </c>
      <c r="Q140">
        <v>3781612202704</v>
      </c>
      <c r="R140">
        <v>3848627710608</v>
      </c>
    </row>
    <row r="141" spans="1:18" x14ac:dyDescent="0.35">
      <c r="A141" t="s">
        <v>1937</v>
      </c>
      <c r="B141" t="s">
        <v>26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-38298352485</v>
      </c>
      <c r="M141">
        <v>-38298352485</v>
      </c>
      <c r="N141">
        <v>-34095786015</v>
      </c>
      <c r="O141">
        <v>-34366232138</v>
      </c>
      <c r="P141">
        <v>-33731680086</v>
      </c>
      <c r="Q141">
        <v>-32520601848</v>
      </c>
      <c r="R141">
        <v>-28125506082</v>
      </c>
    </row>
    <row r="142" spans="1:18" x14ac:dyDescent="0.35">
      <c r="A142" t="s">
        <v>1937</v>
      </c>
      <c r="B142" t="s">
        <v>27</v>
      </c>
      <c r="C142">
        <v>110079820202</v>
      </c>
      <c r="D142">
        <v>481357301667</v>
      </c>
      <c r="E142">
        <v>535111634691</v>
      </c>
      <c r="F142">
        <v>255516312188</v>
      </c>
      <c r="G142">
        <v>320477925202</v>
      </c>
      <c r="H142">
        <v>459676155172</v>
      </c>
      <c r="I142">
        <v>353086108338</v>
      </c>
      <c r="J142">
        <v>423979205220</v>
      </c>
      <c r="K142">
        <v>429858958578</v>
      </c>
      <c r="L142">
        <v>401325137467</v>
      </c>
      <c r="M142">
        <v>400591791149</v>
      </c>
      <c r="N142">
        <v>401794937611</v>
      </c>
      <c r="O142">
        <v>403793031623</v>
      </c>
      <c r="P142">
        <v>394058914363</v>
      </c>
      <c r="Q142">
        <v>500256798506</v>
      </c>
      <c r="R142">
        <v>592511622084</v>
      </c>
    </row>
    <row r="143" spans="1:18" x14ac:dyDescent="0.35">
      <c r="A143" t="s">
        <v>1937</v>
      </c>
      <c r="B143" t="s">
        <v>28</v>
      </c>
      <c r="C143">
        <v>24923384980</v>
      </c>
      <c r="D143">
        <v>19817428363</v>
      </c>
      <c r="E143">
        <v>42167099442</v>
      </c>
      <c r="F143">
        <v>39665515715</v>
      </c>
      <c r="G143">
        <v>31884610702</v>
      </c>
      <c r="H143">
        <v>37996090024</v>
      </c>
      <c r="I143">
        <v>23930068924</v>
      </c>
      <c r="J143">
        <v>120933484373</v>
      </c>
      <c r="K143">
        <v>84960795940</v>
      </c>
      <c r="L143">
        <v>54773647622</v>
      </c>
      <c r="M143">
        <v>137656002200</v>
      </c>
      <c r="N143">
        <v>170265446174</v>
      </c>
      <c r="O143">
        <v>173522232785</v>
      </c>
      <c r="P143">
        <v>213944426736</v>
      </c>
      <c r="Q143">
        <v>316309484307</v>
      </c>
      <c r="R143">
        <v>402006657816</v>
      </c>
    </row>
    <row r="144" spans="1:18" x14ac:dyDescent="0.35">
      <c r="A144" t="s">
        <v>1937</v>
      </c>
      <c r="B144" t="s">
        <v>29</v>
      </c>
      <c r="C144">
        <v>77491179217</v>
      </c>
      <c r="D144">
        <v>449135237299</v>
      </c>
      <c r="E144">
        <v>482451866130</v>
      </c>
      <c r="F144">
        <v>206155684705</v>
      </c>
      <c r="G144">
        <v>279086938784</v>
      </c>
      <c r="H144">
        <v>420299299031</v>
      </c>
      <c r="I144">
        <v>327997534719</v>
      </c>
      <c r="J144">
        <v>301908996482</v>
      </c>
      <c r="K144">
        <v>342750943602</v>
      </c>
      <c r="L144">
        <v>343003943133</v>
      </c>
      <c r="M144">
        <v>259312469660</v>
      </c>
      <c r="N144">
        <v>227625277129</v>
      </c>
      <c r="O144">
        <v>225202399838</v>
      </c>
      <c r="P144">
        <v>173524722157</v>
      </c>
      <c r="Q144">
        <v>170880427089</v>
      </c>
      <c r="R144">
        <v>177186753810</v>
      </c>
    </row>
    <row r="145" spans="1:18" x14ac:dyDescent="0.35">
      <c r="A145" t="s">
        <v>1937</v>
      </c>
      <c r="B145" t="s">
        <v>30</v>
      </c>
      <c r="C145">
        <v>7665256005</v>
      </c>
      <c r="D145">
        <v>12404636005</v>
      </c>
      <c r="E145">
        <v>10492669119</v>
      </c>
      <c r="F145">
        <v>9695111768</v>
      </c>
      <c r="G145">
        <v>9506375716</v>
      </c>
      <c r="H145">
        <v>1380766117</v>
      </c>
      <c r="I145">
        <v>1158504695</v>
      </c>
      <c r="J145">
        <v>1136724365</v>
      </c>
      <c r="K145">
        <v>2147219036</v>
      </c>
      <c r="L145">
        <v>3547546712</v>
      </c>
      <c r="M145">
        <v>3623319289</v>
      </c>
      <c r="N145">
        <v>3904214308</v>
      </c>
      <c r="O145">
        <v>5068399000</v>
      </c>
      <c r="P145">
        <v>6589765470</v>
      </c>
      <c r="Q145">
        <v>13066887110</v>
      </c>
      <c r="R145">
        <v>13318210458</v>
      </c>
    </row>
    <row r="146" spans="1:18" x14ac:dyDescent="0.35">
      <c r="A146" t="s">
        <v>1937</v>
      </c>
      <c r="B146" t="s">
        <v>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8" x14ac:dyDescent="0.35">
      <c r="A147" t="s">
        <v>1937</v>
      </c>
      <c r="B147" t="s">
        <v>32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8" x14ac:dyDescent="0.35">
      <c r="A148" t="s">
        <v>1937</v>
      </c>
      <c r="B148" t="s">
        <v>33</v>
      </c>
      <c r="C148">
        <v>8660560729690</v>
      </c>
      <c r="D148">
        <v>13790968271638</v>
      </c>
      <c r="E148">
        <v>1288109763522</v>
      </c>
      <c r="F148">
        <v>21931747381929</v>
      </c>
      <c r="G148">
        <v>22956929893076</v>
      </c>
      <c r="H148">
        <v>21423832753678</v>
      </c>
      <c r="I148">
        <v>24210244585415</v>
      </c>
      <c r="J148">
        <v>24384026607499</v>
      </c>
      <c r="K148">
        <v>23921111868132</v>
      </c>
      <c r="L148">
        <v>26105054153018</v>
      </c>
      <c r="M148">
        <v>26722287093015</v>
      </c>
      <c r="N148">
        <v>21174839420389</v>
      </c>
      <c r="O148">
        <v>22783371569525</v>
      </c>
      <c r="P148">
        <v>22879898059977</v>
      </c>
      <c r="Q148">
        <v>22645141073536</v>
      </c>
      <c r="R148">
        <v>24322011865939</v>
      </c>
    </row>
    <row r="149" spans="1:18" x14ac:dyDescent="0.35">
      <c r="A149" t="s">
        <v>1937</v>
      </c>
      <c r="B149" t="s">
        <v>34</v>
      </c>
      <c r="C149">
        <v>5123077815972</v>
      </c>
      <c r="D149">
        <v>6987679634579</v>
      </c>
      <c r="E149">
        <v>7729849214238</v>
      </c>
      <c r="F149">
        <v>11996486937900</v>
      </c>
      <c r="G149">
        <v>12221781355874</v>
      </c>
      <c r="H149">
        <v>9620010066222</v>
      </c>
      <c r="I149">
        <v>9980550237184</v>
      </c>
      <c r="J149">
        <v>10886339604795</v>
      </c>
      <c r="K149">
        <v>8842466074992</v>
      </c>
      <c r="L149">
        <v>10893980522317</v>
      </c>
      <c r="M149">
        <v>11711353186953</v>
      </c>
      <c r="N149">
        <v>5850914868829</v>
      </c>
      <c r="O149">
        <v>7895371776239</v>
      </c>
      <c r="P149">
        <v>8479511476179</v>
      </c>
      <c r="Q149">
        <v>7802149529322</v>
      </c>
      <c r="R149">
        <v>9220606657894</v>
      </c>
    </row>
    <row r="150" spans="1:18" x14ac:dyDescent="0.35">
      <c r="A150" t="s">
        <v>1937</v>
      </c>
      <c r="B150" t="s">
        <v>35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11192976076</v>
      </c>
      <c r="J150">
        <v>1841014076</v>
      </c>
      <c r="K150">
        <v>8377378844</v>
      </c>
      <c r="L150">
        <v>0</v>
      </c>
      <c r="M150">
        <v>0</v>
      </c>
      <c r="N150">
        <v>0</v>
      </c>
    </row>
    <row r="151" spans="1:18" x14ac:dyDescent="0.35">
      <c r="A151" t="s">
        <v>1937</v>
      </c>
      <c r="B151" t="s">
        <v>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20400000000</v>
      </c>
      <c r="M151">
        <v>56400000000</v>
      </c>
      <c r="N151">
        <v>56400000000</v>
      </c>
      <c r="O151">
        <v>56400000000</v>
      </c>
    </row>
    <row r="152" spans="1:18" x14ac:dyDescent="0.35">
      <c r="A152" t="s">
        <v>1937</v>
      </c>
      <c r="B152" t="s">
        <v>37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8" x14ac:dyDescent="0.35">
      <c r="A153" t="s">
        <v>1937</v>
      </c>
      <c r="B153" t="s">
        <v>38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8" x14ac:dyDescent="0.35">
      <c r="A154" t="s">
        <v>1937</v>
      </c>
      <c r="B154" t="s">
        <v>39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190000000000</v>
      </c>
      <c r="I154">
        <v>42149717200</v>
      </c>
      <c r="J154">
        <v>35000000000</v>
      </c>
      <c r="K154">
        <v>35000000000</v>
      </c>
      <c r="L154">
        <v>50000000000</v>
      </c>
      <c r="M154">
        <v>50000000000</v>
      </c>
      <c r="N154">
        <v>0</v>
      </c>
      <c r="P154">
        <v>10698022927</v>
      </c>
      <c r="Q154">
        <v>12991022927</v>
      </c>
      <c r="R154">
        <v>91416022928</v>
      </c>
    </row>
    <row r="155" spans="1:18" x14ac:dyDescent="0.35">
      <c r="A155" t="s">
        <v>1937</v>
      </c>
      <c r="B155" t="s">
        <v>40</v>
      </c>
      <c r="C155">
        <v>5123077815972</v>
      </c>
      <c r="D155">
        <v>6987679634579</v>
      </c>
      <c r="E155">
        <v>7729849214238</v>
      </c>
      <c r="F155">
        <v>11996486937900</v>
      </c>
      <c r="G155">
        <v>12221781355874</v>
      </c>
      <c r="H155">
        <v>9430010066222</v>
      </c>
      <c r="I155">
        <v>9927207543908</v>
      </c>
      <c r="J155">
        <v>10849498590719</v>
      </c>
      <c r="K155">
        <v>8799088696148</v>
      </c>
      <c r="L155">
        <v>10823580522317</v>
      </c>
      <c r="M155">
        <v>11604953186953</v>
      </c>
      <c r="N155">
        <v>5794514868829</v>
      </c>
      <c r="O155">
        <v>7838971776239</v>
      </c>
      <c r="P155">
        <v>8468813453252</v>
      </c>
      <c r="Q155">
        <v>7789158506395</v>
      </c>
      <c r="R155">
        <v>9129190634966</v>
      </c>
    </row>
    <row r="156" spans="1:18" x14ac:dyDescent="0.35">
      <c r="A156" t="s">
        <v>1937</v>
      </c>
      <c r="B156" t="s">
        <v>41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8" x14ac:dyDescent="0.35">
      <c r="A157" t="s">
        <v>1937</v>
      </c>
      <c r="B157" t="s">
        <v>42</v>
      </c>
      <c r="C157">
        <v>284369830391</v>
      </c>
      <c r="D157">
        <v>365145105741</v>
      </c>
      <c r="E157">
        <v>4460637661394</v>
      </c>
      <c r="F157">
        <v>4479654202772</v>
      </c>
      <c r="G157">
        <v>4443600076286</v>
      </c>
      <c r="H157">
        <v>5825126460169</v>
      </c>
      <c r="I157">
        <v>7942922667360</v>
      </c>
      <c r="J157">
        <v>8287722937752</v>
      </c>
      <c r="K157">
        <v>8329919255511</v>
      </c>
      <c r="L157">
        <v>8112831678532</v>
      </c>
      <c r="M157">
        <v>8024495830736</v>
      </c>
      <c r="N157">
        <v>9790921024074</v>
      </c>
      <c r="O157">
        <v>9657758258290</v>
      </c>
      <c r="P157">
        <v>9598376165521</v>
      </c>
      <c r="Q157">
        <v>9932332574718</v>
      </c>
      <c r="R157">
        <v>9391101067470</v>
      </c>
    </row>
    <row r="158" spans="1:18" x14ac:dyDescent="0.35">
      <c r="A158" t="s">
        <v>1937</v>
      </c>
      <c r="B158" t="s">
        <v>43</v>
      </c>
      <c r="C158">
        <v>279002106160</v>
      </c>
      <c r="D158">
        <v>358998799018</v>
      </c>
      <c r="E158">
        <v>4454855243781</v>
      </c>
      <c r="F158">
        <v>4473298747440</v>
      </c>
      <c r="G158">
        <v>4437469496568</v>
      </c>
      <c r="H158">
        <v>5811545679943</v>
      </c>
      <c r="I158">
        <v>7929510693371</v>
      </c>
      <c r="J158">
        <v>8275723059506</v>
      </c>
      <c r="K158">
        <v>7808038929000</v>
      </c>
      <c r="L158">
        <v>7706255156769</v>
      </c>
      <c r="M158">
        <v>7615924263286</v>
      </c>
      <c r="N158">
        <v>9381937584547</v>
      </c>
      <c r="O158">
        <v>9244899428498</v>
      </c>
      <c r="P158">
        <v>9173499439346</v>
      </c>
      <c r="Q158">
        <v>9504785495781</v>
      </c>
      <c r="R158">
        <v>8962766768025</v>
      </c>
    </row>
    <row r="159" spans="1:18" x14ac:dyDescent="0.35">
      <c r="A159" t="s">
        <v>1937</v>
      </c>
      <c r="B159" t="s">
        <v>44</v>
      </c>
      <c r="C159">
        <v>451881339824</v>
      </c>
      <c r="D159">
        <v>529428830196</v>
      </c>
      <c r="E159">
        <v>4689889108092</v>
      </c>
      <c r="F159">
        <v>4775546961261</v>
      </c>
      <c r="G159">
        <v>4800726800498</v>
      </c>
      <c r="H159">
        <v>6284552674262</v>
      </c>
      <c r="I159">
        <v>8777341233244</v>
      </c>
      <c r="J159">
        <v>9249532638880</v>
      </c>
      <c r="K159">
        <v>8883946937174</v>
      </c>
      <c r="L159">
        <v>8899057038021</v>
      </c>
      <c r="M159">
        <v>9003335575379</v>
      </c>
      <c r="N159">
        <v>10885034982082</v>
      </c>
      <c r="O159">
        <v>10882240257494</v>
      </c>
      <c r="P159">
        <v>10954316283225</v>
      </c>
      <c r="Q159">
        <v>11402025487129</v>
      </c>
      <c r="R159">
        <v>11083917749069</v>
      </c>
    </row>
    <row r="160" spans="1:18" x14ac:dyDescent="0.35">
      <c r="A160" t="s">
        <v>1937</v>
      </c>
      <c r="B160" t="s">
        <v>45</v>
      </c>
      <c r="C160">
        <v>-172879233664</v>
      </c>
      <c r="D160">
        <v>-170430031178</v>
      </c>
      <c r="E160">
        <v>-235033864311</v>
      </c>
      <c r="F160">
        <v>-302248213821</v>
      </c>
      <c r="G160">
        <v>-363257303930</v>
      </c>
      <c r="H160">
        <v>-473006994319</v>
      </c>
      <c r="I160">
        <v>-847830539873</v>
      </c>
      <c r="J160">
        <v>-973809579374</v>
      </c>
      <c r="K160">
        <v>-1075908008174</v>
      </c>
      <c r="L160">
        <v>-1192801881252</v>
      </c>
      <c r="M160">
        <v>-1387411312093</v>
      </c>
      <c r="N160">
        <v>-1503097397535</v>
      </c>
      <c r="O160">
        <v>-1637340828996</v>
      </c>
      <c r="P160">
        <v>-1780816843879</v>
      </c>
      <c r="Q160">
        <v>-1897239991348</v>
      </c>
      <c r="R160">
        <v>-2121150981044</v>
      </c>
    </row>
    <row r="161" spans="1:18" x14ac:dyDescent="0.35">
      <c r="A161" t="s">
        <v>1937</v>
      </c>
      <c r="B161" t="s">
        <v>46</v>
      </c>
      <c r="C161">
        <v>4167695597</v>
      </c>
      <c r="D161">
        <v>3911082302</v>
      </c>
      <c r="E161">
        <v>3654469007</v>
      </c>
      <c r="F161">
        <v>4393874045</v>
      </c>
      <c r="G161">
        <v>4086615749</v>
      </c>
      <c r="H161">
        <v>11117573462</v>
      </c>
      <c r="I161">
        <v>11380912322</v>
      </c>
      <c r="J161">
        <v>10159538072</v>
      </c>
      <c r="K161">
        <v>11001287330</v>
      </c>
      <c r="L161">
        <v>11146376454</v>
      </c>
      <c r="M161">
        <v>15316022652</v>
      </c>
      <c r="N161">
        <v>18058147719</v>
      </c>
      <c r="O161">
        <v>24264695185</v>
      </c>
      <c r="P161">
        <v>23690883955</v>
      </c>
      <c r="Q161">
        <v>22580653170</v>
      </c>
      <c r="R161">
        <v>25464187633</v>
      </c>
    </row>
    <row r="162" spans="1:18" x14ac:dyDescent="0.35">
      <c r="A162" t="s">
        <v>1937</v>
      </c>
      <c r="B162" t="s">
        <v>44</v>
      </c>
      <c r="C162">
        <v>5986068212</v>
      </c>
      <c r="D162">
        <v>5986068212</v>
      </c>
      <c r="E162">
        <v>5986068212</v>
      </c>
      <c r="F162">
        <v>6998968212</v>
      </c>
      <c r="G162">
        <v>6998968212</v>
      </c>
      <c r="H162">
        <v>14440036237</v>
      </c>
      <c r="I162">
        <v>15166399873</v>
      </c>
      <c r="J162">
        <v>15166399871</v>
      </c>
      <c r="K162">
        <v>16656281073</v>
      </c>
      <c r="L162">
        <v>17888753803</v>
      </c>
      <c r="M162">
        <v>23063590167</v>
      </c>
      <c r="N162">
        <v>27066181077</v>
      </c>
      <c r="O162">
        <v>34572749260</v>
      </c>
      <c r="P162">
        <v>31617115020</v>
      </c>
      <c r="Q162">
        <v>30748021956</v>
      </c>
      <c r="R162">
        <v>33084740755</v>
      </c>
    </row>
    <row r="163" spans="1:18" x14ac:dyDescent="0.35">
      <c r="A163" t="s">
        <v>1937</v>
      </c>
      <c r="B163" t="s">
        <v>45</v>
      </c>
      <c r="C163">
        <v>-1818372615</v>
      </c>
      <c r="D163">
        <v>-2074985910</v>
      </c>
      <c r="E163">
        <v>-2331599205</v>
      </c>
      <c r="F163">
        <v>-2605094167</v>
      </c>
      <c r="G163">
        <v>-2912352463</v>
      </c>
      <c r="H163">
        <v>-3322462775</v>
      </c>
      <c r="I163">
        <v>-3785487551</v>
      </c>
      <c r="J163">
        <v>-5006861799</v>
      </c>
      <c r="K163">
        <v>-5654993743</v>
      </c>
      <c r="L163">
        <v>-6742377349</v>
      </c>
      <c r="M163">
        <v>-7747567515</v>
      </c>
      <c r="N163">
        <v>-9008033358</v>
      </c>
      <c r="O163">
        <v>-10308054075</v>
      </c>
      <c r="P163">
        <v>-7926231065</v>
      </c>
      <c r="Q163">
        <v>-8167368786</v>
      </c>
      <c r="R163">
        <v>-7620553122</v>
      </c>
    </row>
    <row r="164" spans="1:18" x14ac:dyDescent="0.35">
      <c r="A164" t="s">
        <v>1937</v>
      </c>
      <c r="B164" t="s">
        <v>47</v>
      </c>
      <c r="C164">
        <v>1200028634</v>
      </c>
      <c r="D164">
        <v>2235224421</v>
      </c>
      <c r="E164">
        <v>2127948606</v>
      </c>
      <c r="F164">
        <v>1961581287</v>
      </c>
      <c r="G164">
        <v>2043963969</v>
      </c>
      <c r="H164">
        <v>2463206764</v>
      </c>
      <c r="I164">
        <v>2031061667</v>
      </c>
      <c r="J164">
        <v>1840340174</v>
      </c>
      <c r="K164">
        <v>510879039181</v>
      </c>
      <c r="L164">
        <v>395430145309</v>
      </c>
      <c r="M164">
        <v>393255544798</v>
      </c>
      <c r="N164">
        <v>390925291808</v>
      </c>
      <c r="O164">
        <v>388594134607</v>
      </c>
      <c r="P164">
        <v>401185842220</v>
      </c>
      <c r="Q164">
        <v>404966425767</v>
      </c>
      <c r="R164">
        <v>402870111812</v>
      </c>
    </row>
    <row r="165" spans="1:18" x14ac:dyDescent="0.35">
      <c r="A165" t="s">
        <v>1937</v>
      </c>
      <c r="B165" t="s">
        <v>44</v>
      </c>
      <c r="C165">
        <v>1781723546</v>
      </c>
      <c r="D165">
        <v>3215021046</v>
      </c>
      <c r="E165">
        <v>3299425046</v>
      </c>
      <c r="F165">
        <v>3299425046</v>
      </c>
      <c r="G165">
        <v>3556925046</v>
      </c>
      <c r="H165">
        <v>44529603435</v>
      </c>
      <c r="I165">
        <v>44274603435</v>
      </c>
      <c r="J165">
        <v>44232103435</v>
      </c>
      <c r="K165">
        <v>561604418165</v>
      </c>
      <c r="L165">
        <v>446657218165</v>
      </c>
      <c r="M165">
        <v>447342444915</v>
      </c>
      <c r="N165">
        <v>447342444915</v>
      </c>
      <c r="O165">
        <v>447342444915</v>
      </c>
      <c r="P165">
        <v>462224476335</v>
      </c>
      <c r="Q165">
        <v>468651373837</v>
      </c>
      <c r="R165">
        <v>469201373837</v>
      </c>
    </row>
    <row r="166" spans="1:18" x14ac:dyDescent="0.35">
      <c r="A166" t="s">
        <v>1937</v>
      </c>
      <c r="B166" t="s">
        <v>45</v>
      </c>
      <c r="C166">
        <v>-581694912</v>
      </c>
      <c r="D166">
        <v>-979796625</v>
      </c>
      <c r="E166">
        <v>-1171476440</v>
      </c>
      <c r="F166">
        <v>-1337843759</v>
      </c>
      <c r="G166">
        <v>-1512961077</v>
      </c>
      <c r="H166">
        <v>-42066396671</v>
      </c>
      <c r="I166">
        <v>-42243541768</v>
      </c>
      <c r="J166">
        <v>-42391763261</v>
      </c>
      <c r="K166">
        <v>-50725378984</v>
      </c>
      <c r="L166">
        <v>-51227072856</v>
      </c>
      <c r="M166">
        <v>-54086900117</v>
      </c>
      <c r="N166">
        <v>-56417153107</v>
      </c>
      <c r="O166">
        <v>-58748310308</v>
      </c>
      <c r="P166">
        <v>-61038634115</v>
      </c>
      <c r="Q166">
        <v>-63684948070</v>
      </c>
      <c r="R166">
        <v>-66331262025</v>
      </c>
    </row>
    <row r="167" spans="1:18" x14ac:dyDescent="0.35">
      <c r="A167" t="s">
        <v>1937</v>
      </c>
      <c r="B167" t="s">
        <v>48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Q167">
        <v>265000000000</v>
      </c>
    </row>
    <row r="168" spans="1:18" x14ac:dyDescent="0.35">
      <c r="A168" t="s">
        <v>1937</v>
      </c>
      <c r="B168" t="s">
        <v>44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Q168">
        <v>265000000000</v>
      </c>
    </row>
    <row r="169" spans="1:18" x14ac:dyDescent="0.35">
      <c r="A169" t="s">
        <v>1937</v>
      </c>
      <c r="B169" t="s">
        <v>45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8" x14ac:dyDescent="0.35">
      <c r="A170" t="s">
        <v>1937</v>
      </c>
      <c r="B170" t="s">
        <v>49</v>
      </c>
      <c r="C170">
        <v>369625789654</v>
      </c>
      <c r="D170">
        <v>4048043616096</v>
      </c>
      <c r="E170">
        <v>1899601827320</v>
      </c>
      <c r="F170">
        <v>2576819653031</v>
      </c>
      <c r="G170">
        <v>3451623423119</v>
      </c>
      <c r="H170">
        <v>3383542580625</v>
      </c>
      <c r="I170">
        <v>3225775035390</v>
      </c>
      <c r="J170">
        <v>1970343948165</v>
      </c>
      <c r="K170">
        <v>2465299844861</v>
      </c>
      <c r="L170">
        <v>2622151675893</v>
      </c>
      <c r="M170">
        <v>2921798387160</v>
      </c>
      <c r="N170">
        <v>1535325674588</v>
      </c>
      <c r="O170">
        <v>1597027269257</v>
      </c>
      <c r="P170">
        <v>1604474405045</v>
      </c>
      <c r="Q170">
        <v>1164039399782</v>
      </c>
      <c r="R170">
        <v>1687909681334</v>
      </c>
    </row>
    <row r="171" spans="1:18" x14ac:dyDescent="0.35">
      <c r="A171" t="s">
        <v>1937</v>
      </c>
      <c r="B171" t="s">
        <v>50</v>
      </c>
      <c r="C171">
        <v>9045000000</v>
      </c>
      <c r="D171">
        <v>9045000000</v>
      </c>
      <c r="E171">
        <v>647481475741</v>
      </c>
      <c r="F171">
        <v>675138120324</v>
      </c>
      <c r="G171">
        <v>679253490399</v>
      </c>
      <c r="H171">
        <v>1305318746596</v>
      </c>
      <c r="I171">
        <v>1337010432646</v>
      </c>
      <c r="J171">
        <v>44863035980</v>
      </c>
      <c r="K171">
        <v>41300000000</v>
      </c>
      <c r="L171">
        <v>41335200000</v>
      </c>
      <c r="M171">
        <v>41300000000</v>
      </c>
      <c r="N171">
        <v>41300000000</v>
      </c>
      <c r="O171">
        <v>41300000000</v>
      </c>
    </row>
    <row r="172" spans="1:18" x14ac:dyDescent="0.35">
      <c r="A172" t="s">
        <v>1937</v>
      </c>
      <c r="B172" t="s">
        <v>51</v>
      </c>
      <c r="C172">
        <v>360580789654</v>
      </c>
      <c r="D172">
        <v>4038998616096</v>
      </c>
      <c r="E172">
        <v>1252120351579</v>
      </c>
      <c r="F172">
        <v>1901681532707</v>
      </c>
      <c r="G172">
        <v>2772369932720</v>
      </c>
      <c r="H172">
        <v>2078223834029</v>
      </c>
      <c r="I172">
        <v>1888764602744</v>
      </c>
      <c r="J172">
        <v>1925480912185</v>
      </c>
      <c r="K172">
        <v>2423999844861</v>
      </c>
      <c r="L172">
        <v>2580816475893</v>
      </c>
      <c r="M172">
        <v>2880498387160</v>
      </c>
      <c r="N172">
        <v>1494025674588</v>
      </c>
      <c r="O172">
        <v>1555727269257</v>
      </c>
      <c r="P172">
        <v>1604474405045</v>
      </c>
      <c r="Q172">
        <v>1164039399782</v>
      </c>
      <c r="R172">
        <v>1687909681334</v>
      </c>
    </row>
    <row r="173" spans="1:18" x14ac:dyDescent="0.35">
      <c r="A173" t="s">
        <v>1937</v>
      </c>
      <c r="B173" t="s">
        <v>52</v>
      </c>
      <c r="C173">
        <v>2312644445694</v>
      </c>
      <c r="D173">
        <v>1312392697064</v>
      </c>
      <c r="E173">
        <v>897581688743</v>
      </c>
      <c r="F173">
        <v>1724617883966</v>
      </c>
      <c r="G173">
        <v>1731382801470</v>
      </c>
      <c r="H173">
        <v>1633729487790</v>
      </c>
      <c r="I173">
        <v>2195853648577</v>
      </c>
      <c r="J173">
        <v>2495150818395</v>
      </c>
      <c r="K173">
        <v>3488491505631</v>
      </c>
      <c r="L173">
        <v>3869531244203</v>
      </c>
      <c r="M173">
        <v>3441595620292</v>
      </c>
      <c r="N173">
        <v>3354421869587</v>
      </c>
      <c r="O173">
        <v>3039304248711</v>
      </c>
      <c r="P173">
        <v>2620485241466</v>
      </c>
      <c r="Q173">
        <v>2977848295229</v>
      </c>
      <c r="R173">
        <v>3503900418561</v>
      </c>
    </row>
    <row r="174" spans="1:18" x14ac:dyDescent="0.35">
      <c r="A174" t="s">
        <v>1937</v>
      </c>
      <c r="B174" t="s">
        <v>53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8" x14ac:dyDescent="0.35">
      <c r="A175" t="s">
        <v>1937</v>
      </c>
      <c r="B175" t="s">
        <v>54</v>
      </c>
      <c r="C175">
        <v>1350822502618</v>
      </c>
      <c r="D175">
        <v>1058637540771</v>
      </c>
      <c r="E175">
        <v>643826532450</v>
      </c>
      <c r="F175">
        <v>1602498727673</v>
      </c>
      <c r="G175">
        <v>1609263645177</v>
      </c>
      <c r="H175">
        <v>1502730331497</v>
      </c>
      <c r="I175">
        <v>2042105242962</v>
      </c>
      <c r="J175">
        <v>2330460596608</v>
      </c>
      <c r="K175">
        <v>3333301283844</v>
      </c>
      <c r="L175">
        <v>3418463460686</v>
      </c>
      <c r="M175">
        <v>2621571590159</v>
      </c>
      <c r="N175">
        <v>2656695454768</v>
      </c>
      <c r="O175">
        <v>2667167833892</v>
      </c>
      <c r="P175">
        <v>2264342117058</v>
      </c>
      <c r="Q175">
        <v>2453848922449</v>
      </c>
      <c r="R175">
        <v>3021080015167</v>
      </c>
    </row>
    <row r="176" spans="1:18" x14ac:dyDescent="0.35">
      <c r="A176" t="s">
        <v>1937</v>
      </c>
      <c r="B176" t="s">
        <v>55</v>
      </c>
      <c r="C176">
        <v>858271943076</v>
      </c>
      <c r="D176">
        <v>151755156293</v>
      </c>
      <c r="E176">
        <v>151755156293</v>
      </c>
      <c r="F176">
        <v>20119156293</v>
      </c>
      <c r="G176">
        <v>20119156293</v>
      </c>
      <c r="H176">
        <v>20119156293</v>
      </c>
      <c r="I176">
        <v>34119156293</v>
      </c>
      <c r="J176">
        <v>45119156293</v>
      </c>
      <c r="K176">
        <v>45119156293</v>
      </c>
      <c r="L176">
        <v>126119156293</v>
      </c>
      <c r="M176">
        <v>701666771607</v>
      </c>
      <c r="N176">
        <v>579369156293</v>
      </c>
      <c r="O176">
        <v>254369156293</v>
      </c>
      <c r="P176">
        <v>239779156293</v>
      </c>
      <c r="Q176">
        <v>510379156293</v>
      </c>
      <c r="R176">
        <v>388069156293</v>
      </c>
    </row>
    <row r="177" spans="1:18" x14ac:dyDescent="0.35">
      <c r="A177" t="s">
        <v>1937</v>
      </c>
      <c r="B177" t="s">
        <v>56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-850750678</v>
      </c>
      <c r="J177">
        <v>-908934506</v>
      </c>
      <c r="K177">
        <v>-908934506</v>
      </c>
      <c r="L177">
        <v>-336522875</v>
      </c>
      <c r="M177">
        <v>-622741474</v>
      </c>
      <c r="N177">
        <v>-622741474</v>
      </c>
      <c r="O177">
        <v>-1212741474</v>
      </c>
      <c r="P177">
        <v>-622741474</v>
      </c>
      <c r="Q177">
        <v>-3259783513</v>
      </c>
      <c r="R177">
        <v>-20128752899</v>
      </c>
    </row>
    <row r="178" spans="1:18" x14ac:dyDescent="0.35">
      <c r="A178" t="s">
        <v>1937</v>
      </c>
      <c r="B178" t="s">
        <v>57</v>
      </c>
      <c r="C178">
        <v>103550000000</v>
      </c>
      <c r="D178">
        <v>102000000000</v>
      </c>
      <c r="E178">
        <v>102000000000</v>
      </c>
      <c r="F178">
        <v>102000000000</v>
      </c>
      <c r="G178">
        <v>102000000000</v>
      </c>
      <c r="H178">
        <v>110880000000</v>
      </c>
      <c r="I178">
        <v>120480000000</v>
      </c>
      <c r="J178">
        <v>120480000000</v>
      </c>
      <c r="K178">
        <v>110980000000</v>
      </c>
      <c r="L178">
        <v>325285150099</v>
      </c>
      <c r="M178">
        <v>118980000000</v>
      </c>
      <c r="N178">
        <v>118980000000</v>
      </c>
      <c r="O178">
        <v>118980000000</v>
      </c>
      <c r="P178">
        <v>116986709589</v>
      </c>
      <c r="Q178">
        <v>16880000000</v>
      </c>
      <c r="R178">
        <v>114880000000</v>
      </c>
    </row>
    <row r="179" spans="1:18" x14ac:dyDescent="0.35">
      <c r="A179" t="s">
        <v>1937</v>
      </c>
      <c r="B179" t="s">
        <v>58</v>
      </c>
      <c r="C179">
        <v>570842847979</v>
      </c>
      <c r="D179">
        <v>1077707218158</v>
      </c>
      <c r="E179">
        <v>1288109763522</v>
      </c>
      <c r="F179">
        <v>1154168704260</v>
      </c>
      <c r="G179">
        <v>1108542236327</v>
      </c>
      <c r="H179">
        <v>961424158872</v>
      </c>
      <c r="I179">
        <v>865142996904</v>
      </c>
      <c r="J179">
        <v>744469298392</v>
      </c>
      <c r="K179">
        <v>794935187137</v>
      </c>
      <c r="L179">
        <v>606559032073</v>
      </c>
      <c r="M179">
        <v>623044067874</v>
      </c>
      <c r="N179">
        <v>643255983311</v>
      </c>
      <c r="O179">
        <v>593910017028</v>
      </c>
      <c r="P179">
        <v>577050771766</v>
      </c>
      <c r="Q179">
        <v>503771274485</v>
      </c>
      <c r="R179">
        <v>518494040680</v>
      </c>
    </row>
    <row r="180" spans="1:18" x14ac:dyDescent="0.35">
      <c r="A180" t="s">
        <v>1937</v>
      </c>
      <c r="B180" t="s">
        <v>59</v>
      </c>
      <c r="C180">
        <v>250115508821</v>
      </c>
      <c r="D180">
        <v>265615831068</v>
      </c>
      <c r="E180">
        <v>327596649353</v>
      </c>
      <c r="F180">
        <v>339081128905</v>
      </c>
      <c r="G180">
        <v>316582136976</v>
      </c>
      <c r="H180">
        <v>298112394547</v>
      </c>
      <c r="I180">
        <v>335039436127</v>
      </c>
      <c r="J180">
        <v>315305919867</v>
      </c>
      <c r="K180">
        <v>243773505658</v>
      </c>
      <c r="L180">
        <v>216113374673</v>
      </c>
      <c r="M180">
        <v>233645663616</v>
      </c>
      <c r="N180">
        <v>267427965226</v>
      </c>
      <c r="O180">
        <v>230525143831</v>
      </c>
      <c r="P180">
        <v>228198550029</v>
      </c>
      <c r="Q180">
        <v>167167968444</v>
      </c>
      <c r="R180">
        <v>191076845526</v>
      </c>
    </row>
    <row r="181" spans="1:18" x14ac:dyDescent="0.35">
      <c r="A181" t="s">
        <v>1937</v>
      </c>
      <c r="B181" t="s">
        <v>60</v>
      </c>
      <c r="C181">
        <v>0</v>
      </c>
      <c r="D181">
        <v>0</v>
      </c>
      <c r="E181">
        <v>45563386353</v>
      </c>
      <c r="F181">
        <v>57706131721</v>
      </c>
      <c r="G181">
        <v>62136971482</v>
      </c>
      <c r="H181">
        <v>70054964575</v>
      </c>
      <c r="I181">
        <v>52036792764</v>
      </c>
      <c r="J181">
        <v>126233716060</v>
      </c>
      <c r="K181">
        <v>166104849766</v>
      </c>
      <c r="L181">
        <v>142466321192</v>
      </c>
      <c r="M181">
        <v>142563011217</v>
      </c>
      <c r="N181">
        <v>145967455388</v>
      </c>
      <c r="O181">
        <v>146764115324</v>
      </c>
      <c r="P181">
        <v>150136968759</v>
      </c>
      <c r="Q181">
        <v>149905004749</v>
      </c>
      <c r="R181">
        <v>152735845547</v>
      </c>
    </row>
    <row r="182" spans="1:18" x14ac:dyDescent="0.35">
      <c r="A182" t="s">
        <v>1937</v>
      </c>
      <c r="B182" t="s">
        <v>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8" x14ac:dyDescent="0.35">
      <c r="A183" t="s">
        <v>1937</v>
      </c>
      <c r="B183" t="s">
        <v>62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8" x14ac:dyDescent="0.35">
      <c r="A184" t="s">
        <v>1937</v>
      </c>
      <c r="B184" t="s">
        <v>63</v>
      </c>
      <c r="C184">
        <v>320727339158</v>
      </c>
      <c r="D184">
        <v>812091387090</v>
      </c>
      <c r="E184">
        <v>914949727816</v>
      </c>
      <c r="F184">
        <v>757381443634</v>
      </c>
      <c r="G184">
        <v>729823127869</v>
      </c>
      <c r="H184">
        <v>593256799750</v>
      </c>
      <c r="I184">
        <v>478066768013</v>
      </c>
      <c r="J184">
        <v>302929662465</v>
      </c>
      <c r="K184">
        <v>385056831713</v>
      </c>
      <c r="L184">
        <v>247979336208</v>
      </c>
      <c r="M184">
        <v>246835393041</v>
      </c>
      <c r="N184">
        <v>229860562697</v>
      </c>
      <c r="O184">
        <v>216620757873</v>
      </c>
      <c r="P184">
        <v>198715252978</v>
      </c>
      <c r="Q184">
        <v>186698301292</v>
      </c>
      <c r="R184">
        <v>174681349607</v>
      </c>
    </row>
    <row r="185" spans="1:18" x14ac:dyDescent="0.35">
      <c r="A185" t="s">
        <v>1937</v>
      </c>
      <c r="B185" t="s">
        <v>64</v>
      </c>
      <c r="C185">
        <v>16230279163369</v>
      </c>
      <c r="D185">
        <v>24055065917892</v>
      </c>
      <c r="E185">
        <v>29221497489120</v>
      </c>
      <c r="F185">
        <v>35796739405726</v>
      </c>
      <c r="G185">
        <v>35371211949707</v>
      </c>
      <c r="H185">
        <v>37811668409061</v>
      </c>
      <c r="I185">
        <v>41504753213781</v>
      </c>
      <c r="J185">
        <v>44361290537042</v>
      </c>
      <c r="K185">
        <v>43752360420015</v>
      </c>
      <c r="L185">
        <v>44006247090785</v>
      </c>
      <c r="M185">
        <v>46258537539068</v>
      </c>
      <c r="N185">
        <v>43589594429963</v>
      </c>
      <c r="O185">
        <v>42976626813116</v>
      </c>
      <c r="P185">
        <v>41979018422188</v>
      </c>
      <c r="Q185">
        <v>42592098437806</v>
      </c>
      <c r="R185">
        <v>45308294233696</v>
      </c>
    </row>
    <row r="186" spans="1:18" x14ac:dyDescent="0.35">
      <c r="A186" t="s">
        <v>1937</v>
      </c>
      <c r="B186" t="s">
        <v>65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8" x14ac:dyDescent="0.35">
      <c r="A187" t="s">
        <v>1937</v>
      </c>
      <c r="B187" t="s">
        <v>66</v>
      </c>
      <c r="C187">
        <v>13961803955524</v>
      </c>
      <c r="D187">
        <v>21069865859260</v>
      </c>
      <c r="E187">
        <v>24444069521603</v>
      </c>
      <c r="F187">
        <v>30498565100636</v>
      </c>
      <c r="G187">
        <v>29012755684636</v>
      </c>
      <c r="H187">
        <v>29343892547447</v>
      </c>
      <c r="I187">
        <v>30354279775086</v>
      </c>
      <c r="J187">
        <v>30659861338284</v>
      </c>
      <c r="K187">
        <v>30117584796114</v>
      </c>
      <c r="L187">
        <v>30204796530700</v>
      </c>
      <c r="M187">
        <v>31876560492539</v>
      </c>
      <c r="N187">
        <v>28993821926192</v>
      </c>
      <c r="O187">
        <v>28298999650800</v>
      </c>
      <c r="P187">
        <v>24522838582053</v>
      </c>
      <c r="Q187">
        <v>24918774873661</v>
      </c>
      <c r="R187">
        <v>24320354167178</v>
      </c>
    </row>
    <row r="188" spans="1:18" x14ac:dyDescent="0.35">
      <c r="A188" t="s">
        <v>1937</v>
      </c>
      <c r="B188" t="s">
        <v>67</v>
      </c>
      <c r="C188">
        <v>5350894154481</v>
      </c>
      <c r="D188">
        <v>10625948289532</v>
      </c>
      <c r="E188">
        <v>9153397119763</v>
      </c>
      <c r="F188">
        <v>6936757961346</v>
      </c>
      <c r="G188">
        <v>6661688297798</v>
      </c>
      <c r="H188">
        <v>8968911868524</v>
      </c>
      <c r="I188">
        <v>9867489873547</v>
      </c>
      <c r="J188">
        <v>10278838758357</v>
      </c>
      <c r="K188">
        <v>8668136289150</v>
      </c>
      <c r="L188">
        <v>11331278095366</v>
      </c>
      <c r="M188">
        <v>15165708103095</v>
      </c>
      <c r="N188">
        <v>17604246765137</v>
      </c>
      <c r="O188">
        <v>14677892532327</v>
      </c>
      <c r="P188">
        <v>11603217495340</v>
      </c>
      <c r="Q188">
        <v>12641545787505</v>
      </c>
      <c r="R188">
        <v>11210635224647</v>
      </c>
    </row>
    <row r="189" spans="1:18" x14ac:dyDescent="0.35">
      <c r="A189" t="s">
        <v>1937</v>
      </c>
      <c r="B189" t="s">
        <v>68</v>
      </c>
      <c r="C189">
        <v>1241469477847</v>
      </c>
      <c r="D189">
        <v>4787578138451</v>
      </c>
      <c r="E189">
        <v>3838464619462</v>
      </c>
      <c r="F189">
        <v>1247707389408</v>
      </c>
      <c r="G189">
        <v>1265506505093</v>
      </c>
      <c r="H189">
        <v>1299639933598</v>
      </c>
      <c r="I189">
        <v>1254118519568</v>
      </c>
      <c r="J189">
        <v>1312863244431</v>
      </c>
      <c r="K189">
        <v>1436586904522</v>
      </c>
      <c r="L189">
        <v>1981662664681</v>
      </c>
      <c r="M189">
        <v>1811384672183</v>
      </c>
      <c r="N189">
        <v>2038516943244</v>
      </c>
      <c r="O189">
        <v>1975474774082</v>
      </c>
      <c r="P189">
        <v>1808732438728</v>
      </c>
      <c r="Q189">
        <v>2276001412590</v>
      </c>
      <c r="R189">
        <v>2307236158285</v>
      </c>
    </row>
    <row r="190" spans="1:18" x14ac:dyDescent="0.35">
      <c r="A190" t="s">
        <v>1937</v>
      </c>
      <c r="B190" t="s">
        <v>69</v>
      </c>
      <c r="C190">
        <v>1319234419657</v>
      </c>
      <c r="D190">
        <v>1689338591783</v>
      </c>
      <c r="E190">
        <v>1436047250843</v>
      </c>
      <c r="F190">
        <v>1902920679812</v>
      </c>
      <c r="G190">
        <v>2066379105770</v>
      </c>
      <c r="H190">
        <v>2168632254320</v>
      </c>
      <c r="I190">
        <v>2249225915071</v>
      </c>
      <c r="J190">
        <v>2532081570015</v>
      </c>
      <c r="K190">
        <v>1592492029450</v>
      </c>
      <c r="L190">
        <v>3253758136518</v>
      </c>
      <c r="M190">
        <v>4002076553316</v>
      </c>
      <c r="N190">
        <v>3648553675093</v>
      </c>
      <c r="O190">
        <v>3446351248779</v>
      </c>
      <c r="P190">
        <v>3207545586590</v>
      </c>
      <c r="Q190">
        <v>3257783219874</v>
      </c>
      <c r="R190">
        <v>3533235565202</v>
      </c>
    </row>
    <row r="191" spans="1:18" x14ac:dyDescent="0.35">
      <c r="A191" t="s">
        <v>1937</v>
      </c>
      <c r="B191" t="s">
        <v>70</v>
      </c>
      <c r="C191">
        <v>71606364466</v>
      </c>
      <c r="D191">
        <v>133949740335</v>
      </c>
      <c r="E191">
        <v>103408827001</v>
      </c>
      <c r="F191">
        <v>158783448676</v>
      </c>
      <c r="G191">
        <v>216776965936</v>
      </c>
      <c r="H191">
        <v>303842454233</v>
      </c>
      <c r="I191">
        <v>390461060246</v>
      </c>
      <c r="J191">
        <v>424583603829</v>
      </c>
      <c r="K191">
        <v>413163595453</v>
      </c>
      <c r="L191">
        <v>287032760347</v>
      </c>
      <c r="M191">
        <v>281716075915</v>
      </c>
      <c r="N191">
        <v>317340680864</v>
      </c>
      <c r="O191">
        <v>317869700071</v>
      </c>
      <c r="P191">
        <v>240015904728</v>
      </c>
      <c r="Q191">
        <v>211493817260</v>
      </c>
      <c r="R191">
        <v>252038957199</v>
      </c>
    </row>
    <row r="192" spans="1:18" x14ac:dyDescent="0.35">
      <c r="A192" t="s">
        <v>1937</v>
      </c>
      <c r="B192" t="s">
        <v>71</v>
      </c>
      <c r="C192">
        <v>9380823218</v>
      </c>
      <c r="D192">
        <v>12974021808</v>
      </c>
      <c r="E192">
        <v>10755119140</v>
      </c>
      <c r="F192">
        <v>13093134826</v>
      </c>
      <c r="G192">
        <v>14893107728</v>
      </c>
      <c r="H192">
        <v>28013729207</v>
      </c>
      <c r="I192">
        <v>21050643018</v>
      </c>
      <c r="J192">
        <v>19168884548</v>
      </c>
      <c r="K192">
        <v>17897066728</v>
      </c>
      <c r="L192">
        <v>32111437620</v>
      </c>
      <c r="M192">
        <v>25610993294</v>
      </c>
      <c r="N192">
        <v>25995126200</v>
      </c>
      <c r="O192">
        <v>26714842438</v>
      </c>
      <c r="P192">
        <v>27207510953</v>
      </c>
      <c r="Q192">
        <v>26410576197</v>
      </c>
      <c r="R192">
        <v>27015759773</v>
      </c>
    </row>
    <row r="193" spans="1:18" x14ac:dyDescent="0.35">
      <c r="A193" t="s">
        <v>1937</v>
      </c>
      <c r="B193" t="s">
        <v>72</v>
      </c>
      <c r="C193">
        <v>49089241337</v>
      </c>
      <c r="D193">
        <v>89520702243</v>
      </c>
      <c r="E193">
        <v>322873220968</v>
      </c>
      <c r="F193">
        <v>233585605735</v>
      </c>
      <c r="G193">
        <v>184685039421</v>
      </c>
      <c r="H193">
        <v>254543626733</v>
      </c>
      <c r="I193">
        <v>371340008194</v>
      </c>
      <c r="J193">
        <v>330085861737</v>
      </c>
      <c r="K193">
        <v>500541692684</v>
      </c>
      <c r="L193">
        <v>532360226210</v>
      </c>
      <c r="M193">
        <v>649349660366</v>
      </c>
      <c r="N193">
        <v>552382451439</v>
      </c>
      <c r="O193">
        <v>756186700272</v>
      </c>
      <c r="P193">
        <v>490581720691</v>
      </c>
      <c r="Q193">
        <v>574045192395</v>
      </c>
      <c r="R193">
        <v>443482698258</v>
      </c>
    </row>
    <row r="194" spans="1:18" x14ac:dyDescent="0.35">
      <c r="A194" t="s">
        <v>1937</v>
      </c>
      <c r="B194" t="s">
        <v>73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8" x14ac:dyDescent="0.35">
      <c r="A195" t="s">
        <v>1937</v>
      </c>
      <c r="B195" t="s">
        <v>74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8" x14ac:dyDescent="0.35">
      <c r="A196" t="s">
        <v>1937</v>
      </c>
      <c r="B196" t="s">
        <v>75</v>
      </c>
      <c r="C196">
        <v>19333333335</v>
      </c>
      <c r="D196">
        <v>12333333336</v>
      </c>
      <c r="E196">
        <v>12333333336</v>
      </c>
      <c r="F196">
        <v>9044246578</v>
      </c>
      <c r="G196">
        <v>7469657538</v>
      </c>
      <c r="H196">
        <v>6494791803</v>
      </c>
      <c r="I196">
        <v>31759222257</v>
      </c>
      <c r="J196">
        <v>26307262917</v>
      </c>
      <c r="K196">
        <v>8810325017</v>
      </c>
      <c r="L196">
        <v>10127380668</v>
      </c>
      <c r="M196">
        <v>9864313849</v>
      </c>
      <c r="N196">
        <v>10067850776</v>
      </c>
      <c r="O196">
        <v>9715310970</v>
      </c>
      <c r="P196">
        <v>11588951867</v>
      </c>
      <c r="Q196">
        <v>12543706357</v>
      </c>
      <c r="R196">
        <v>13948431593</v>
      </c>
    </row>
    <row r="197" spans="1:18" x14ac:dyDescent="0.35">
      <c r="A197" t="s">
        <v>1937</v>
      </c>
      <c r="B197" t="s">
        <v>76</v>
      </c>
      <c r="C197">
        <v>1238384151488</v>
      </c>
      <c r="D197">
        <v>1864485574142</v>
      </c>
      <c r="E197">
        <v>1295176216622</v>
      </c>
      <c r="F197">
        <v>1296221461619</v>
      </c>
      <c r="G197">
        <v>935539072700</v>
      </c>
      <c r="H197">
        <v>3781255977687</v>
      </c>
      <c r="I197">
        <v>3094468817146</v>
      </c>
      <c r="J197">
        <v>2313006346506</v>
      </c>
      <c r="K197">
        <v>1511312239800</v>
      </c>
      <c r="L197">
        <v>1920926270283</v>
      </c>
      <c r="M197">
        <v>2206050500021</v>
      </c>
      <c r="N197">
        <v>3587835142036</v>
      </c>
      <c r="O197">
        <v>3076895644153</v>
      </c>
      <c r="P197">
        <v>2542460856620</v>
      </c>
      <c r="Q197">
        <v>2470588935960</v>
      </c>
      <c r="R197">
        <v>733476739994</v>
      </c>
    </row>
    <row r="198" spans="1:18" x14ac:dyDescent="0.35">
      <c r="A198" t="s">
        <v>1937</v>
      </c>
      <c r="B198" t="s">
        <v>77</v>
      </c>
      <c r="C198">
        <v>1400087013063</v>
      </c>
      <c r="D198">
        <v>2028270539975</v>
      </c>
      <c r="E198">
        <v>2129817483259</v>
      </c>
      <c r="F198">
        <v>2069446082560</v>
      </c>
      <c r="G198">
        <v>1962559578480</v>
      </c>
      <c r="H198">
        <v>942223982962</v>
      </c>
      <c r="I198">
        <v>2235547015100</v>
      </c>
      <c r="J198">
        <v>2998901210127</v>
      </c>
      <c r="K198">
        <v>2878688860762</v>
      </c>
      <c r="L198">
        <v>2977463896022</v>
      </c>
      <c r="M198">
        <v>5881641041285</v>
      </c>
      <c r="N198">
        <v>7075994859372</v>
      </c>
      <c r="O198">
        <v>4688434471444</v>
      </c>
      <c r="P198">
        <v>2826687792707</v>
      </c>
      <c r="Q198">
        <v>3285003491946</v>
      </c>
      <c r="R198">
        <v>3261506184659</v>
      </c>
    </row>
    <row r="199" spans="1:18" x14ac:dyDescent="0.35">
      <c r="A199" t="s">
        <v>1937</v>
      </c>
      <c r="B199" t="s">
        <v>78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177865988163</v>
      </c>
      <c r="I199">
        <v>213639843074</v>
      </c>
      <c r="J199">
        <v>316134793374</v>
      </c>
      <c r="K199">
        <v>304536495363</v>
      </c>
      <c r="L199">
        <v>330005827646</v>
      </c>
      <c r="M199">
        <v>289673351316</v>
      </c>
      <c r="N199">
        <v>342899169902</v>
      </c>
      <c r="O199">
        <v>376197456907</v>
      </c>
      <c r="P199">
        <v>439871998245</v>
      </c>
      <c r="Q199">
        <v>507120136300</v>
      </c>
      <c r="R199">
        <v>617353916405</v>
      </c>
    </row>
    <row r="200" spans="1:18" x14ac:dyDescent="0.35">
      <c r="A200" t="s">
        <v>1937</v>
      </c>
      <c r="B200" t="s">
        <v>79</v>
      </c>
      <c r="C200">
        <v>2309330070</v>
      </c>
      <c r="D200">
        <v>7497647459</v>
      </c>
      <c r="E200">
        <v>4521049132</v>
      </c>
      <c r="F200">
        <v>5955912132</v>
      </c>
      <c r="G200">
        <v>7879265132</v>
      </c>
      <c r="H200">
        <v>6399129818</v>
      </c>
      <c r="I200">
        <v>5878829873</v>
      </c>
      <c r="J200">
        <v>5705980873</v>
      </c>
      <c r="K200">
        <v>4107079371</v>
      </c>
      <c r="L200">
        <v>5829495371</v>
      </c>
      <c r="M200">
        <v>8340941550</v>
      </c>
      <c r="N200">
        <v>4660866211</v>
      </c>
      <c r="O200">
        <v>4052383211</v>
      </c>
      <c r="P200">
        <v>8524734211</v>
      </c>
      <c r="Q200">
        <v>20555298626</v>
      </c>
      <c r="R200">
        <v>21340813279</v>
      </c>
    </row>
    <row r="201" spans="1:18" x14ac:dyDescent="0.35">
      <c r="A201" t="s">
        <v>1937</v>
      </c>
      <c r="B201" t="s">
        <v>80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8" x14ac:dyDescent="0.35">
      <c r="A202" t="s">
        <v>1937</v>
      </c>
      <c r="B202" t="s">
        <v>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8" x14ac:dyDescent="0.35">
      <c r="A203" t="s">
        <v>1937</v>
      </c>
      <c r="B203" t="s">
        <v>82</v>
      </c>
      <c r="C203">
        <v>8610909801043</v>
      </c>
      <c r="D203">
        <v>10443917569728</v>
      </c>
      <c r="E203">
        <v>15290672401840</v>
      </c>
      <c r="F203">
        <v>23561807139290</v>
      </c>
      <c r="G203">
        <v>22351067386838</v>
      </c>
      <c r="H203">
        <v>20374980678923</v>
      </c>
      <c r="I203">
        <v>20486789901539</v>
      </c>
      <c r="J203">
        <v>20381022579927</v>
      </c>
      <c r="K203">
        <v>21449448506964</v>
      </c>
      <c r="L203">
        <v>18873518435334</v>
      </c>
      <c r="M203">
        <v>16710852389444</v>
      </c>
      <c r="N203">
        <v>11389575161055</v>
      </c>
      <c r="O203">
        <v>13621107118473</v>
      </c>
      <c r="P203">
        <v>12919621086713</v>
      </c>
      <c r="Q203">
        <v>12277229086156</v>
      </c>
      <c r="R203">
        <v>13109718942531</v>
      </c>
    </row>
    <row r="204" spans="1:18" x14ac:dyDescent="0.35">
      <c r="A204" t="s">
        <v>1937</v>
      </c>
      <c r="B204" t="s">
        <v>83</v>
      </c>
      <c r="C204">
        <v>688310000000</v>
      </c>
      <c r="D204">
        <v>688310000000</v>
      </c>
      <c r="E204">
        <v>534310000000</v>
      </c>
      <c r="F204">
        <v>2459889322623</v>
      </c>
      <c r="G204">
        <v>2983397217563</v>
      </c>
      <c r="H204">
        <v>2577764790902</v>
      </c>
      <c r="I204">
        <v>1999211984702</v>
      </c>
      <c r="J204">
        <v>1201526028842</v>
      </c>
      <c r="K204">
        <v>1201526028842</v>
      </c>
      <c r="L204">
        <v>191037276046</v>
      </c>
      <c r="M204">
        <v>191037276046</v>
      </c>
      <c r="N204">
        <v>87072449081</v>
      </c>
      <c r="O204">
        <v>218700431312</v>
      </c>
      <c r="P204">
        <v>105627982231</v>
      </c>
      <c r="Q204">
        <v>105627982231</v>
      </c>
      <c r="R204">
        <v>105627982231</v>
      </c>
    </row>
    <row r="205" spans="1:18" x14ac:dyDescent="0.35">
      <c r="A205" t="s">
        <v>1937</v>
      </c>
      <c r="B205" t="s">
        <v>84</v>
      </c>
      <c r="C205">
        <v>0</v>
      </c>
      <c r="D205">
        <v>40000000000</v>
      </c>
      <c r="E205">
        <v>40000000000</v>
      </c>
      <c r="F205">
        <v>40000000000</v>
      </c>
      <c r="G205">
        <v>40000000000</v>
      </c>
      <c r="H205">
        <v>40000000000</v>
      </c>
      <c r="I205">
        <v>40000000000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640000000</v>
      </c>
    </row>
    <row r="206" spans="1:18" x14ac:dyDescent="0.35">
      <c r="A206" t="s">
        <v>1937</v>
      </c>
      <c r="B206" t="s">
        <v>85</v>
      </c>
      <c r="C206">
        <v>0</v>
      </c>
      <c r="D206">
        <v>0</v>
      </c>
      <c r="E206">
        <v>10740313359</v>
      </c>
      <c r="F206">
        <v>21346267153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8" x14ac:dyDescent="0.35">
      <c r="A207" t="s">
        <v>1937</v>
      </c>
      <c r="B207" t="s">
        <v>86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8" x14ac:dyDescent="0.35">
      <c r="A208" t="s">
        <v>1937</v>
      </c>
      <c r="B208" t="s">
        <v>87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8" x14ac:dyDescent="0.35">
      <c r="A209" t="s">
        <v>1937</v>
      </c>
      <c r="B209" t="s">
        <v>88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18454994</v>
      </c>
      <c r="M209">
        <v>17251406</v>
      </c>
      <c r="N209">
        <v>16047818</v>
      </c>
      <c r="O209">
        <v>14844230</v>
      </c>
      <c r="P209">
        <v>13640642</v>
      </c>
      <c r="Q209">
        <v>12437054</v>
      </c>
      <c r="R209">
        <v>11233466</v>
      </c>
    </row>
    <row r="210" spans="1:18" x14ac:dyDescent="0.35">
      <c r="A210" t="s">
        <v>1937</v>
      </c>
      <c r="B210" t="s">
        <v>89</v>
      </c>
      <c r="C210">
        <v>5317889349796</v>
      </c>
      <c r="D210">
        <v>5142377995848</v>
      </c>
      <c r="E210">
        <v>6657169204243</v>
      </c>
      <c r="F210">
        <v>7684262232703</v>
      </c>
      <c r="G210">
        <v>7006471988014</v>
      </c>
      <c r="H210">
        <v>5073300708240</v>
      </c>
      <c r="I210">
        <v>5014992581084</v>
      </c>
      <c r="J210">
        <v>7499657443701</v>
      </c>
      <c r="K210">
        <v>7347937050206</v>
      </c>
      <c r="L210">
        <v>6547555089529</v>
      </c>
      <c r="M210">
        <v>7038702179028</v>
      </c>
      <c r="N210">
        <v>4047245730171</v>
      </c>
      <c r="O210">
        <v>3751022741026</v>
      </c>
      <c r="P210">
        <v>3122555538780</v>
      </c>
      <c r="Q210">
        <v>2963415657255</v>
      </c>
      <c r="R210">
        <v>3879887739972</v>
      </c>
    </row>
    <row r="211" spans="1:18" x14ac:dyDescent="0.35">
      <c r="A211" t="s">
        <v>1937</v>
      </c>
      <c r="B211" t="s">
        <v>90</v>
      </c>
      <c r="C211">
        <v>1587084361214</v>
      </c>
      <c r="D211">
        <v>2551857522432</v>
      </c>
      <c r="E211">
        <v>5778152884238</v>
      </c>
      <c r="F211">
        <v>11086009316811</v>
      </c>
      <c r="G211">
        <v>10950898181261</v>
      </c>
      <c r="H211">
        <v>12228886273794</v>
      </c>
      <c r="I211">
        <v>12963076315954</v>
      </c>
      <c r="J211">
        <v>11242698099427</v>
      </c>
      <c r="K211">
        <v>12658018352693</v>
      </c>
      <c r="L211">
        <v>11957344896631</v>
      </c>
      <c r="M211">
        <v>9099572034193</v>
      </c>
      <c r="N211">
        <v>6875215031922</v>
      </c>
      <c r="O211">
        <v>9268811209962</v>
      </c>
      <c r="P211">
        <v>9314463011473</v>
      </c>
      <c r="Q211">
        <v>8841523861994</v>
      </c>
      <c r="R211">
        <v>8755491960684</v>
      </c>
    </row>
    <row r="212" spans="1:18" x14ac:dyDescent="0.35">
      <c r="A212" t="s">
        <v>1937</v>
      </c>
      <c r="B212" t="s">
        <v>91</v>
      </c>
      <c r="C212">
        <v>1015750000000</v>
      </c>
      <c r="D212">
        <v>2020300000000</v>
      </c>
      <c r="E212">
        <v>2270300000000</v>
      </c>
      <c r="F212">
        <v>2270300000000</v>
      </c>
      <c r="G212">
        <v>1370300000000</v>
      </c>
      <c r="H212">
        <v>365750000000</v>
      </c>
      <c r="I212">
        <v>365750000000</v>
      </c>
      <c r="J212">
        <v>365750000000</v>
      </c>
      <c r="K212">
        <v>121250000000</v>
      </c>
      <c r="L212">
        <v>0</v>
      </c>
      <c r="M212">
        <v>0</v>
      </c>
      <c r="N212">
        <v>0</v>
      </c>
    </row>
    <row r="213" spans="1:18" x14ac:dyDescent="0.35">
      <c r="A213" t="s">
        <v>1937</v>
      </c>
      <c r="B213" t="s">
        <v>92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8" x14ac:dyDescent="0.35">
      <c r="A214" t="s">
        <v>1937</v>
      </c>
      <c r="B214" t="s">
        <v>93</v>
      </c>
      <c r="C214">
        <v>1876090033</v>
      </c>
      <c r="D214">
        <v>1072051448</v>
      </c>
      <c r="E214">
        <v>0</v>
      </c>
      <c r="F214">
        <v>0</v>
      </c>
      <c r="G214">
        <v>0</v>
      </c>
      <c r="H214">
        <v>87914015772</v>
      </c>
      <c r="I214">
        <v>102578913984</v>
      </c>
      <c r="J214">
        <v>70268831142</v>
      </c>
      <c r="K214">
        <v>119623846783</v>
      </c>
      <c r="L214">
        <v>175838312159</v>
      </c>
      <c r="M214">
        <v>379172620462</v>
      </c>
      <c r="N214">
        <v>377789560254</v>
      </c>
      <c r="O214">
        <v>379745232649</v>
      </c>
      <c r="P214">
        <v>374677478518</v>
      </c>
      <c r="Q214">
        <v>364407140053</v>
      </c>
      <c r="R214">
        <v>365850663276</v>
      </c>
    </row>
    <row r="215" spans="1:18" x14ac:dyDescent="0.35">
      <c r="A215" t="s">
        <v>1937</v>
      </c>
      <c r="B215" t="s">
        <v>94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1364890215</v>
      </c>
      <c r="I215">
        <v>1180105815</v>
      </c>
      <c r="J215">
        <v>1122176815</v>
      </c>
      <c r="K215">
        <v>1093228440</v>
      </c>
      <c r="L215">
        <v>1724405975</v>
      </c>
      <c r="M215">
        <v>2351028309</v>
      </c>
      <c r="N215">
        <v>2236341809</v>
      </c>
      <c r="O215">
        <v>2172659294</v>
      </c>
      <c r="P215">
        <v>2283435069</v>
      </c>
      <c r="Q215">
        <v>2242007569</v>
      </c>
      <c r="R215">
        <v>2849362902</v>
      </c>
    </row>
    <row r="216" spans="1:18" x14ac:dyDescent="0.35">
      <c r="A216" t="s">
        <v>1937</v>
      </c>
      <c r="B216" t="s">
        <v>95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8" x14ac:dyDescent="0.35">
      <c r="A217" t="s">
        <v>1937</v>
      </c>
      <c r="B217" t="s">
        <v>96</v>
      </c>
      <c r="C217">
        <v>2268475207845</v>
      </c>
      <c r="D217">
        <v>2985200058632</v>
      </c>
      <c r="E217">
        <v>4777427967517</v>
      </c>
      <c r="F217">
        <v>5298174305090</v>
      </c>
      <c r="G217">
        <v>6358456265071</v>
      </c>
      <c r="H217">
        <v>8467775861614</v>
      </c>
      <c r="I217">
        <v>11150473438695</v>
      </c>
      <c r="J217">
        <v>13701429198758</v>
      </c>
      <c r="K217">
        <v>13634775623901</v>
      </c>
      <c r="L217">
        <v>13801450560085</v>
      </c>
      <c r="M217">
        <v>14381977046529</v>
      </c>
      <c r="N217">
        <v>14595772503771</v>
      </c>
      <c r="O217">
        <v>14677627162316</v>
      </c>
      <c r="P217">
        <v>17456179840135</v>
      </c>
      <c r="Q217">
        <v>17673323564145</v>
      </c>
      <c r="R217">
        <v>20987940066518</v>
      </c>
    </row>
    <row r="218" spans="1:18" x14ac:dyDescent="0.35">
      <c r="A218" t="s">
        <v>1937</v>
      </c>
      <c r="B218" t="s">
        <v>97</v>
      </c>
      <c r="C218">
        <v>2268475207845</v>
      </c>
      <c r="D218">
        <v>2985200058632</v>
      </c>
      <c r="E218">
        <v>4777427967517</v>
      </c>
      <c r="F218">
        <v>5298174305090</v>
      </c>
      <c r="G218">
        <v>6358456265071</v>
      </c>
      <c r="H218">
        <v>8467775861614</v>
      </c>
      <c r="I218">
        <v>11150473438695</v>
      </c>
      <c r="J218">
        <v>13701429198758</v>
      </c>
      <c r="K218">
        <v>13634775623901</v>
      </c>
      <c r="L218">
        <v>13801450560085</v>
      </c>
      <c r="M218">
        <v>14381977046529</v>
      </c>
      <c r="N218">
        <v>14595772503771</v>
      </c>
      <c r="O218">
        <v>14677627162316</v>
      </c>
      <c r="P218">
        <v>17456179840135</v>
      </c>
      <c r="Q218">
        <v>17673323564145</v>
      </c>
      <c r="R218">
        <v>20987940066518</v>
      </c>
    </row>
    <row r="219" spans="1:18" x14ac:dyDescent="0.35">
      <c r="A219" t="s">
        <v>1937</v>
      </c>
      <c r="B219" t="s">
        <v>98</v>
      </c>
      <c r="C219">
        <v>1360057600000</v>
      </c>
      <c r="D219">
        <v>1360057600000</v>
      </c>
      <c r="E219">
        <v>2034681400000</v>
      </c>
      <c r="F219">
        <v>2034681400000</v>
      </c>
      <c r="G219">
        <v>2975371740000</v>
      </c>
      <c r="H219">
        <v>2975371740000</v>
      </c>
      <c r="I219">
        <v>4463054370000</v>
      </c>
      <c r="J219">
        <v>5033054370000</v>
      </c>
      <c r="K219">
        <v>5334676220000</v>
      </c>
      <c r="L219">
        <v>5334676220000</v>
      </c>
      <c r="M219">
        <v>5334676220000</v>
      </c>
      <c r="N219">
        <v>5334676220000</v>
      </c>
      <c r="O219">
        <v>5334676220000</v>
      </c>
      <c r="P219">
        <v>5334676220000</v>
      </c>
      <c r="Q219">
        <v>5334676220000</v>
      </c>
      <c r="R219">
        <v>8001966250000</v>
      </c>
    </row>
    <row r="220" spans="1:18" x14ac:dyDescent="0.35">
      <c r="A220" t="s">
        <v>1937</v>
      </c>
      <c r="B220" t="s">
        <v>99</v>
      </c>
      <c r="C220">
        <v>1360057600000</v>
      </c>
      <c r="D220">
        <v>1360057600000</v>
      </c>
      <c r="E220">
        <v>2034681400000</v>
      </c>
      <c r="F220">
        <v>2034681400000</v>
      </c>
      <c r="G220">
        <v>2975371740000</v>
      </c>
      <c r="H220">
        <v>2975371740000</v>
      </c>
      <c r="I220">
        <v>4463054370000</v>
      </c>
      <c r="J220">
        <v>5033054370000</v>
      </c>
      <c r="K220">
        <v>5334676220000</v>
      </c>
      <c r="L220">
        <v>5334676220000</v>
      </c>
      <c r="M220">
        <v>5334676220000</v>
      </c>
      <c r="N220">
        <v>5334676220000</v>
      </c>
      <c r="O220">
        <v>5334676220000</v>
      </c>
      <c r="P220">
        <v>5334676220000</v>
      </c>
      <c r="Q220">
        <v>5334676220000</v>
      </c>
      <c r="R220">
        <v>8001966250000</v>
      </c>
    </row>
    <row r="221" spans="1:18" x14ac:dyDescent="0.35">
      <c r="A221" t="s">
        <v>1937</v>
      </c>
      <c r="B221" t="s">
        <v>100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8" x14ac:dyDescent="0.35">
      <c r="A222" t="s">
        <v>1937</v>
      </c>
      <c r="B222" t="s">
        <v>101</v>
      </c>
      <c r="C222">
        <v>-165000000</v>
      </c>
      <c r="D222">
        <v>-165000000</v>
      </c>
      <c r="E222">
        <v>-165000000</v>
      </c>
      <c r="F222">
        <v>-165000000</v>
      </c>
      <c r="G222">
        <v>-165000000</v>
      </c>
      <c r="H222">
        <v>-233004000</v>
      </c>
      <c r="I222">
        <v>297060422000</v>
      </c>
      <c r="J222">
        <v>867016422000</v>
      </c>
      <c r="K222">
        <v>867016422000</v>
      </c>
      <c r="L222">
        <v>866926422000</v>
      </c>
      <c r="M222">
        <v>866926422000</v>
      </c>
      <c r="N222">
        <v>866926422000</v>
      </c>
      <c r="O222">
        <v>866926422000</v>
      </c>
      <c r="P222">
        <v>866926422000</v>
      </c>
      <c r="Q222">
        <v>866926422000</v>
      </c>
      <c r="R222">
        <v>866860882000</v>
      </c>
    </row>
    <row r="223" spans="1:18" x14ac:dyDescent="0.35">
      <c r="A223" t="s">
        <v>1937</v>
      </c>
      <c r="B223" t="s">
        <v>102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8" x14ac:dyDescent="0.35">
      <c r="A224" t="s">
        <v>1937</v>
      </c>
      <c r="B224" t="s">
        <v>103</v>
      </c>
      <c r="C224">
        <v>0</v>
      </c>
      <c r="D224">
        <v>0</v>
      </c>
      <c r="E224">
        <v>0</v>
      </c>
      <c r="F224">
        <v>0</v>
      </c>
      <c r="G224">
        <v>21404860000</v>
      </c>
      <c r="H224">
        <v>21404860000</v>
      </c>
      <c r="I224">
        <v>21404860000</v>
      </c>
      <c r="J224">
        <v>21404860000</v>
      </c>
      <c r="K224">
        <v>21404860000</v>
      </c>
      <c r="L224">
        <v>21404860000</v>
      </c>
      <c r="M224">
        <v>21404860000</v>
      </c>
      <c r="N224">
        <v>210705510000</v>
      </c>
      <c r="O224">
        <v>210705510000</v>
      </c>
      <c r="P224">
        <v>210705510000</v>
      </c>
      <c r="Q224">
        <v>210705510000</v>
      </c>
      <c r="R224">
        <v>309977900000</v>
      </c>
    </row>
    <row r="225" spans="1:18" x14ac:dyDescent="0.35">
      <c r="A225" t="s">
        <v>1937</v>
      </c>
      <c r="B225" t="s">
        <v>104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8" x14ac:dyDescent="0.35">
      <c r="A226" t="s">
        <v>1937</v>
      </c>
      <c r="B226" t="s">
        <v>105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8" x14ac:dyDescent="0.35">
      <c r="A227" t="s">
        <v>1937</v>
      </c>
      <c r="B227" t="s">
        <v>106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8" x14ac:dyDescent="0.35">
      <c r="A228" t="s">
        <v>1937</v>
      </c>
      <c r="B228" t="s">
        <v>107</v>
      </c>
      <c r="C228">
        <v>763469613</v>
      </c>
      <c r="D228">
        <v>306707661</v>
      </c>
      <c r="E228">
        <v>304135199</v>
      </c>
      <c r="F228">
        <v>304135199</v>
      </c>
      <c r="G228">
        <v>301346416</v>
      </c>
      <c r="H228">
        <v>301346416</v>
      </c>
      <c r="I228">
        <v>3908270221</v>
      </c>
      <c r="J228">
        <v>3908865546</v>
      </c>
      <c r="K228">
        <v>3908865546</v>
      </c>
      <c r="L228">
        <v>3908796261</v>
      </c>
      <c r="M228">
        <v>3908796261</v>
      </c>
      <c r="N228">
        <v>3863572216</v>
      </c>
      <c r="O228">
        <v>3863572216</v>
      </c>
      <c r="P228">
        <v>3908796261</v>
      </c>
      <c r="Q228">
        <v>3908796261</v>
      </c>
      <c r="R228">
        <v>3908796261</v>
      </c>
    </row>
    <row r="229" spans="1:18" x14ac:dyDescent="0.35">
      <c r="A229" t="s">
        <v>1937</v>
      </c>
      <c r="B229" t="s">
        <v>108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8" x14ac:dyDescent="0.35">
      <c r="A230" t="s">
        <v>1937</v>
      </c>
      <c r="B230" t="s">
        <v>109</v>
      </c>
      <c r="C230">
        <v>484644120</v>
      </c>
      <c r="D230">
        <v>481158791</v>
      </c>
      <c r="E230">
        <v>477123148</v>
      </c>
      <c r="F230">
        <v>477123148</v>
      </c>
      <c r="G230">
        <v>467767792</v>
      </c>
      <c r="H230">
        <v>463478572</v>
      </c>
      <c r="I230">
        <v>463478572</v>
      </c>
      <c r="J230">
        <v>464394196</v>
      </c>
      <c r="K230">
        <v>464394196</v>
      </c>
      <c r="L230">
        <v>464287634</v>
      </c>
      <c r="M230">
        <v>464287634</v>
      </c>
      <c r="N230">
        <v>394731885</v>
      </c>
      <c r="O230">
        <v>394731885</v>
      </c>
      <c r="P230">
        <v>464287634</v>
      </c>
      <c r="Q230">
        <v>464287634</v>
      </c>
      <c r="R230">
        <v>464287634</v>
      </c>
    </row>
    <row r="231" spans="1:18" x14ac:dyDescent="0.35">
      <c r="A231" t="s">
        <v>1937</v>
      </c>
      <c r="B231" t="s">
        <v>110</v>
      </c>
      <c r="C231">
        <v>81977367493</v>
      </c>
      <c r="D231">
        <v>238673693178</v>
      </c>
      <c r="E231">
        <v>327973882317</v>
      </c>
      <c r="F231">
        <v>545256304302</v>
      </c>
      <c r="G231">
        <v>488075714360</v>
      </c>
      <c r="H231">
        <v>575205635210</v>
      </c>
      <c r="I231">
        <v>800385641986</v>
      </c>
      <c r="J231">
        <v>1304647440763</v>
      </c>
      <c r="K231">
        <v>809704525757</v>
      </c>
      <c r="L231">
        <v>592991031707</v>
      </c>
      <c r="M231">
        <v>434852185801</v>
      </c>
      <c r="N231">
        <v>333981453055</v>
      </c>
      <c r="O231">
        <v>335539299336</v>
      </c>
      <c r="P231">
        <v>424067047701</v>
      </c>
      <c r="Q231">
        <v>426740705611</v>
      </c>
      <c r="R231">
        <v>517903199811</v>
      </c>
    </row>
    <row r="232" spans="1:18" x14ac:dyDescent="0.35">
      <c r="A232" t="s">
        <v>1937</v>
      </c>
      <c r="B232" t="s">
        <v>111</v>
      </c>
      <c r="C232">
        <v>49619227559</v>
      </c>
      <c r="D232">
        <v>214877267598</v>
      </c>
      <c r="E232">
        <v>117965264922</v>
      </c>
      <c r="F232">
        <v>335889607229</v>
      </c>
      <c r="G232">
        <v>508723247771</v>
      </c>
      <c r="H232">
        <v>606333900266</v>
      </c>
      <c r="I232">
        <v>336320712548</v>
      </c>
      <c r="J232">
        <v>734630523627</v>
      </c>
      <c r="K232">
        <v>792454097650</v>
      </c>
      <c r="L232">
        <v>17252315476</v>
      </c>
      <c r="M232">
        <v>424685983014</v>
      </c>
      <c r="N232">
        <v>235664127222</v>
      </c>
      <c r="O232">
        <v>235664127223</v>
      </c>
      <c r="P232">
        <v>228640487544</v>
      </c>
      <c r="Q232">
        <v>426197191161</v>
      </c>
      <c r="R232">
        <v>331236675922</v>
      </c>
    </row>
    <row r="233" spans="1:18" x14ac:dyDescent="0.35">
      <c r="A233" t="s">
        <v>1937</v>
      </c>
      <c r="B233" t="s">
        <v>112</v>
      </c>
      <c r="C233">
        <v>32358139934</v>
      </c>
      <c r="D233">
        <v>23796425580</v>
      </c>
      <c r="E233">
        <v>210008617395</v>
      </c>
      <c r="F233">
        <v>209366697073</v>
      </c>
      <c r="G233">
        <v>-20647533411</v>
      </c>
      <c r="H233">
        <v>-31128265056</v>
      </c>
      <c r="I233">
        <v>464064929438</v>
      </c>
      <c r="J233">
        <v>570016917136</v>
      </c>
      <c r="K233">
        <v>17250428107</v>
      </c>
      <c r="L233">
        <v>575738716231</v>
      </c>
      <c r="M233">
        <v>10166202787</v>
      </c>
      <c r="N233">
        <v>98317325833</v>
      </c>
      <c r="O233">
        <v>99875172113</v>
      </c>
      <c r="P233">
        <v>195426560157</v>
      </c>
      <c r="Q233">
        <v>543514450</v>
      </c>
      <c r="R233">
        <v>186666523889</v>
      </c>
    </row>
    <row r="234" spans="1:18" x14ac:dyDescent="0.35">
      <c r="A234" t="s">
        <v>1937</v>
      </c>
      <c r="B234" t="s">
        <v>113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8" x14ac:dyDescent="0.35">
      <c r="A235" t="s">
        <v>1937</v>
      </c>
      <c r="B235" t="s">
        <v>114</v>
      </c>
      <c r="C235">
        <v>825357126619</v>
      </c>
      <c r="D235">
        <v>1385845899002</v>
      </c>
      <c r="E235">
        <v>2414156426853</v>
      </c>
      <c r="F235">
        <v>2717620342441</v>
      </c>
      <c r="G235">
        <v>2872999836503</v>
      </c>
      <c r="H235">
        <v>4895261805416</v>
      </c>
      <c r="I235">
        <v>5564196395916</v>
      </c>
      <c r="J235">
        <v>6470932846252</v>
      </c>
      <c r="K235">
        <v>6597600336402</v>
      </c>
      <c r="L235">
        <v>6981078942483</v>
      </c>
      <c r="M235">
        <v>7719744274833</v>
      </c>
      <c r="N235">
        <v>7845224594615</v>
      </c>
      <c r="O235">
        <v>7925521406879</v>
      </c>
      <c r="P235">
        <v>10615431556540</v>
      </c>
      <c r="Q235">
        <v>10829901622639</v>
      </c>
      <c r="R235">
        <v>11286858750812</v>
      </c>
    </row>
    <row r="236" spans="1:18" x14ac:dyDescent="0.35">
      <c r="A236" t="s">
        <v>1937</v>
      </c>
      <c r="B236" t="s">
        <v>115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8" x14ac:dyDescent="0.35">
      <c r="A237" t="s">
        <v>1937</v>
      </c>
      <c r="B237" t="s">
        <v>116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8" x14ac:dyDescent="0.35">
      <c r="A238" t="s">
        <v>1937</v>
      </c>
      <c r="B238" t="s">
        <v>117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8" x14ac:dyDescent="0.35">
      <c r="A239" t="s">
        <v>1937</v>
      </c>
      <c r="B239" t="s">
        <v>118</v>
      </c>
      <c r="C239">
        <v>16230279163369</v>
      </c>
      <c r="D239">
        <v>24055065917892</v>
      </c>
      <c r="E239">
        <v>29221497489120</v>
      </c>
      <c r="F239">
        <v>35796739405726</v>
      </c>
      <c r="G239">
        <v>35371211949707</v>
      </c>
      <c r="H239">
        <v>37811668409061</v>
      </c>
      <c r="I239">
        <v>41504753213781</v>
      </c>
      <c r="J239">
        <v>44361290537042</v>
      </c>
      <c r="K239">
        <v>43752360420015</v>
      </c>
      <c r="L239">
        <v>44006247090785</v>
      </c>
      <c r="M239">
        <v>46258537539068</v>
      </c>
      <c r="N239">
        <v>43589594429963</v>
      </c>
      <c r="O239">
        <v>42976626813116</v>
      </c>
      <c r="P239">
        <v>41979018422188</v>
      </c>
      <c r="Q239">
        <v>42592098437806</v>
      </c>
      <c r="R239">
        <v>45308294233696</v>
      </c>
    </row>
    <row r="240" spans="1:18" x14ac:dyDescent="0.35">
      <c r="A240" t="s">
        <v>1938</v>
      </c>
      <c r="B240" t="s">
        <v>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8" x14ac:dyDescent="0.35">
      <c r="A241" t="s">
        <v>1938</v>
      </c>
      <c r="B241" t="s">
        <v>7</v>
      </c>
      <c r="C241">
        <v>4993717246476</v>
      </c>
      <c r="D241">
        <v>5573680144137</v>
      </c>
      <c r="E241">
        <v>5828536765762</v>
      </c>
      <c r="F241">
        <v>5687635737043</v>
      </c>
      <c r="G241">
        <v>5340514752687</v>
      </c>
      <c r="H241">
        <v>5142769427089</v>
      </c>
      <c r="I241">
        <v>4782093500362</v>
      </c>
      <c r="J241">
        <v>5074131650214</v>
      </c>
      <c r="K241">
        <v>5138391111332</v>
      </c>
      <c r="L241">
        <v>5055061847146</v>
      </c>
      <c r="M241">
        <v>5329108888432</v>
      </c>
      <c r="N241">
        <v>5169619899649</v>
      </c>
      <c r="O241">
        <v>5140540800211</v>
      </c>
      <c r="P241">
        <v>6331240154788</v>
      </c>
      <c r="Q241">
        <v>6061508966094</v>
      </c>
      <c r="R241">
        <v>6116077539076</v>
      </c>
    </row>
    <row r="242" spans="1:18" x14ac:dyDescent="0.35">
      <c r="A242" t="s">
        <v>1938</v>
      </c>
      <c r="B242" t="s">
        <v>8</v>
      </c>
      <c r="C242">
        <v>392915213451</v>
      </c>
      <c r="D242">
        <v>357854297116</v>
      </c>
      <c r="E242">
        <v>282636608045</v>
      </c>
      <c r="F242">
        <v>324927301893</v>
      </c>
      <c r="G242">
        <v>338638322099</v>
      </c>
      <c r="H242">
        <v>315723686472</v>
      </c>
      <c r="I242">
        <v>256906474143</v>
      </c>
      <c r="J242">
        <v>302685116413</v>
      </c>
      <c r="K242">
        <v>247583897726</v>
      </c>
      <c r="L242">
        <v>170937618493</v>
      </c>
      <c r="M242">
        <v>161598228909</v>
      </c>
      <c r="N242">
        <v>273463383904</v>
      </c>
      <c r="O242">
        <v>225833553949</v>
      </c>
      <c r="P242">
        <v>707835369577</v>
      </c>
      <c r="Q242">
        <v>389408079968</v>
      </c>
      <c r="R242">
        <v>369648340102</v>
      </c>
    </row>
    <row r="243" spans="1:18" x14ac:dyDescent="0.35">
      <c r="A243" t="s">
        <v>1938</v>
      </c>
      <c r="B243" t="s">
        <v>9</v>
      </c>
      <c r="C243">
        <v>284280213451</v>
      </c>
      <c r="D243">
        <v>302719297116</v>
      </c>
      <c r="E243">
        <v>265901608045</v>
      </c>
      <c r="F243">
        <v>292700540430</v>
      </c>
      <c r="G243">
        <v>296333742476</v>
      </c>
      <c r="H243">
        <v>179361042109</v>
      </c>
      <c r="I243">
        <v>174545569630</v>
      </c>
      <c r="J243">
        <v>198830712909</v>
      </c>
      <c r="K243">
        <v>169372763213</v>
      </c>
      <c r="L243">
        <v>108957483980</v>
      </c>
      <c r="M243">
        <v>133133164169</v>
      </c>
      <c r="N243">
        <v>178548002174</v>
      </c>
      <c r="O243">
        <v>142569172219</v>
      </c>
      <c r="P243">
        <v>542225987847</v>
      </c>
      <c r="Q243">
        <v>232058698238</v>
      </c>
      <c r="R243">
        <v>165631553620</v>
      </c>
    </row>
    <row r="244" spans="1:18" x14ac:dyDescent="0.35">
      <c r="A244" t="s">
        <v>1938</v>
      </c>
      <c r="B244" t="s">
        <v>10</v>
      </c>
      <c r="C244">
        <v>108635000000</v>
      </c>
      <c r="D244">
        <v>55135000000</v>
      </c>
      <c r="E244">
        <v>16735000000</v>
      </c>
      <c r="F244">
        <v>32226761463</v>
      </c>
      <c r="G244">
        <v>42304579623</v>
      </c>
      <c r="H244">
        <v>136362644363</v>
      </c>
      <c r="I244">
        <v>82360904513</v>
      </c>
      <c r="J244">
        <v>103854403504</v>
      </c>
      <c r="K244">
        <v>78211134513</v>
      </c>
      <c r="L244">
        <v>61980134513</v>
      </c>
      <c r="M244">
        <v>28465064740</v>
      </c>
      <c r="N244">
        <v>94915381730</v>
      </c>
      <c r="O244">
        <v>83264381730</v>
      </c>
      <c r="P244">
        <v>165609381730</v>
      </c>
      <c r="Q244">
        <v>157349381730</v>
      </c>
      <c r="R244">
        <v>204016786482</v>
      </c>
    </row>
    <row r="245" spans="1:18" x14ac:dyDescent="0.35">
      <c r="A245" t="s">
        <v>1938</v>
      </c>
      <c r="B245" t="s">
        <v>11</v>
      </c>
      <c r="C245">
        <v>8954705245</v>
      </c>
      <c r="D245">
        <v>33858143989</v>
      </c>
      <c r="E245">
        <v>35774195349</v>
      </c>
      <c r="F245">
        <v>36778544346</v>
      </c>
      <c r="G245">
        <v>35279702566</v>
      </c>
      <c r="H245">
        <v>52312087209</v>
      </c>
      <c r="I245">
        <v>49921167655</v>
      </c>
      <c r="J245">
        <v>37175818600</v>
      </c>
      <c r="K245">
        <v>29259200782</v>
      </c>
      <c r="L245">
        <v>28312627146</v>
      </c>
      <c r="M245">
        <v>25122379360</v>
      </c>
      <c r="N245">
        <v>13987292839</v>
      </c>
      <c r="O245">
        <v>15087292839</v>
      </c>
      <c r="P245">
        <v>18665421938</v>
      </c>
      <c r="Q245">
        <v>14291005500</v>
      </c>
      <c r="R245">
        <v>13408671509</v>
      </c>
    </row>
    <row r="246" spans="1:18" x14ac:dyDescent="0.35">
      <c r="A246" t="s">
        <v>1938</v>
      </c>
      <c r="B246" t="s">
        <v>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8" x14ac:dyDescent="0.35">
      <c r="A247" t="s">
        <v>1938</v>
      </c>
      <c r="B247" t="s">
        <v>13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8" x14ac:dyDescent="0.35">
      <c r="A248" t="s">
        <v>1938</v>
      </c>
      <c r="B248" t="s">
        <v>14</v>
      </c>
      <c r="C248">
        <v>8954705245</v>
      </c>
      <c r="D248">
        <v>33858143989</v>
      </c>
      <c r="E248">
        <v>35774195349</v>
      </c>
      <c r="F248">
        <v>36778544346</v>
      </c>
      <c r="G248">
        <v>35279702566</v>
      </c>
      <c r="H248">
        <v>52312087209</v>
      </c>
      <c r="I248">
        <v>49921167655</v>
      </c>
      <c r="J248">
        <v>37175818600</v>
      </c>
      <c r="K248">
        <v>29259200782</v>
      </c>
      <c r="L248">
        <v>28312627146</v>
      </c>
      <c r="M248">
        <v>25122379360</v>
      </c>
      <c r="N248">
        <v>13987292839</v>
      </c>
      <c r="O248">
        <v>15087292839</v>
      </c>
      <c r="P248">
        <v>18665421938</v>
      </c>
      <c r="Q248">
        <v>14291005500</v>
      </c>
      <c r="R248">
        <v>13408671509</v>
      </c>
    </row>
    <row r="249" spans="1:18" x14ac:dyDescent="0.35">
      <c r="A249" t="s">
        <v>1938</v>
      </c>
      <c r="B249" t="s">
        <v>15</v>
      </c>
      <c r="C249">
        <v>3583436072403</v>
      </c>
      <c r="D249">
        <v>3988223509979</v>
      </c>
      <c r="E249">
        <v>3942081229032</v>
      </c>
      <c r="F249">
        <v>3194803165980</v>
      </c>
      <c r="G249">
        <v>2647139477075</v>
      </c>
      <c r="H249">
        <v>2817660539374</v>
      </c>
      <c r="I249">
        <v>2433737168794</v>
      </c>
      <c r="J249">
        <v>2800596554073</v>
      </c>
      <c r="K249">
        <v>2852958346456</v>
      </c>
      <c r="L249">
        <v>2923062725107</v>
      </c>
      <c r="M249">
        <v>3393019385195</v>
      </c>
      <c r="N249">
        <v>3011916226809</v>
      </c>
      <c r="O249">
        <v>2995562786901</v>
      </c>
      <c r="P249">
        <v>3829691012558</v>
      </c>
      <c r="Q249">
        <v>3886109492912</v>
      </c>
      <c r="R249">
        <v>3890854370526</v>
      </c>
    </row>
    <row r="250" spans="1:18" x14ac:dyDescent="0.35">
      <c r="A250" t="s">
        <v>1938</v>
      </c>
      <c r="B250" t="s">
        <v>16</v>
      </c>
      <c r="C250">
        <v>2647226235012</v>
      </c>
      <c r="D250">
        <v>2677595615746</v>
      </c>
      <c r="E250">
        <v>2359376858916</v>
      </c>
      <c r="F250">
        <v>2073152734947</v>
      </c>
      <c r="G250">
        <v>1691012836801</v>
      </c>
      <c r="H250">
        <v>2072359594440</v>
      </c>
      <c r="I250">
        <v>1681317589022</v>
      </c>
      <c r="J250">
        <v>1851369793483</v>
      </c>
      <c r="K250">
        <v>1625066358620</v>
      </c>
      <c r="L250">
        <v>1690564810290</v>
      </c>
      <c r="M250">
        <v>2034395839958</v>
      </c>
      <c r="N250">
        <v>1734454837485</v>
      </c>
      <c r="O250">
        <v>1710352703514</v>
      </c>
      <c r="P250">
        <v>2100738334206</v>
      </c>
      <c r="Q250">
        <v>1919765396745</v>
      </c>
      <c r="R250">
        <v>1916252745323</v>
      </c>
    </row>
    <row r="251" spans="1:18" x14ac:dyDescent="0.35">
      <c r="A251" t="s">
        <v>1938</v>
      </c>
      <c r="B251" t="s">
        <v>17</v>
      </c>
      <c r="C251">
        <v>179902922242</v>
      </c>
      <c r="D251">
        <v>627615267770</v>
      </c>
      <c r="E251">
        <v>862854766450</v>
      </c>
      <c r="F251">
        <v>470595657117</v>
      </c>
      <c r="G251">
        <v>370390620092</v>
      </c>
      <c r="H251">
        <v>185217271371</v>
      </c>
      <c r="I251">
        <v>230233787064</v>
      </c>
      <c r="J251">
        <v>262576006593</v>
      </c>
      <c r="K251">
        <v>259119731225</v>
      </c>
      <c r="L251">
        <v>235638182879</v>
      </c>
      <c r="M251">
        <v>325335483440</v>
      </c>
      <c r="N251">
        <v>279090218078</v>
      </c>
      <c r="O251">
        <v>259081996145</v>
      </c>
      <c r="P251">
        <v>676240185532</v>
      </c>
      <c r="Q251">
        <v>850661488490</v>
      </c>
      <c r="R251">
        <v>885090548022</v>
      </c>
    </row>
    <row r="252" spans="1:18" x14ac:dyDescent="0.35">
      <c r="A252" t="s">
        <v>1938</v>
      </c>
      <c r="B252" t="s">
        <v>18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8" x14ac:dyDescent="0.35">
      <c r="A253" t="s">
        <v>1938</v>
      </c>
      <c r="B253" t="s">
        <v>19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8" x14ac:dyDescent="0.35">
      <c r="A254" t="s">
        <v>1938</v>
      </c>
      <c r="B254" t="s">
        <v>20</v>
      </c>
      <c r="C254">
        <v>63424989173</v>
      </c>
      <c r="D254">
        <v>44405044167</v>
      </c>
      <c r="E254">
        <v>44405044167</v>
      </c>
      <c r="F254">
        <v>44405044167</v>
      </c>
      <c r="G254">
        <v>44405044167</v>
      </c>
      <c r="H254">
        <v>38762540000</v>
      </c>
      <c r="I254">
        <v>63062540000</v>
      </c>
      <c r="J254">
        <v>138297006986</v>
      </c>
      <c r="K254">
        <v>62180344000</v>
      </c>
      <c r="L254">
        <v>136629486986</v>
      </c>
      <c r="M254">
        <v>37455020000</v>
      </c>
      <c r="N254">
        <v>4995000000</v>
      </c>
      <c r="O254">
        <v>8284060000</v>
      </c>
      <c r="P254">
        <v>7844060000</v>
      </c>
      <c r="Q254">
        <v>9084060000</v>
      </c>
      <c r="R254">
        <v>9084060000</v>
      </c>
    </row>
    <row r="255" spans="1:18" x14ac:dyDescent="0.35">
      <c r="A255" t="s">
        <v>1938</v>
      </c>
      <c r="B255" t="s">
        <v>21</v>
      </c>
      <c r="C255">
        <v>617618561962</v>
      </c>
      <c r="D255">
        <v>640266620772</v>
      </c>
      <c r="E255">
        <v>678665496454</v>
      </c>
      <c r="F255">
        <v>609770666704</v>
      </c>
      <c r="G255">
        <v>544451912970</v>
      </c>
      <c r="H255">
        <v>524582248019</v>
      </c>
      <c r="I255">
        <v>462384367164</v>
      </c>
      <c r="J255">
        <v>550976715148</v>
      </c>
      <c r="K255">
        <v>909214880748</v>
      </c>
      <c r="L255">
        <v>862860955588</v>
      </c>
      <c r="M255">
        <v>998463752433</v>
      </c>
      <c r="N255">
        <v>996006881882</v>
      </c>
      <c r="O255">
        <v>1020474737878</v>
      </c>
      <c r="P255">
        <v>1047499143456</v>
      </c>
      <c r="Q255">
        <v>1109229258313</v>
      </c>
      <c r="R255">
        <v>1083057727817</v>
      </c>
    </row>
    <row r="256" spans="1:18" x14ac:dyDescent="0.35">
      <c r="A256" t="s">
        <v>1938</v>
      </c>
      <c r="B256" t="s">
        <v>22</v>
      </c>
      <c r="C256">
        <v>-2082345111</v>
      </c>
      <c r="D256">
        <v>-2587871891</v>
      </c>
      <c r="E256">
        <v>-4149770370</v>
      </c>
      <c r="F256">
        <v>-4049770370</v>
      </c>
      <c r="G256">
        <v>-4049770370</v>
      </c>
      <c r="H256">
        <v>-4197690370</v>
      </c>
      <c r="I256">
        <v>-4197690370</v>
      </c>
      <c r="J256">
        <v>-3878109747</v>
      </c>
      <c r="K256">
        <v>-3878109747</v>
      </c>
      <c r="L256">
        <v>-3878109747</v>
      </c>
      <c r="M256">
        <v>-3878109747</v>
      </c>
      <c r="N256">
        <v>-3878109747</v>
      </c>
      <c r="O256">
        <v>-3878109747</v>
      </c>
      <c r="P256">
        <v>-3878109747</v>
      </c>
      <c r="Q256">
        <v>-3878109747</v>
      </c>
      <c r="R256">
        <v>-3878109747</v>
      </c>
    </row>
    <row r="257" spans="1:18" x14ac:dyDescent="0.35">
      <c r="A257" t="s">
        <v>1938</v>
      </c>
      <c r="B257" t="s">
        <v>23</v>
      </c>
      <c r="C257">
        <v>77345709125</v>
      </c>
      <c r="D257">
        <v>928833415</v>
      </c>
      <c r="E257">
        <v>928833415</v>
      </c>
      <c r="F257">
        <v>928833415</v>
      </c>
      <c r="G257">
        <v>928833415</v>
      </c>
      <c r="H257">
        <v>936575914</v>
      </c>
      <c r="I257">
        <v>936575914</v>
      </c>
      <c r="J257">
        <v>1255141610</v>
      </c>
      <c r="K257">
        <v>1255141610</v>
      </c>
      <c r="L257">
        <v>1247399111</v>
      </c>
      <c r="M257">
        <v>1247399111</v>
      </c>
      <c r="N257">
        <v>1247399111</v>
      </c>
      <c r="O257">
        <v>1247399111</v>
      </c>
      <c r="P257">
        <v>1247399111</v>
      </c>
      <c r="Q257">
        <v>1247399111</v>
      </c>
      <c r="R257">
        <v>1247399111</v>
      </c>
    </row>
    <row r="258" spans="1:18" x14ac:dyDescent="0.35">
      <c r="A258" t="s">
        <v>1938</v>
      </c>
      <c r="B258" t="s">
        <v>24</v>
      </c>
      <c r="C258">
        <v>820736784609</v>
      </c>
      <c r="D258">
        <v>1025524577389</v>
      </c>
      <c r="E258">
        <v>1330568082925</v>
      </c>
      <c r="F258">
        <v>1773243175088</v>
      </c>
      <c r="G258">
        <v>1957230343622</v>
      </c>
      <c r="H258">
        <v>1710137829505</v>
      </c>
      <c r="I258">
        <v>1786068426745</v>
      </c>
      <c r="J258">
        <v>1687557487754</v>
      </c>
      <c r="K258">
        <v>1735192902579</v>
      </c>
      <c r="L258">
        <v>1674692731289</v>
      </c>
      <c r="M258">
        <v>1638533355711</v>
      </c>
      <c r="N258">
        <v>1738678234756</v>
      </c>
      <c r="O258">
        <v>1760742292466</v>
      </c>
      <c r="P258">
        <v>1681094042926</v>
      </c>
      <c r="Q258">
        <v>1678651223859</v>
      </c>
      <c r="R258">
        <v>1756003186790</v>
      </c>
    </row>
    <row r="259" spans="1:18" x14ac:dyDescent="0.35">
      <c r="A259" t="s">
        <v>1938</v>
      </c>
      <c r="B259" t="s">
        <v>25</v>
      </c>
      <c r="C259">
        <v>820736784609</v>
      </c>
      <c r="D259">
        <v>1025524577389</v>
      </c>
      <c r="E259">
        <v>1330568082925</v>
      </c>
      <c r="F259">
        <v>1773243175088</v>
      </c>
      <c r="G259">
        <v>1957230343622</v>
      </c>
      <c r="H259">
        <v>1710137829505</v>
      </c>
      <c r="I259">
        <v>1786068426745</v>
      </c>
      <c r="J259">
        <v>1687557487754</v>
      </c>
      <c r="K259">
        <v>1735192902579</v>
      </c>
      <c r="L259">
        <v>1674692731289</v>
      </c>
      <c r="M259">
        <v>1638533355711</v>
      </c>
      <c r="N259">
        <v>1738678234756</v>
      </c>
      <c r="O259">
        <v>1760742292466</v>
      </c>
      <c r="P259">
        <v>1681094042926</v>
      </c>
      <c r="Q259">
        <v>1678651223859</v>
      </c>
      <c r="R259">
        <v>1756003186790</v>
      </c>
    </row>
    <row r="260" spans="1:18" x14ac:dyDescent="0.35">
      <c r="A260" t="s">
        <v>1938</v>
      </c>
      <c r="B260" t="s">
        <v>26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8" x14ac:dyDescent="0.35">
      <c r="A261" t="s">
        <v>1938</v>
      </c>
      <c r="B261" t="s">
        <v>27</v>
      </c>
      <c r="C261">
        <v>187674470768</v>
      </c>
      <c r="D261">
        <v>168219615664</v>
      </c>
      <c r="E261">
        <v>237476650411</v>
      </c>
      <c r="F261">
        <v>357883549736</v>
      </c>
      <c r="G261">
        <v>362226907325</v>
      </c>
      <c r="H261">
        <v>246935284529</v>
      </c>
      <c r="I261">
        <v>255460263025</v>
      </c>
      <c r="J261">
        <v>246116673374</v>
      </c>
      <c r="K261">
        <v>273396763789</v>
      </c>
      <c r="L261">
        <v>258056145111</v>
      </c>
      <c r="M261">
        <v>110835539257</v>
      </c>
      <c r="N261">
        <v>131574761341</v>
      </c>
      <c r="O261">
        <v>143314874056</v>
      </c>
      <c r="P261">
        <v>93954307789</v>
      </c>
      <c r="Q261">
        <v>93049163855</v>
      </c>
      <c r="R261">
        <v>86162970149</v>
      </c>
    </row>
    <row r="262" spans="1:18" x14ac:dyDescent="0.35">
      <c r="A262" t="s">
        <v>1938</v>
      </c>
      <c r="B262" t="s">
        <v>28</v>
      </c>
      <c r="C262">
        <v>12747559120</v>
      </c>
      <c r="D262">
        <v>11779935531</v>
      </c>
      <c r="E262">
        <v>20561363689</v>
      </c>
      <c r="F262">
        <v>20902742532</v>
      </c>
      <c r="G262">
        <v>26137490452</v>
      </c>
      <c r="H262">
        <v>30842076334</v>
      </c>
      <c r="I262">
        <v>45536732128</v>
      </c>
      <c r="J262">
        <v>49933820973</v>
      </c>
      <c r="K262">
        <v>55023565060</v>
      </c>
      <c r="L262">
        <v>37914311474</v>
      </c>
      <c r="M262">
        <v>42096144056</v>
      </c>
      <c r="N262">
        <v>47132794191</v>
      </c>
      <c r="O262">
        <v>74059946324</v>
      </c>
      <c r="P262">
        <v>42486570018</v>
      </c>
      <c r="Q262">
        <v>51877819912</v>
      </c>
      <c r="R262">
        <v>54573586723</v>
      </c>
    </row>
    <row r="263" spans="1:18" x14ac:dyDescent="0.35">
      <c r="A263" t="s">
        <v>1938</v>
      </c>
      <c r="B263" t="s">
        <v>29</v>
      </c>
      <c r="C263">
        <v>30734472650</v>
      </c>
      <c r="D263">
        <v>9266398316</v>
      </c>
      <c r="E263">
        <v>69457510823</v>
      </c>
      <c r="F263">
        <v>188566593193</v>
      </c>
      <c r="G263">
        <v>180954859411</v>
      </c>
      <c r="H263">
        <v>59441477371</v>
      </c>
      <c r="I263">
        <v>83644500604</v>
      </c>
      <c r="J263">
        <v>64426062320</v>
      </c>
      <c r="K263">
        <v>86184009801</v>
      </c>
      <c r="L263">
        <v>86820229198</v>
      </c>
      <c r="M263">
        <v>67855307318</v>
      </c>
      <c r="N263">
        <v>82720195475</v>
      </c>
      <c r="O263">
        <v>68680490590</v>
      </c>
      <c r="P263">
        <v>50414494825</v>
      </c>
      <c r="Q263">
        <v>38738333543</v>
      </c>
      <c r="R263">
        <v>24953771193</v>
      </c>
    </row>
    <row r="264" spans="1:18" x14ac:dyDescent="0.35">
      <c r="A264" t="s">
        <v>1938</v>
      </c>
      <c r="B264" t="s">
        <v>30</v>
      </c>
      <c r="C264">
        <v>434478998</v>
      </c>
      <c r="D264">
        <v>3366321817</v>
      </c>
      <c r="E264">
        <v>1342617399</v>
      </c>
      <c r="F264">
        <v>657254011</v>
      </c>
      <c r="G264">
        <v>827597462</v>
      </c>
      <c r="H264">
        <v>2294770824</v>
      </c>
      <c r="I264">
        <v>1879030293</v>
      </c>
      <c r="J264">
        <v>2806790081</v>
      </c>
      <c r="K264">
        <v>2939188928</v>
      </c>
      <c r="L264">
        <v>3757604439</v>
      </c>
      <c r="M264">
        <v>884087883</v>
      </c>
      <c r="N264">
        <v>1721771675</v>
      </c>
      <c r="O264">
        <v>574437142</v>
      </c>
      <c r="P264">
        <v>1053242946</v>
      </c>
      <c r="Q264">
        <v>2433010400</v>
      </c>
      <c r="R264">
        <v>6635612233</v>
      </c>
    </row>
    <row r="265" spans="1:18" x14ac:dyDescent="0.35">
      <c r="A265" t="s">
        <v>1938</v>
      </c>
      <c r="B265" t="s">
        <v>31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8" x14ac:dyDescent="0.35">
      <c r="A266" t="s">
        <v>1938</v>
      </c>
      <c r="B266" t="s">
        <v>32</v>
      </c>
      <c r="C266">
        <v>143757960000</v>
      </c>
      <c r="D266">
        <v>143806960000</v>
      </c>
      <c r="E266">
        <v>146115158500</v>
      </c>
      <c r="F266">
        <v>147756960000</v>
      </c>
      <c r="G266">
        <v>154306960000</v>
      </c>
      <c r="H266">
        <v>154356960000</v>
      </c>
      <c r="I266">
        <v>124400000000</v>
      </c>
      <c r="J266">
        <v>128950000000</v>
      </c>
      <c r="K266">
        <v>129250000000</v>
      </c>
      <c r="L266">
        <v>129564000000</v>
      </c>
      <c r="M266">
        <v>0</v>
      </c>
      <c r="N266">
        <v>0</v>
      </c>
    </row>
    <row r="267" spans="1:18" x14ac:dyDescent="0.35">
      <c r="A267" t="s">
        <v>1938</v>
      </c>
      <c r="B267" t="s">
        <v>33</v>
      </c>
      <c r="C267">
        <v>1301973853682</v>
      </c>
      <c r="D267">
        <v>1198110017994</v>
      </c>
      <c r="E267">
        <v>1302932017084</v>
      </c>
      <c r="F267">
        <v>2152502193956</v>
      </c>
      <c r="G267">
        <v>2259008976186</v>
      </c>
      <c r="H267">
        <v>2455258839643</v>
      </c>
      <c r="I267">
        <v>2352927167059</v>
      </c>
      <c r="J267">
        <v>2700499968367</v>
      </c>
      <c r="K267">
        <v>2390401661280</v>
      </c>
      <c r="L267">
        <v>2511103260420</v>
      </c>
      <c r="M267">
        <v>2543315540557</v>
      </c>
      <c r="N267">
        <v>2512043396245</v>
      </c>
      <c r="O267">
        <v>2490880989549</v>
      </c>
      <c r="P267">
        <v>2442097673042</v>
      </c>
      <c r="Q267">
        <v>2410626218080</v>
      </c>
      <c r="R267">
        <v>2400822677090</v>
      </c>
    </row>
    <row r="268" spans="1:18" x14ac:dyDescent="0.35">
      <c r="A268" t="s">
        <v>1938</v>
      </c>
      <c r="B268" t="s">
        <v>34</v>
      </c>
      <c r="C268">
        <v>108664494394</v>
      </c>
      <c r="D268">
        <v>48082541598</v>
      </c>
      <c r="E268">
        <v>47756989869</v>
      </c>
      <c r="F268">
        <v>104478845617</v>
      </c>
      <c r="G268">
        <v>84391528291</v>
      </c>
      <c r="H268">
        <v>78144259464</v>
      </c>
      <c r="I268">
        <v>53770518120</v>
      </c>
      <c r="J268">
        <v>424319299133</v>
      </c>
      <c r="K268">
        <v>132941674528</v>
      </c>
      <c r="L268">
        <v>394063674347</v>
      </c>
      <c r="M268">
        <v>123322498528</v>
      </c>
      <c r="N268">
        <v>121742162627</v>
      </c>
      <c r="O268">
        <v>121243394460</v>
      </c>
      <c r="P268">
        <v>114880411630</v>
      </c>
      <c r="Q268">
        <v>119218813416</v>
      </c>
      <c r="R268">
        <v>121954313239</v>
      </c>
    </row>
    <row r="269" spans="1:18" x14ac:dyDescent="0.35">
      <c r="A269" t="s">
        <v>1938</v>
      </c>
      <c r="B269" t="s">
        <v>35</v>
      </c>
      <c r="C269">
        <v>118139395</v>
      </c>
      <c r="D269">
        <v>0</v>
      </c>
      <c r="E269">
        <v>0</v>
      </c>
      <c r="F269">
        <v>2602610000</v>
      </c>
      <c r="G269">
        <v>0</v>
      </c>
      <c r="H269">
        <v>0</v>
      </c>
      <c r="I269">
        <v>1878837770</v>
      </c>
      <c r="J269">
        <v>1878837770</v>
      </c>
      <c r="K269">
        <v>2602610000</v>
      </c>
      <c r="L269">
        <v>2602610000</v>
      </c>
      <c r="M269">
        <v>2602610000</v>
      </c>
      <c r="N269">
        <v>2602610000</v>
      </c>
      <c r="O269">
        <v>2602610000</v>
      </c>
      <c r="P269">
        <v>2602610000</v>
      </c>
    </row>
    <row r="270" spans="1:18" x14ac:dyDescent="0.35">
      <c r="A270" t="s">
        <v>1938</v>
      </c>
      <c r="B270" t="s">
        <v>36</v>
      </c>
      <c r="C270">
        <v>0</v>
      </c>
      <c r="D270">
        <v>105668461</v>
      </c>
      <c r="E270">
        <v>97431277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8" x14ac:dyDescent="0.35">
      <c r="A271" t="s">
        <v>1938</v>
      </c>
      <c r="B271" t="s">
        <v>37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8" x14ac:dyDescent="0.35">
      <c r="A272" t="s">
        <v>1938</v>
      </c>
      <c r="B272" t="s">
        <v>38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8" x14ac:dyDescent="0.35">
      <c r="A273" t="s">
        <v>1938</v>
      </c>
      <c r="B273" t="s">
        <v>39</v>
      </c>
      <c r="C273">
        <v>23300000000</v>
      </c>
      <c r="D273">
        <v>23300000000</v>
      </c>
      <c r="E273">
        <v>23300000000</v>
      </c>
      <c r="F273">
        <v>23300000000</v>
      </c>
      <c r="G273">
        <v>23300000000</v>
      </c>
      <c r="H273">
        <v>23300000000</v>
      </c>
      <c r="I273">
        <v>0</v>
      </c>
      <c r="J273">
        <v>0</v>
      </c>
      <c r="K273">
        <v>76234466986</v>
      </c>
      <c r="L273">
        <v>0</v>
      </c>
      <c r="M273">
        <v>99534466986</v>
      </c>
      <c r="N273">
        <v>99534466986</v>
      </c>
      <c r="O273">
        <v>99534466986</v>
      </c>
      <c r="P273">
        <v>99534466986</v>
      </c>
      <c r="Q273">
        <v>99534466986</v>
      </c>
      <c r="R273">
        <v>99534466986</v>
      </c>
    </row>
    <row r="274" spans="1:18" x14ac:dyDescent="0.35">
      <c r="A274" t="s">
        <v>1938</v>
      </c>
      <c r="B274" t="s">
        <v>40</v>
      </c>
      <c r="C274">
        <v>85246354999</v>
      </c>
      <c r="D274">
        <v>24676873137</v>
      </c>
      <c r="E274">
        <v>24359558592</v>
      </c>
      <c r="F274">
        <v>78576235617</v>
      </c>
      <c r="G274">
        <v>61091528291</v>
      </c>
      <c r="H274">
        <v>54844259464</v>
      </c>
      <c r="I274">
        <v>51891680350</v>
      </c>
      <c r="J274">
        <v>422440461363</v>
      </c>
      <c r="K274">
        <v>54104597542</v>
      </c>
      <c r="L274">
        <v>391461064347</v>
      </c>
      <c r="M274">
        <v>21185421541</v>
      </c>
      <c r="N274">
        <v>19605085641</v>
      </c>
      <c r="O274">
        <v>19106317474</v>
      </c>
      <c r="P274">
        <v>12743334644</v>
      </c>
      <c r="Q274">
        <v>19684346430</v>
      </c>
      <c r="R274">
        <v>22419846253</v>
      </c>
    </row>
    <row r="275" spans="1:18" x14ac:dyDescent="0.35">
      <c r="A275" t="s">
        <v>1938</v>
      </c>
      <c r="B275" t="s">
        <v>41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8" x14ac:dyDescent="0.35">
      <c r="A276" t="s">
        <v>1938</v>
      </c>
      <c r="B276" t="s">
        <v>42</v>
      </c>
      <c r="C276">
        <v>587838612054</v>
      </c>
      <c r="D276">
        <v>674517511500</v>
      </c>
      <c r="E276">
        <v>664797093337</v>
      </c>
      <c r="F276">
        <v>704209027812</v>
      </c>
      <c r="G276">
        <v>684423310880</v>
      </c>
      <c r="H276">
        <v>1886779012311</v>
      </c>
      <c r="I276">
        <v>1858346634045</v>
      </c>
      <c r="J276">
        <v>1838482729048</v>
      </c>
      <c r="K276">
        <v>1820900368285</v>
      </c>
      <c r="L276">
        <v>1796668993849</v>
      </c>
      <c r="M276">
        <v>1816749823895</v>
      </c>
      <c r="N276">
        <v>1793061003719</v>
      </c>
      <c r="O276">
        <v>1765162442145</v>
      </c>
      <c r="P276">
        <v>1716276085056</v>
      </c>
      <c r="Q276">
        <v>1678996705074</v>
      </c>
      <c r="R276">
        <v>1648860173052</v>
      </c>
    </row>
    <row r="277" spans="1:18" x14ac:dyDescent="0.35">
      <c r="A277" t="s">
        <v>1938</v>
      </c>
      <c r="B277" t="s">
        <v>43</v>
      </c>
      <c r="C277">
        <v>371386768241</v>
      </c>
      <c r="D277">
        <v>434786141167</v>
      </c>
      <c r="E277">
        <v>431486335874</v>
      </c>
      <c r="F277">
        <v>426767692641</v>
      </c>
      <c r="G277">
        <v>420432042567</v>
      </c>
      <c r="H277">
        <v>1632289615617</v>
      </c>
      <c r="I277">
        <v>1619530458338</v>
      </c>
      <c r="J277">
        <v>1582293325052</v>
      </c>
      <c r="K277">
        <v>1591047943074</v>
      </c>
      <c r="L277">
        <v>1552752883734</v>
      </c>
      <c r="M277">
        <v>1573145925154</v>
      </c>
      <c r="N277">
        <v>1558587517066</v>
      </c>
      <c r="O277">
        <v>1544978872029</v>
      </c>
      <c r="P277">
        <v>1543790736876</v>
      </c>
      <c r="Q277">
        <v>1504426856650</v>
      </c>
      <c r="R277">
        <v>1455890540422</v>
      </c>
    </row>
    <row r="278" spans="1:18" x14ac:dyDescent="0.35">
      <c r="A278" t="s">
        <v>1938</v>
      </c>
      <c r="B278" t="s">
        <v>44</v>
      </c>
      <c r="C278">
        <v>731093556948</v>
      </c>
      <c r="D278">
        <v>807191834160</v>
      </c>
      <c r="E278">
        <v>812488106378</v>
      </c>
      <c r="F278">
        <v>802440539188</v>
      </c>
      <c r="G278">
        <v>815703357369</v>
      </c>
      <c r="H278">
        <v>2036202116733</v>
      </c>
      <c r="I278">
        <v>2035075129639</v>
      </c>
      <c r="J278">
        <v>2019035478952</v>
      </c>
      <c r="K278">
        <v>2059443425833</v>
      </c>
      <c r="L278">
        <v>2021088456407</v>
      </c>
      <c r="M278">
        <v>2110069320986</v>
      </c>
      <c r="N278">
        <v>2119161488926</v>
      </c>
      <c r="O278">
        <v>2137753259801</v>
      </c>
      <c r="P278">
        <v>2178786544887</v>
      </c>
      <c r="Q278">
        <v>2163591499267</v>
      </c>
      <c r="R278">
        <v>2131924077889</v>
      </c>
    </row>
    <row r="279" spans="1:18" x14ac:dyDescent="0.35">
      <c r="A279" t="s">
        <v>1938</v>
      </c>
      <c r="B279" t="s">
        <v>45</v>
      </c>
      <c r="C279">
        <v>-359706788707</v>
      </c>
      <c r="D279">
        <v>-372405692993</v>
      </c>
      <c r="E279">
        <v>-381001770504</v>
      </c>
      <c r="F279">
        <v>-375672846547</v>
      </c>
      <c r="G279">
        <v>-395271314802</v>
      </c>
      <c r="H279">
        <v>-403912501116</v>
      </c>
      <c r="I279">
        <v>-415544671301</v>
      </c>
      <c r="J279">
        <v>-436742153900</v>
      </c>
      <c r="K279">
        <v>-468395482759</v>
      </c>
      <c r="L279">
        <v>-468335572673</v>
      </c>
      <c r="M279">
        <v>-536923395832</v>
      </c>
      <c r="N279">
        <v>-560573971860</v>
      </c>
      <c r="O279">
        <v>-592774387772</v>
      </c>
      <c r="P279">
        <v>-634995808011</v>
      </c>
      <c r="Q279">
        <v>-659164642617</v>
      </c>
      <c r="R279">
        <v>-676033537467</v>
      </c>
    </row>
    <row r="280" spans="1:18" x14ac:dyDescent="0.35">
      <c r="A280" t="s">
        <v>1938</v>
      </c>
      <c r="B280" t="s">
        <v>46</v>
      </c>
      <c r="C280">
        <v>162389096799</v>
      </c>
      <c r="D280">
        <v>185783319516</v>
      </c>
      <c r="E280">
        <v>181721481859</v>
      </c>
      <c r="F280">
        <v>227186812892</v>
      </c>
      <c r="G280">
        <v>215064898524</v>
      </c>
      <c r="H280">
        <v>228314685631</v>
      </c>
      <c r="I280">
        <v>213182457887</v>
      </c>
      <c r="J280">
        <v>231667017718</v>
      </c>
      <c r="K280">
        <v>206650691776</v>
      </c>
      <c r="L280">
        <v>214376785317</v>
      </c>
      <c r="M280">
        <v>215345810918</v>
      </c>
      <c r="N280">
        <v>207508253196</v>
      </c>
      <c r="O280">
        <v>193593597128</v>
      </c>
      <c r="P280">
        <v>147226189085</v>
      </c>
      <c r="Q280">
        <v>150629268244</v>
      </c>
      <c r="R280">
        <v>168426362523</v>
      </c>
    </row>
    <row r="281" spans="1:18" x14ac:dyDescent="0.35">
      <c r="A281" t="s">
        <v>1938</v>
      </c>
      <c r="B281" t="s">
        <v>44</v>
      </c>
      <c r="C281">
        <v>194436010491</v>
      </c>
      <c r="D281">
        <v>213661288028</v>
      </c>
      <c r="E281">
        <v>213661288028</v>
      </c>
      <c r="F281">
        <v>253568272127</v>
      </c>
      <c r="G281">
        <v>243568272127</v>
      </c>
      <c r="H281">
        <v>262507159627</v>
      </c>
      <c r="I281">
        <v>251059038377</v>
      </c>
      <c r="J281">
        <v>274734415451</v>
      </c>
      <c r="K281">
        <v>248855851209</v>
      </c>
      <c r="L281">
        <v>259091987190</v>
      </c>
      <c r="M281">
        <v>266783695452</v>
      </c>
      <c r="N281">
        <v>265627700397</v>
      </c>
      <c r="O281">
        <v>255173154943</v>
      </c>
      <c r="P281">
        <v>196098527379</v>
      </c>
      <c r="Q281">
        <v>198709688420</v>
      </c>
      <c r="R281">
        <v>203540681238</v>
      </c>
    </row>
    <row r="282" spans="1:18" x14ac:dyDescent="0.35">
      <c r="A282" t="s">
        <v>1938</v>
      </c>
      <c r="B282" t="s">
        <v>45</v>
      </c>
      <c r="C282">
        <v>-32046913692</v>
      </c>
      <c r="D282">
        <v>-27877968512</v>
      </c>
      <c r="E282">
        <v>-31939806169</v>
      </c>
      <c r="F282">
        <v>-26381459235</v>
      </c>
      <c r="G282">
        <v>-28503373603</v>
      </c>
      <c r="H282">
        <v>-34192473996</v>
      </c>
      <c r="I282">
        <v>-37876580490</v>
      </c>
      <c r="J282">
        <v>-43067397733</v>
      </c>
      <c r="K282">
        <v>-42205159433</v>
      </c>
      <c r="L282">
        <v>-44715201873</v>
      </c>
      <c r="M282">
        <v>-51437884534</v>
      </c>
      <c r="N282">
        <v>-58119447201</v>
      </c>
      <c r="O282">
        <v>-61579557815</v>
      </c>
      <c r="P282">
        <v>-48872338294</v>
      </c>
      <c r="Q282">
        <v>-48080420176</v>
      </c>
      <c r="R282">
        <v>-35114318715</v>
      </c>
    </row>
    <row r="283" spans="1:18" x14ac:dyDescent="0.35">
      <c r="A283" t="s">
        <v>1938</v>
      </c>
      <c r="B283" t="s">
        <v>47</v>
      </c>
      <c r="C283">
        <v>54062747014</v>
      </c>
      <c r="D283">
        <v>53948050817</v>
      </c>
      <c r="E283">
        <v>51589275604</v>
      </c>
      <c r="F283">
        <v>50254522279</v>
      </c>
      <c r="G283">
        <v>48926369789</v>
      </c>
      <c r="H283">
        <v>26174711063</v>
      </c>
      <c r="I283">
        <v>25633717820</v>
      </c>
      <c r="J283">
        <v>24522386278</v>
      </c>
      <c r="K283">
        <v>23201733435</v>
      </c>
      <c r="L283">
        <v>29539324797</v>
      </c>
      <c r="M283">
        <v>28258087823</v>
      </c>
      <c r="N283">
        <v>26965233457</v>
      </c>
      <c r="O283">
        <v>26589972988</v>
      </c>
      <c r="P283">
        <v>25259159095</v>
      </c>
      <c r="Q283">
        <v>23940580180</v>
      </c>
      <c r="R283">
        <v>24543270107</v>
      </c>
    </row>
    <row r="284" spans="1:18" x14ac:dyDescent="0.35">
      <c r="A284" t="s">
        <v>1938</v>
      </c>
      <c r="B284" t="s">
        <v>44</v>
      </c>
      <c r="C284">
        <v>71997793875</v>
      </c>
      <c r="D284">
        <v>71997793875</v>
      </c>
      <c r="E284">
        <v>72085793875</v>
      </c>
      <c r="F284">
        <v>72085793875</v>
      </c>
      <c r="G284">
        <v>72085793875</v>
      </c>
      <c r="H284">
        <v>48459475815</v>
      </c>
      <c r="I284">
        <v>49027973703</v>
      </c>
      <c r="J284">
        <v>49105782119</v>
      </c>
      <c r="K284">
        <v>49252422119</v>
      </c>
      <c r="L284">
        <v>56938438542</v>
      </c>
      <c r="M284">
        <v>57094438542</v>
      </c>
      <c r="N284">
        <v>57094438542</v>
      </c>
      <c r="O284">
        <v>58030438542</v>
      </c>
      <c r="P284">
        <v>58030438542</v>
      </c>
      <c r="Q284">
        <v>58030438542</v>
      </c>
      <c r="R284">
        <v>59987213840</v>
      </c>
    </row>
    <row r="285" spans="1:18" x14ac:dyDescent="0.35">
      <c r="A285" t="s">
        <v>1938</v>
      </c>
      <c r="B285" t="s">
        <v>45</v>
      </c>
      <c r="C285">
        <v>-17935046861</v>
      </c>
      <c r="D285">
        <v>-18049743058</v>
      </c>
      <c r="E285">
        <v>-20496518271</v>
      </c>
      <c r="F285">
        <v>-21831271596</v>
      </c>
      <c r="G285">
        <v>-23159424086</v>
      </c>
      <c r="H285">
        <v>-22284764752</v>
      </c>
      <c r="I285">
        <v>-23394255883</v>
      </c>
      <c r="J285">
        <v>-24583395841</v>
      </c>
      <c r="K285">
        <v>-26050688684</v>
      </c>
      <c r="L285">
        <v>-27399113745</v>
      </c>
      <c r="M285">
        <v>-28836350719</v>
      </c>
      <c r="N285">
        <v>-30129205085</v>
      </c>
      <c r="O285">
        <v>-31440465554</v>
      </c>
      <c r="P285">
        <v>-32771279447</v>
      </c>
      <c r="Q285">
        <v>-34089858362</v>
      </c>
      <c r="R285">
        <v>-35443943733</v>
      </c>
    </row>
    <row r="286" spans="1:18" x14ac:dyDescent="0.35">
      <c r="A286" t="s">
        <v>1938</v>
      </c>
      <c r="B286" t="s">
        <v>48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8" x14ac:dyDescent="0.35">
      <c r="A287" t="s">
        <v>1938</v>
      </c>
      <c r="B287" t="s">
        <v>44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8" x14ac:dyDescent="0.35">
      <c r="A288" t="s">
        <v>1938</v>
      </c>
      <c r="B288" t="s">
        <v>45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8" x14ac:dyDescent="0.35">
      <c r="A289" t="s">
        <v>1938</v>
      </c>
      <c r="B289" t="s">
        <v>49</v>
      </c>
      <c r="C289">
        <v>49119310606</v>
      </c>
      <c r="D289">
        <v>45205534272</v>
      </c>
      <c r="E289">
        <v>162117912381</v>
      </c>
      <c r="F289">
        <v>887828841462</v>
      </c>
      <c r="G289">
        <v>1051072005918</v>
      </c>
      <c r="H289">
        <v>26965662452</v>
      </c>
      <c r="I289">
        <v>25944338070</v>
      </c>
      <c r="J289">
        <v>26327122648</v>
      </c>
      <c r="K289">
        <v>28339176910</v>
      </c>
      <c r="L289">
        <v>36595250798</v>
      </c>
      <c r="M289">
        <v>45404581177</v>
      </c>
      <c r="N289">
        <v>47113097366</v>
      </c>
      <c r="O289">
        <v>51008875492</v>
      </c>
      <c r="P289">
        <v>55179721190</v>
      </c>
      <c r="Q289">
        <v>57593472486</v>
      </c>
      <c r="R289">
        <v>59738330700</v>
      </c>
    </row>
    <row r="290" spans="1:18" x14ac:dyDescent="0.35">
      <c r="A290" t="s">
        <v>1938</v>
      </c>
      <c r="B290" t="s">
        <v>50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8900000000</v>
      </c>
      <c r="M290">
        <v>9359898218</v>
      </c>
      <c r="N290">
        <v>17397520957</v>
      </c>
      <c r="O290">
        <v>21885235665</v>
      </c>
      <c r="P290">
        <v>24535632637</v>
      </c>
      <c r="Q290">
        <v>26881055847</v>
      </c>
      <c r="R290">
        <v>32494408225</v>
      </c>
    </row>
    <row r="291" spans="1:18" x14ac:dyDescent="0.35">
      <c r="A291" t="s">
        <v>1938</v>
      </c>
      <c r="B291" t="s">
        <v>51</v>
      </c>
      <c r="C291">
        <v>49119310606</v>
      </c>
      <c r="D291">
        <v>45205534272</v>
      </c>
      <c r="E291">
        <v>162117912381</v>
      </c>
      <c r="F291">
        <v>887828841462</v>
      </c>
      <c r="G291">
        <v>1051072005918</v>
      </c>
      <c r="H291">
        <v>26965662452</v>
      </c>
      <c r="I291">
        <v>25944338070</v>
      </c>
      <c r="J291">
        <v>26327122648</v>
      </c>
      <c r="K291">
        <v>28339176910</v>
      </c>
      <c r="L291">
        <v>27695250798</v>
      </c>
      <c r="M291">
        <v>36044682959</v>
      </c>
      <c r="N291">
        <v>29715576409</v>
      </c>
      <c r="O291">
        <v>29123639827</v>
      </c>
      <c r="P291">
        <v>30644088553</v>
      </c>
      <c r="Q291">
        <v>30712416639</v>
      </c>
      <c r="R291">
        <v>27243922475</v>
      </c>
    </row>
    <row r="292" spans="1:18" x14ac:dyDescent="0.35">
      <c r="A292" t="s">
        <v>1938</v>
      </c>
      <c r="B292" t="s">
        <v>52</v>
      </c>
      <c r="C292">
        <v>490443816009</v>
      </c>
      <c r="D292">
        <v>303763816009</v>
      </c>
      <c r="E292">
        <v>304763816009</v>
      </c>
      <c r="F292">
        <v>304763816009</v>
      </c>
      <c r="G292">
        <v>296144834759</v>
      </c>
      <c r="H292">
        <v>292205863439</v>
      </c>
      <c r="I292">
        <v>250943205015</v>
      </c>
      <c r="J292">
        <v>252815741947</v>
      </c>
      <c r="K292">
        <v>253729674947</v>
      </c>
      <c r="L292">
        <v>119686444649</v>
      </c>
      <c r="M292">
        <v>394131444649</v>
      </c>
      <c r="N292">
        <v>394121444649</v>
      </c>
      <c r="O292">
        <v>403873444648</v>
      </c>
      <c r="P292">
        <v>412916605648</v>
      </c>
      <c r="Q292">
        <v>413963405648</v>
      </c>
      <c r="R292">
        <v>430612177424</v>
      </c>
    </row>
    <row r="293" spans="1:18" x14ac:dyDescent="0.35">
      <c r="A293" t="s">
        <v>1938</v>
      </c>
      <c r="B293" t="s">
        <v>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8" x14ac:dyDescent="0.35">
      <c r="A294" t="s">
        <v>1938</v>
      </c>
      <c r="B294" t="s">
        <v>54</v>
      </c>
      <c r="C294">
        <v>375313242500</v>
      </c>
      <c r="D294">
        <v>188633242500</v>
      </c>
      <c r="E294">
        <v>188633242500</v>
      </c>
      <c r="F294">
        <v>188633242500</v>
      </c>
      <c r="G294">
        <v>188633242500</v>
      </c>
      <c r="H294">
        <v>188633242500</v>
      </c>
      <c r="I294">
        <v>188633242500</v>
      </c>
      <c r="J294">
        <v>164143242500</v>
      </c>
      <c r="K294">
        <v>188633242500</v>
      </c>
      <c r="L294">
        <v>54741403202</v>
      </c>
      <c r="M294">
        <v>329186403202</v>
      </c>
      <c r="N294">
        <v>329176403202</v>
      </c>
      <c r="O294">
        <v>329176403201</v>
      </c>
      <c r="P294">
        <v>329176403201</v>
      </c>
      <c r="Q294">
        <v>329176403201</v>
      </c>
      <c r="R294">
        <v>346225174977</v>
      </c>
    </row>
    <row r="295" spans="1:18" x14ac:dyDescent="0.35">
      <c r="A295" t="s">
        <v>1938</v>
      </c>
      <c r="B295" t="s">
        <v>55</v>
      </c>
      <c r="C295">
        <v>114630573509</v>
      </c>
      <c r="D295">
        <v>114630573509</v>
      </c>
      <c r="E295">
        <v>114630573509</v>
      </c>
      <c r="F295">
        <v>114630573509</v>
      </c>
      <c r="G295">
        <v>106011592259</v>
      </c>
      <c r="H295">
        <v>102072620939</v>
      </c>
      <c r="I295">
        <v>60809962515</v>
      </c>
      <c r="J295">
        <v>87172499447</v>
      </c>
      <c r="K295">
        <v>60810027447</v>
      </c>
      <c r="L295">
        <v>60810027447</v>
      </c>
      <c r="M295">
        <v>60810027447</v>
      </c>
      <c r="N295">
        <v>60810027447</v>
      </c>
      <c r="O295">
        <v>70810027447</v>
      </c>
      <c r="P295">
        <v>80810027447</v>
      </c>
      <c r="Q295">
        <v>80810027447</v>
      </c>
      <c r="R295">
        <v>80810027447</v>
      </c>
    </row>
    <row r="296" spans="1:18" x14ac:dyDescent="0.35">
      <c r="A296" t="s">
        <v>1938</v>
      </c>
      <c r="B296" t="s">
        <v>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8" x14ac:dyDescent="0.35">
      <c r="A297" t="s">
        <v>1938</v>
      </c>
      <c r="B297" t="s">
        <v>57</v>
      </c>
      <c r="C297">
        <v>500000000</v>
      </c>
      <c r="D297">
        <v>500000000</v>
      </c>
      <c r="E297">
        <v>1500000000</v>
      </c>
      <c r="F297">
        <v>1500000000</v>
      </c>
      <c r="G297">
        <v>1500000000</v>
      </c>
      <c r="H297">
        <v>1500000000</v>
      </c>
      <c r="I297">
        <v>1500000000</v>
      </c>
      <c r="J297">
        <v>1500000000</v>
      </c>
      <c r="K297">
        <v>4286405000</v>
      </c>
      <c r="L297">
        <v>4135014000</v>
      </c>
      <c r="M297">
        <v>4135014000</v>
      </c>
      <c r="N297">
        <v>4135014000</v>
      </c>
      <c r="O297">
        <v>3887014000</v>
      </c>
      <c r="P297">
        <v>2930175000</v>
      </c>
      <c r="Q297">
        <v>3976975000</v>
      </c>
      <c r="R297">
        <v>3576975000</v>
      </c>
    </row>
    <row r="298" spans="1:18" x14ac:dyDescent="0.35">
      <c r="A298" t="s">
        <v>1938</v>
      </c>
      <c r="B298" t="s">
        <v>58</v>
      </c>
      <c r="C298">
        <v>65907620619</v>
      </c>
      <c r="D298">
        <v>126540614615</v>
      </c>
      <c r="E298">
        <v>123496205488</v>
      </c>
      <c r="F298">
        <v>151221663056</v>
      </c>
      <c r="G298">
        <v>142977296338</v>
      </c>
      <c r="H298">
        <v>171164041977</v>
      </c>
      <c r="I298">
        <v>163922471809</v>
      </c>
      <c r="J298">
        <v>158555075591</v>
      </c>
      <c r="K298">
        <v>154490766610</v>
      </c>
      <c r="L298">
        <v>0</v>
      </c>
      <c r="M298">
        <v>163707192308</v>
      </c>
      <c r="N298">
        <v>156005687884</v>
      </c>
      <c r="O298">
        <v>149592832804</v>
      </c>
      <c r="P298">
        <v>142844849518</v>
      </c>
      <c r="Q298">
        <v>140853821456</v>
      </c>
      <c r="R298">
        <v>139657682675</v>
      </c>
    </row>
    <row r="299" spans="1:18" x14ac:dyDescent="0.35">
      <c r="A299" t="s">
        <v>1938</v>
      </c>
      <c r="B299" t="s">
        <v>59</v>
      </c>
      <c r="C299">
        <v>64910129058</v>
      </c>
      <c r="D299">
        <v>74136456088</v>
      </c>
      <c r="E299">
        <v>72179495052</v>
      </c>
      <c r="F299">
        <v>91778331054</v>
      </c>
      <c r="G299">
        <v>85274319288</v>
      </c>
      <c r="H299">
        <v>111087432114</v>
      </c>
      <c r="I299">
        <v>105663383672</v>
      </c>
      <c r="J299">
        <v>102067850569</v>
      </c>
      <c r="K299">
        <v>99894264672</v>
      </c>
      <c r="L299">
        <v>109426552824</v>
      </c>
      <c r="M299">
        <v>108899076178</v>
      </c>
      <c r="N299">
        <v>103008854525</v>
      </c>
      <c r="O299">
        <v>98414163500</v>
      </c>
      <c r="P299">
        <v>93120646365</v>
      </c>
      <c r="Q299">
        <v>93282998979</v>
      </c>
      <c r="R299">
        <v>95902063797</v>
      </c>
    </row>
    <row r="300" spans="1:18" x14ac:dyDescent="0.35">
      <c r="A300" t="s">
        <v>1938</v>
      </c>
      <c r="B300" t="s">
        <v>60</v>
      </c>
      <c r="C300">
        <v>263391526</v>
      </c>
      <c r="D300">
        <v>252516242</v>
      </c>
      <c r="E300">
        <v>360518561</v>
      </c>
      <c r="F300">
        <v>377366370</v>
      </c>
      <c r="G300">
        <v>383323508</v>
      </c>
      <c r="H300">
        <v>361549881</v>
      </c>
      <c r="I300">
        <v>344197464</v>
      </c>
      <c r="J300">
        <v>372503658</v>
      </c>
      <c r="K300">
        <v>281949883</v>
      </c>
      <c r="L300">
        <v>2147961207</v>
      </c>
      <c r="M300">
        <v>1815345837</v>
      </c>
      <c r="N300">
        <v>1869333833</v>
      </c>
      <c r="O300">
        <v>1916440544</v>
      </c>
      <c r="P300">
        <v>1696473725</v>
      </c>
      <c r="Q300">
        <v>2075285251</v>
      </c>
      <c r="R300">
        <v>2075942419</v>
      </c>
    </row>
    <row r="301" spans="1:18" x14ac:dyDescent="0.35">
      <c r="A301" t="s">
        <v>1938</v>
      </c>
      <c r="B301" t="s">
        <v>61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P301">
        <v>669331435</v>
      </c>
    </row>
    <row r="302" spans="1:18" x14ac:dyDescent="0.35">
      <c r="A302" t="s">
        <v>1938</v>
      </c>
      <c r="B302" t="s">
        <v>62</v>
      </c>
      <c r="C302">
        <v>28749007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8" x14ac:dyDescent="0.35">
      <c r="A303" t="s">
        <v>1938</v>
      </c>
      <c r="B303" t="s">
        <v>63</v>
      </c>
      <c r="C303">
        <v>705351028</v>
      </c>
      <c r="D303">
        <v>52151642285</v>
      </c>
      <c r="E303">
        <v>50956191875</v>
      </c>
      <c r="F303">
        <v>59065965632</v>
      </c>
      <c r="G303">
        <v>57319653542</v>
      </c>
      <c r="H303">
        <v>59715059982</v>
      </c>
      <c r="I303">
        <v>57914890673</v>
      </c>
      <c r="J303">
        <v>56114721364</v>
      </c>
      <c r="K303">
        <v>54314552055</v>
      </c>
      <c r="L303">
        <v>52514382746</v>
      </c>
      <c r="M303">
        <v>52992770294</v>
      </c>
      <c r="N303">
        <v>51127499527</v>
      </c>
      <c r="O303">
        <v>49262228760</v>
      </c>
      <c r="P303">
        <v>47358397993</v>
      </c>
      <c r="Q303">
        <v>45495537226</v>
      </c>
      <c r="R303">
        <v>41679676459</v>
      </c>
    </row>
    <row r="304" spans="1:18" x14ac:dyDescent="0.35">
      <c r="A304" t="s">
        <v>1938</v>
      </c>
      <c r="B304" t="s">
        <v>64</v>
      </c>
      <c r="C304">
        <v>6295691100158</v>
      </c>
      <c r="D304">
        <v>6771790162131</v>
      </c>
      <c r="E304">
        <v>7131468782846</v>
      </c>
      <c r="F304">
        <v>7840137930999</v>
      </c>
      <c r="G304">
        <v>7599523728873</v>
      </c>
      <c r="H304">
        <v>7598028266732</v>
      </c>
      <c r="I304">
        <v>7135020667421</v>
      </c>
      <c r="J304">
        <v>7774631618581</v>
      </c>
      <c r="K304">
        <v>7528792772612</v>
      </c>
      <c r="L304">
        <v>7566165107565</v>
      </c>
      <c r="M304">
        <v>7872424428989</v>
      </c>
      <c r="N304">
        <v>7681663295894</v>
      </c>
      <c r="O304">
        <v>7631421789760</v>
      </c>
      <c r="P304">
        <v>8773337827830</v>
      </c>
      <c r="Q304">
        <v>8472135184174</v>
      </c>
      <c r="R304">
        <v>8516900216166</v>
      </c>
    </row>
    <row r="305" spans="1:18" x14ac:dyDescent="0.35">
      <c r="A305" t="s">
        <v>1938</v>
      </c>
      <c r="B305" t="s">
        <v>65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8" x14ac:dyDescent="0.35">
      <c r="A306" t="s">
        <v>1938</v>
      </c>
      <c r="B306" t="s">
        <v>66</v>
      </c>
      <c r="C306">
        <v>3819089273864</v>
      </c>
      <c r="D306">
        <v>4269323806403</v>
      </c>
      <c r="E306">
        <v>4594336104471</v>
      </c>
      <c r="F306">
        <v>5307814786465</v>
      </c>
      <c r="G306">
        <v>5033352568070</v>
      </c>
      <c r="H306">
        <v>4594175218785</v>
      </c>
      <c r="I306">
        <v>4206847402139</v>
      </c>
      <c r="J306">
        <v>4361728156278</v>
      </c>
      <c r="K306">
        <v>4127999568652</v>
      </c>
      <c r="L306">
        <v>4102855695185</v>
      </c>
      <c r="M306">
        <v>4376996586516</v>
      </c>
      <c r="N306">
        <v>4279718186494</v>
      </c>
      <c r="O306">
        <v>4223616540752</v>
      </c>
      <c r="P306">
        <v>5413158432936</v>
      </c>
      <c r="Q306">
        <v>5108938763246</v>
      </c>
      <c r="R306">
        <v>5176841009705</v>
      </c>
    </row>
    <row r="307" spans="1:18" x14ac:dyDescent="0.35">
      <c r="A307" t="s">
        <v>1938</v>
      </c>
      <c r="B307" t="s">
        <v>67</v>
      </c>
      <c r="C307">
        <v>3486862258470</v>
      </c>
      <c r="D307">
        <v>3850118993754</v>
      </c>
      <c r="E307">
        <v>3933868792572</v>
      </c>
      <c r="F307">
        <v>4378469413298</v>
      </c>
      <c r="G307">
        <v>3887796001379</v>
      </c>
      <c r="H307">
        <v>3373333892056</v>
      </c>
      <c r="I307">
        <v>3046640177534</v>
      </c>
      <c r="J307">
        <v>3155257680021</v>
      </c>
      <c r="K307">
        <v>2807735214520</v>
      </c>
      <c r="L307">
        <v>2957203396338</v>
      </c>
      <c r="M307">
        <v>3204791628339</v>
      </c>
      <c r="N307">
        <v>3315475545182</v>
      </c>
      <c r="O307">
        <v>3291203196899</v>
      </c>
      <c r="P307">
        <v>4390506099851</v>
      </c>
      <c r="Q307">
        <v>4186334144639</v>
      </c>
      <c r="R307">
        <v>4239608468465</v>
      </c>
    </row>
    <row r="308" spans="1:18" x14ac:dyDescent="0.35">
      <c r="A308" t="s">
        <v>1938</v>
      </c>
      <c r="B308" t="s">
        <v>68</v>
      </c>
      <c r="C308">
        <v>885580973927</v>
      </c>
      <c r="D308">
        <v>1044257735531</v>
      </c>
      <c r="E308">
        <v>974833212920</v>
      </c>
      <c r="F308">
        <v>1432206179450</v>
      </c>
      <c r="G308">
        <v>1184246769680</v>
      </c>
      <c r="H308">
        <v>1061116902957</v>
      </c>
      <c r="I308">
        <v>833237727562</v>
      </c>
      <c r="J308">
        <v>753716224158</v>
      </c>
      <c r="K308">
        <v>656804322943</v>
      </c>
      <c r="L308">
        <v>716455218743</v>
      </c>
      <c r="M308">
        <v>697194388859</v>
      </c>
      <c r="N308">
        <v>652205824318</v>
      </c>
      <c r="O308">
        <v>658950322478</v>
      </c>
      <c r="P308">
        <v>790697449381</v>
      </c>
      <c r="Q308">
        <v>690886205487</v>
      </c>
      <c r="R308">
        <v>942322537935</v>
      </c>
    </row>
    <row r="309" spans="1:18" x14ac:dyDescent="0.35">
      <c r="A309" t="s">
        <v>1938</v>
      </c>
      <c r="B309" t="s">
        <v>69</v>
      </c>
      <c r="C309">
        <v>253445100895</v>
      </c>
      <c r="D309">
        <v>328729407244</v>
      </c>
      <c r="E309">
        <v>345338250433</v>
      </c>
      <c r="F309">
        <v>413228743304</v>
      </c>
      <c r="G309">
        <v>365084914232</v>
      </c>
      <c r="H309">
        <v>366360678931</v>
      </c>
      <c r="I309">
        <v>456804652994</v>
      </c>
      <c r="J309">
        <v>447566203042</v>
      </c>
      <c r="K309">
        <v>366601068400</v>
      </c>
      <c r="L309">
        <v>286768256420</v>
      </c>
      <c r="M309">
        <v>270249037332</v>
      </c>
      <c r="N309">
        <v>252681749694</v>
      </c>
      <c r="O309">
        <v>232301056179</v>
      </c>
      <c r="P309">
        <v>1154306504672</v>
      </c>
      <c r="Q309">
        <v>1089877940301</v>
      </c>
      <c r="R309">
        <v>833442733216</v>
      </c>
    </row>
    <row r="310" spans="1:18" x14ac:dyDescent="0.35">
      <c r="A310" t="s">
        <v>1938</v>
      </c>
      <c r="B310" t="s">
        <v>70</v>
      </c>
      <c r="C310">
        <v>118793174356</v>
      </c>
      <c r="D310">
        <v>128963885064</v>
      </c>
      <c r="E310">
        <v>127296649161</v>
      </c>
      <c r="F310">
        <v>111463257591</v>
      </c>
      <c r="G310">
        <v>84422567776</v>
      </c>
      <c r="H310">
        <v>49488752302</v>
      </c>
      <c r="I310">
        <v>45547758901</v>
      </c>
      <c r="J310">
        <v>37730280753</v>
      </c>
      <c r="K310">
        <v>28640433421</v>
      </c>
      <c r="L310">
        <v>58506223700</v>
      </c>
      <c r="M310">
        <v>60068227418</v>
      </c>
      <c r="N310">
        <v>40688841167</v>
      </c>
      <c r="O310">
        <v>38793046621</v>
      </c>
      <c r="P310">
        <v>59616280342</v>
      </c>
      <c r="Q310">
        <v>46807627466</v>
      </c>
      <c r="R310">
        <v>38449393089</v>
      </c>
    </row>
    <row r="311" spans="1:18" x14ac:dyDescent="0.35">
      <c r="A311" t="s">
        <v>1938</v>
      </c>
      <c r="B311" t="s">
        <v>71</v>
      </c>
      <c r="C311">
        <v>27850681050</v>
      </c>
      <c r="D311">
        <v>29422355708</v>
      </c>
      <c r="E311">
        <v>28425903276</v>
      </c>
      <c r="F311">
        <v>25552383188</v>
      </c>
      <c r="G311">
        <v>24994917576</v>
      </c>
      <c r="H311">
        <v>37127166324</v>
      </c>
      <c r="I311">
        <v>22336809464</v>
      </c>
      <c r="J311">
        <v>22334214240</v>
      </c>
      <c r="K311">
        <v>21502522987</v>
      </c>
      <c r="L311">
        <v>42901741317</v>
      </c>
      <c r="M311">
        <v>24130354777</v>
      </c>
      <c r="N311">
        <v>23230135540</v>
      </c>
      <c r="O311">
        <v>26484510543</v>
      </c>
      <c r="P311">
        <v>36541681151</v>
      </c>
      <c r="Q311">
        <v>23322426072</v>
      </c>
      <c r="R311">
        <v>24241483455</v>
      </c>
    </row>
    <row r="312" spans="1:18" x14ac:dyDescent="0.35">
      <c r="A312" t="s">
        <v>1938</v>
      </c>
      <c r="B312" t="s">
        <v>72</v>
      </c>
      <c r="C312">
        <v>818136011964</v>
      </c>
      <c r="D312">
        <v>995690070493</v>
      </c>
      <c r="E312">
        <v>740610100706</v>
      </c>
      <c r="F312">
        <v>560197333159</v>
      </c>
      <c r="G312">
        <v>450178184256</v>
      </c>
      <c r="H312">
        <v>460826928030</v>
      </c>
      <c r="I312">
        <v>312495331539</v>
      </c>
      <c r="J312">
        <v>313737322729</v>
      </c>
      <c r="K312">
        <v>219128695202</v>
      </c>
      <c r="L312">
        <v>151315139891</v>
      </c>
      <c r="M312">
        <v>184077588606</v>
      </c>
      <c r="N312">
        <v>205323630564</v>
      </c>
      <c r="O312">
        <v>239789045922</v>
      </c>
      <c r="P312">
        <v>270328623012</v>
      </c>
      <c r="Q312">
        <v>308685211435</v>
      </c>
      <c r="R312">
        <v>205365250678</v>
      </c>
    </row>
    <row r="313" spans="1:18" x14ac:dyDescent="0.35">
      <c r="A313" t="s">
        <v>1938</v>
      </c>
      <c r="B313" t="s">
        <v>73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8" x14ac:dyDescent="0.35">
      <c r="A314" t="s">
        <v>1938</v>
      </c>
      <c r="B314" t="s">
        <v>74</v>
      </c>
      <c r="C314">
        <v>0</v>
      </c>
      <c r="D314">
        <v>0</v>
      </c>
      <c r="E314">
        <v>2358356298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8" x14ac:dyDescent="0.35">
      <c r="A315" t="s">
        <v>1938</v>
      </c>
      <c r="B315" t="s">
        <v>75</v>
      </c>
      <c r="C315">
        <v>57184529</v>
      </c>
      <c r="D315">
        <v>0</v>
      </c>
      <c r="E315">
        <v>48386909</v>
      </c>
      <c r="F315">
        <v>43988099</v>
      </c>
      <c r="G315">
        <v>39589289</v>
      </c>
      <c r="H315">
        <v>35190479</v>
      </c>
      <c r="I315">
        <v>35190479</v>
      </c>
      <c r="J315">
        <v>26392859</v>
      </c>
      <c r="K315">
        <v>21994049</v>
      </c>
      <c r="L315">
        <v>17595239</v>
      </c>
      <c r="M315">
        <v>13196429</v>
      </c>
      <c r="N315">
        <v>1679306277</v>
      </c>
      <c r="O315">
        <v>3133589108</v>
      </c>
    </row>
    <row r="316" spans="1:18" x14ac:dyDescent="0.35">
      <c r="A316" t="s">
        <v>1938</v>
      </c>
      <c r="B316" t="s">
        <v>76</v>
      </c>
      <c r="C316">
        <v>241746959031</v>
      </c>
      <c r="D316">
        <v>136335129384</v>
      </c>
      <c r="E316">
        <v>140240614965</v>
      </c>
      <c r="F316">
        <v>143164959043</v>
      </c>
      <c r="G316">
        <v>145519979397</v>
      </c>
      <c r="H316">
        <v>78031269292</v>
      </c>
      <c r="I316">
        <v>77215355242</v>
      </c>
      <c r="J316">
        <v>89312517355</v>
      </c>
      <c r="K316">
        <v>95461537200</v>
      </c>
      <c r="L316">
        <v>129497500046</v>
      </c>
      <c r="M316">
        <v>71257398896</v>
      </c>
      <c r="N316">
        <v>111945078204</v>
      </c>
      <c r="O316">
        <v>111385235977</v>
      </c>
      <c r="P316">
        <v>117772192574</v>
      </c>
      <c r="Q316">
        <v>102059588827</v>
      </c>
      <c r="R316">
        <v>102564697291</v>
      </c>
    </row>
    <row r="317" spans="1:18" x14ac:dyDescent="0.35">
      <c r="A317" t="s">
        <v>1938</v>
      </c>
      <c r="B317" t="s">
        <v>77</v>
      </c>
      <c r="C317">
        <v>1132731160935</v>
      </c>
      <c r="D317">
        <v>1179438520059</v>
      </c>
      <c r="E317">
        <v>1566169290767</v>
      </c>
      <c r="F317">
        <v>1682811520187</v>
      </c>
      <c r="G317">
        <v>1623918633306</v>
      </c>
      <c r="H317">
        <v>1311221024084</v>
      </c>
      <c r="I317">
        <v>1289935268560</v>
      </c>
      <c r="J317">
        <v>1480744587568</v>
      </c>
      <c r="K317">
        <v>1410614034688</v>
      </c>
      <c r="L317">
        <v>1563932756288</v>
      </c>
      <c r="M317">
        <v>1891187735433</v>
      </c>
      <c r="N317">
        <v>2018226123738</v>
      </c>
      <c r="O317">
        <v>1971164869576</v>
      </c>
      <c r="P317">
        <v>1952189413224</v>
      </c>
      <c r="Q317">
        <v>1916129369136</v>
      </c>
      <c r="R317">
        <v>2083993339769</v>
      </c>
    </row>
    <row r="318" spans="1:18" x14ac:dyDescent="0.35">
      <c r="A318" t="s">
        <v>1938</v>
      </c>
      <c r="B318" t="s">
        <v>78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8" x14ac:dyDescent="0.35">
      <c r="A319" t="s">
        <v>1938</v>
      </c>
      <c r="B319" t="s">
        <v>79</v>
      </c>
      <c r="C319">
        <v>8521011783</v>
      </c>
      <c r="D319">
        <v>7281890271</v>
      </c>
      <c r="E319">
        <v>8548027137</v>
      </c>
      <c r="F319">
        <v>9801049277</v>
      </c>
      <c r="G319">
        <v>9390445867</v>
      </c>
      <c r="H319">
        <v>9125979657</v>
      </c>
      <c r="I319">
        <v>9032082793</v>
      </c>
      <c r="J319">
        <v>10089937317</v>
      </c>
      <c r="K319">
        <v>8960605630</v>
      </c>
      <c r="L319">
        <v>7808964694</v>
      </c>
      <c r="M319">
        <v>6613700589</v>
      </c>
      <c r="N319">
        <v>9494855680</v>
      </c>
      <c r="O319">
        <v>9201520495</v>
      </c>
      <c r="P319">
        <v>9053955495</v>
      </c>
      <c r="Q319">
        <v>8565775915</v>
      </c>
      <c r="R319">
        <v>9229033032</v>
      </c>
    </row>
    <row r="320" spans="1:18" x14ac:dyDescent="0.35">
      <c r="A320" t="s">
        <v>1938</v>
      </c>
      <c r="B320" t="s">
        <v>80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8" x14ac:dyDescent="0.35">
      <c r="A321" t="s">
        <v>1938</v>
      </c>
      <c r="B321" t="s">
        <v>81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8" x14ac:dyDescent="0.35">
      <c r="A322" t="s">
        <v>1938</v>
      </c>
      <c r="B322" t="s">
        <v>82</v>
      </c>
      <c r="C322">
        <v>332227015394</v>
      </c>
      <c r="D322">
        <v>419204812649</v>
      </c>
      <c r="E322">
        <v>660467311899</v>
      </c>
      <c r="F322">
        <v>929345373167</v>
      </c>
      <c r="G322">
        <v>1145556566691</v>
      </c>
      <c r="H322">
        <v>1220841326729</v>
      </c>
      <c r="I322">
        <v>1160207224605</v>
      </c>
      <c r="J322">
        <v>1206470476257</v>
      </c>
      <c r="K322">
        <v>1320264354132</v>
      </c>
      <c r="L322">
        <v>1145652298847</v>
      </c>
      <c r="M322">
        <v>1172204958177</v>
      </c>
      <c r="N322">
        <v>964242641312</v>
      </c>
      <c r="O322">
        <v>932413343853</v>
      </c>
      <c r="P322">
        <v>1022652333085</v>
      </c>
      <c r="Q322">
        <v>922604618607</v>
      </c>
      <c r="R322">
        <v>937232541240</v>
      </c>
    </row>
    <row r="323" spans="1:18" x14ac:dyDescent="0.35">
      <c r="A323" t="s">
        <v>1938</v>
      </c>
      <c r="B323" t="s">
        <v>83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8953677824</v>
      </c>
      <c r="N323">
        <v>16581337683</v>
      </c>
      <c r="O323">
        <v>24864249067</v>
      </c>
      <c r="P323">
        <v>18651420827</v>
      </c>
      <c r="Q323">
        <v>20036364793</v>
      </c>
      <c r="R323">
        <v>23831091587</v>
      </c>
    </row>
    <row r="324" spans="1:18" x14ac:dyDescent="0.35">
      <c r="A324" t="s">
        <v>1938</v>
      </c>
      <c r="B324" t="s">
        <v>84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8" x14ac:dyDescent="0.35">
      <c r="A325" t="s">
        <v>1938</v>
      </c>
      <c r="B325" t="s">
        <v>85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8" x14ac:dyDescent="0.35">
      <c r="A326" t="s">
        <v>1938</v>
      </c>
      <c r="B326" t="s">
        <v>86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8" x14ac:dyDescent="0.35">
      <c r="A327" t="s">
        <v>1938</v>
      </c>
      <c r="B327" t="s">
        <v>87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8" x14ac:dyDescent="0.35">
      <c r="A328" t="s">
        <v>1938</v>
      </c>
      <c r="B328" t="s">
        <v>88</v>
      </c>
      <c r="C328">
        <v>2987549662</v>
      </c>
      <c r="D328">
        <v>2941774132</v>
      </c>
      <c r="E328">
        <v>2754121996</v>
      </c>
      <c r="F328">
        <v>3270093343</v>
      </c>
      <c r="G328">
        <v>3024460967</v>
      </c>
      <c r="H328">
        <v>2778828591</v>
      </c>
      <c r="I328">
        <v>2501427638</v>
      </c>
      <c r="J328">
        <v>3965779587</v>
      </c>
      <c r="K328">
        <v>2876323650</v>
      </c>
      <c r="L328">
        <v>4286662860</v>
      </c>
      <c r="M328">
        <v>3989397212</v>
      </c>
      <c r="N328">
        <v>3659932551</v>
      </c>
      <c r="O328">
        <v>3330467890</v>
      </c>
      <c r="P328">
        <v>2972316086</v>
      </c>
      <c r="Q328">
        <v>4027892233</v>
      </c>
      <c r="R328">
        <v>4870711229</v>
      </c>
    </row>
    <row r="329" spans="1:18" x14ac:dyDescent="0.35">
      <c r="A329" t="s">
        <v>1938</v>
      </c>
      <c r="B329" t="s">
        <v>89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54000000000</v>
      </c>
      <c r="I329">
        <v>54000000000</v>
      </c>
      <c r="J329">
        <v>54000000000</v>
      </c>
      <c r="K329">
        <v>54000000000</v>
      </c>
      <c r="L329">
        <v>0</v>
      </c>
      <c r="M329">
        <v>0</v>
      </c>
      <c r="N329">
        <v>0</v>
      </c>
    </row>
    <row r="330" spans="1:18" x14ac:dyDescent="0.35">
      <c r="A330" t="s">
        <v>1938</v>
      </c>
      <c r="B330" t="s">
        <v>90</v>
      </c>
      <c r="C330">
        <v>323944509873</v>
      </c>
      <c r="D330">
        <v>411468082658</v>
      </c>
      <c r="E330">
        <v>654071821705</v>
      </c>
      <c r="F330">
        <v>922433911626</v>
      </c>
      <c r="G330">
        <v>1138890737526</v>
      </c>
      <c r="H330">
        <v>1160421129940</v>
      </c>
      <c r="I330">
        <v>1100064428769</v>
      </c>
      <c r="J330">
        <v>1144863328472</v>
      </c>
      <c r="K330">
        <v>1259746662284</v>
      </c>
      <c r="L330">
        <v>1141365635987</v>
      </c>
      <c r="M330">
        <v>1159261883141</v>
      </c>
      <c r="N330">
        <v>944001371078</v>
      </c>
      <c r="O330">
        <v>904218626896</v>
      </c>
      <c r="P330">
        <v>1001028596172</v>
      </c>
      <c r="Q330">
        <v>898540361581</v>
      </c>
      <c r="R330">
        <v>908530738424</v>
      </c>
    </row>
    <row r="331" spans="1:18" x14ac:dyDescent="0.35">
      <c r="A331" t="s">
        <v>1938</v>
      </c>
      <c r="B331" t="s">
        <v>91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8" x14ac:dyDescent="0.35">
      <c r="A332" t="s">
        <v>1938</v>
      </c>
      <c r="B332" t="s">
        <v>92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8" x14ac:dyDescent="0.35">
      <c r="A333" t="s">
        <v>1938</v>
      </c>
      <c r="B333" t="s">
        <v>93</v>
      </c>
      <c r="C333">
        <v>5134473234</v>
      </c>
      <c r="D333">
        <v>4634473234</v>
      </c>
      <c r="E333">
        <v>3641368198</v>
      </c>
      <c r="F333">
        <v>3641368198</v>
      </c>
      <c r="G333">
        <v>3641368198</v>
      </c>
      <c r="H333">
        <v>3641368198</v>
      </c>
      <c r="I333">
        <v>3641368198</v>
      </c>
      <c r="J333">
        <v>3641368198</v>
      </c>
      <c r="K333">
        <v>3641368198</v>
      </c>
      <c r="L333">
        <v>0</v>
      </c>
      <c r="M333">
        <v>0</v>
      </c>
      <c r="N333">
        <v>0</v>
      </c>
    </row>
    <row r="334" spans="1:18" x14ac:dyDescent="0.35">
      <c r="A334" t="s">
        <v>1938</v>
      </c>
      <c r="B334" t="s">
        <v>94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8" x14ac:dyDescent="0.35">
      <c r="A335" t="s">
        <v>1938</v>
      </c>
      <c r="B335" t="s">
        <v>95</v>
      </c>
      <c r="C335">
        <v>160482625</v>
      </c>
      <c r="D335">
        <v>160482625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8" x14ac:dyDescent="0.35">
      <c r="A336" t="s">
        <v>1938</v>
      </c>
      <c r="B336" t="s">
        <v>96</v>
      </c>
      <c r="C336">
        <v>2476601826294</v>
      </c>
      <c r="D336">
        <v>2502466355728</v>
      </c>
      <c r="E336">
        <v>2537132678375</v>
      </c>
      <c r="F336">
        <v>2532323144534</v>
      </c>
      <c r="G336">
        <v>2566171160803</v>
      </c>
      <c r="H336">
        <v>3003853047947</v>
      </c>
      <c r="I336">
        <v>2928173265282</v>
      </c>
      <c r="J336">
        <v>3412903462303</v>
      </c>
      <c r="K336">
        <v>3400793203960</v>
      </c>
      <c r="L336">
        <v>3463309412381</v>
      </c>
      <c r="M336">
        <v>3495427842473</v>
      </c>
      <c r="N336">
        <v>3401945109400</v>
      </c>
      <c r="O336">
        <v>3407805249008</v>
      </c>
      <c r="P336">
        <v>3360179394894</v>
      </c>
      <c r="Q336">
        <v>3363196420928</v>
      </c>
      <c r="R336">
        <v>3340059206461</v>
      </c>
    </row>
    <row r="337" spans="1:18" x14ac:dyDescent="0.35">
      <c r="A337" t="s">
        <v>1938</v>
      </c>
      <c r="B337" t="s">
        <v>97</v>
      </c>
      <c r="C337">
        <v>2476601826294</v>
      </c>
      <c r="D337">
        <v>2502466355728</v>
      </c>
      <c r="E337">
        <v>2537132678375</v>
      </c>
      <c r="F337">
        <v>2532323144534</v>
      </c>
      <c r="G337">
        <v>2249566920808</v>
      </c>
      <c r="H337">
        <v>2701940638337</v>
      </c>
      <c r="I337">
        <v>2928173265282</v>
      </c>
      <c r="J337">
        <v>2610706296987</v>
      </c>
      <c r="K337">
        <v>2600941768984</v>
      </c>
      <c r="L337">
        <v>2648270851423</v>
      </c>
      <c r="M337">
        <v>0</v>
      </c>
      <c r="N337">
        <v>3401945109400</v>
      </c>
      <c r="O337">
        <v>3407805249008</v>
      </c>
      <c r="P337">
        <v>3360179394894</v>
      </c>
      <c r="Q337">
        <v>3363196420928</v>
      </c>
      <c r="R337">
        <v>3340059206461</v>
      </c>
    </row>
    <row r="338" spans="1:18" x14ac:dyDescent="0.35">
      <c r="A338" t="s">
        <v>1938</v>
      </c>
      <c r="B338" t="s">
        <v>98</v>
      </c>
      <c r="C338">
        <v>1195388930000</v>
      </c>
      <c r="D338">
        <v>1254390050000</v>
      </c>
      <c r="E338">
        <v>1254390050000</v>
      </c>
      <c r="F338">
        <v>1254390050000</v>
      </c>
      <c r="G338">
        <v>1254390050000</v>
      </c>
      <c r="H338">
        <v>1574390050000</v>
      </c>
      <c r="I338">
        <v>1574390050000</v>
      </c>
      <c r="J338">
        <v>1574390050000</v>
      </c>
      <c r="K338">
        <v>1574390050000</v>
      </c>
      <c r="L338">
        <v>1574390050000</v>
      </c>
      <c r="M338">
        <v>1574390050000</v>
      </c>
      <c r="N338">
        <v>1574390050000</v>
      </c>
      <c r="O338">
        <v>1574390050000</v>
      </c>
      <c r="P338">
        <v>1574390050000</v>
      </c>
      <c r="Q338">
        <v>1574390050000</v>
      </c>
      <c r="R338">
        <v>1574390050000</v>
      </c>
    </row>
    <row r="339" spans="1:18" x14ac:dyDescent="0.35">
      <c r="A339" t="s">
        <v>1938</v>
      </c>
      <c r="B339" t="s">
        <v>99</v>
      </c>
      <c r="C339">
        <v>1195388930000</v>
      </c>
      <c r="D339">
        <v>1254390050000</v>
      </c>
      <c r="E339">
        <v>1254390050000</v>
      </c>
      <c r="F339">
        <v>1254390050000</v>
      </c>
      <c r="G339">
        <v>1254390050000</v>
      </c>
      <c r="H339">
        <v>0</v>
      </c>
      <c r="I339">
        <v>1574390050000</v>
      </c>
      <c r="J339">
        <v>1574390050000</v>
      </c>
      <c r="K339">
        <v>1574390050000</v>
      </c>
      <c r="L339">
        <v>1574390050000</v>
      </c>
      <c r="M339">
        <v>1574390050000</v>
      </c>
      <c r="N339">
        <v>1574390050000</v>
      </c>
      <c r="O339">
        <v>1574390050000</v>
      </c>
      <c r="P339">
        <v>1574390050000</v>
      </c>
      <c r="Q339">
        <v>1574390050000</v>
      </c>
      <c r="R339">
        <v>1574390050000</v>
      </c>
    </row>
    <row r="340" spans="1:18" x14ac:dyDescent="0.35">
      <c r="A340" t="s">
        <v>1938</v>
      </c>
      <c r="B340" t="s">
        <v>100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8" x14ac:dyDescent="0.35">
      <c r="A341" t="s">
        <v>1938</v>
      </c>
      <c r="B341" t="s">
        <v>101</v>
      </c>
      <c r="C341">
        <v>418206069395</v>
      </c>
      <c r="D341">
        <v>418206069395</v>
      </c>
      <c r="E341">
        <v>424054064217</v>
      </c>
      <c r="F341">
        <v>424054064217</v>
      </c>
      <c r="G341">
        <v>424054064216</v>
      </c>
      <c r="H341">
        <v>517804064216</v>
      </c>
      <c r="I341">
        <v>517556564217</v>
      </c>
      <c r="J341">
        <v>517556564215</v>
      </c>
      <c r="K341">
        <v>517556564217</v>
      </c>
      <c r="L341">
        <v>517556564217</v>
      </c>
      <c r="M341">
        <v>517556564217</v>
      </c>
      <c r="N341">
        <v>517556564217</v>
      </c>
      <c r="O341">
        <v>517556564217</v>
      </c>
      <c r="P341">
        <v>517556564217</v>
      </c>
      <c r="Q341">
        <v>517556564217</v>
      </c>
      <c r="R341">
        <v>517556564217</v>
      </c>
    </row>
    <row r="342" spans="1:18" x14ac:dyDescent="0.35">
      <c r="A342" t="s">
        <v>1938</v>
      </c>
      <c r="B342" t="s">
        <v>102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8" x14ac:dyDescent="0.35">
      <c r="A343" t="s">
        <v>1938</v>
      </c>
      <c r="B343" t="s">
        <v>103</v>
      </c>
      <c r="C343">
        <v>9972820000</v>
      </c>
      <c r="D343">
        <v>9972820000</v>
      </c>
      <c r="E343">
        <v>10039280000</v>
      </c>
      <c r="F343">
        <v>10039280000</v>
      </c>
      <c r="G343">
        <v>10039280000</v>
      </c>
      <c r="H343">
        <v>10039280000</v>
      </c>
      <c r="I343">
        <v>10039280000</v>
      </c>
      <c r="J343">
        <v>10039280000</v>
      </c>
      <c r="K343">
        <v>10039280000</v>
      </c>
      <c r="L343">
        <v>10039280000</v>
      </c>
      <c r="M343">
        <v>10039280000</v>
      </c>
      <c r="N343">
        <v>10039280000</v>
      </c>
      <c r="O343">
        <v>10039280000</v>
      </c>
      <c r="P343">
        <v>10039280000</v>
      </c>
      <c r="Q343">
        <v>10039280000</v>
      </c>
      <c r="R343">
        <v>10039280000</v>
      </c>
    </row>
    <row r="344" spans="1:18" x14ac:dyDescent="0.35">
      <c r="A344" t="s">
        <v>1938</v>
      </c>
      <c r="B344" t="s">
        <v>104</v>
      </c>
      <c r="C344">
        <v>-13935465178</v>
      </c>
      <c r="D344">
        <v>-13935465178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8" x14ac:dyDescent="0.35">
      <c r="A345" t="s">
        <v>1938</v>
      </c>
      <c r="B345" t="s">
        <v>105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8" x14ac:dyDescent="0.35">
      <c r="A346" t="s">
        <v>1938</v>
      </c>
      <c r="B346" t="s">
        <v>106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8797977</v>
      </c>
      <c r="P346">
        <v>8387336</v>
      </c>
      <c r="Q346">
        <v>38879932</v>
      </c>
    </row>
    <row r="347" spans="1:18" x14ac:dyDescent="0.35">
      <c r="A347" t="s">
        <v>1938</v>
      </c>
      <c r="B347" t="s">
        <v>107</v>
      </c>
      <c r="C347">
        <v>327822388911</v>
      </c>
      <c r="D347">
        <v>324783888212</v>
      </c>
      <c r="E347">
        <v>335189822540</v>
      </c>
      <c r="F347">
        <v>333794466879</v>
      </c>
      <c r="G347">
        <v>333791372072</v>
      </c>
      <c r="H347">
        <v>333791372072</v>
      </c>
      <c r="I347">
        <v>336415112025</v>
      </c>
      <c r="J347">
        <v>337163604401</v>
      </c>
      <c r="K347">
        <v>337163604401</v>
      </c>
      <c r="L347">
        <v>337163604401</v>
      </c>
      <c r="M347">
        <v>336841108027</v>
      </c>
      <c r="N347">
        <v>343639399993</v>
      </c>
      <c r="O347">
        <v>343639399993</v>
      </c>
      <c r="P347">
        <v>347341874996</v>
      </c>
      <c r="Q347">
        <v>347341874996</v>
      </c>
      <c r="R347">
        <v>348433601464</v>
      </c>
    </row>
    <row r="348" spans="1:18" x14ac:dyDescent="0.35">
      <c r="A348" t="s">
        <v>1938</v>
      </c>
      <c r="B348" t="s">
        <v>108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8" x14ac:dyDescent="0.35">
      <c r="A349" t="s">
        <v>1938</v>
      </c>
      <c r="B349" t="s">
        <v>109</v>
      </c>
      <c r="C349">
        <v>455700870</v>
      </c>
      <c r="D349">
        <v>335827353</v>
      </c>
      <c r="E349">
        <v>254161637</v>
      </c>
      <c r="F349">
        <v>254161637</v>
      </c>
      <c r="G349">
        <v>254161637</v>
      </c>
      <c r="H349">
        <v>254161637</v>
      </c>
      <c r="I349">
        <v>263830171</v>
      </c>
      <c r="J349">
        <v>263830171</v>
      </c>
      <c r="K349">
        <v>263830171</v>
      </c>
      <c r="L349">
        <v>263830171</v>
      </c>
      <c r="M349">
        <v>232406012</v>
      </c>
      <c r="N349">
        <v>232406012</v>
      </c>
      <c r="O349">
        <v>232406012</v>
      </c>
      <c r="P349">
        <v>232406012</v>
      </c>
      <c r="Q349">
        <v>351879966</v>
      </c>
      <c r="R349">
        <v>351879966</v>
      </c>
    </row>
    <row r="350" spans="1:18" x14ac:dyDescent="0.35">
      <c r="A350" t="s">
        <v>1938</v>
      </c>
      <c r="B350" t="s">
        <v>110</v>
      </c>
      <c r="C350">
        <v>276952991629</v>
      </c>
      <c r="D350">
        <v>243060768695</v>
      </c>
      <c r="E350">
        <v>227180381400</v>
      </c>
      <c r="F350">
        <v>208053006866</v>
      </c>
      <c r="G350">
        <v>157994876106</v>
      </c>
      <c r="H350">
        <v>265661710412</v>
      </c>
      <c r="I350">
        <v>210786451486</v>
      </c>
      <c r="J350">
        <v>171292968200</v>
      </c>
      <c r="K350">
        <v>161528440195</v>
      </c>
      <c r="L350">
        <v>208857522634</v>
      </c>
      <c r="M350">
        <v>174747920470</v>
      </c>
      <c r="N350">
        <v>86832808571</v>
      </c>
      <c r="O350">
        <v>100000024526</v>
      </c>
      <c r="P350">
        <v>50359725768</v>
      </c>
      <c r="Q350">
        <v>43825653041</v>
      </c>
      <c r="R350">
        <v>51475486119</v>
      </c>
    </row>
    <row r="351" spans="1:18" x14ac:dyDescent="0.35">
      <c r="A351" t="s">
        <v>1938</v>
      </c>
      <c r="B351" t="s">
        <v>111</v>
      </c>
      <c r="C351">
        <v>70628988600</v>
      </c>
      <c r="D351">
        <v>117767284456</v>
      </c>
      <c r="E351">
        <v>17983348799</v>
      </c>
      <c r="F351">
        <v>49979901026</v>
      </c>
      <c r="G351">
        <v>0</v>
      </c>
      <c r="H351">
        <v>0</v>
      </c>
      <c r="I351">
        <v>-7149342375</v>
      </c>
      <c r="J351">
        <v>8030849848</v>
      </c>
      <c r="K351">
        <v>13610381330</v>
      </c>
      <c r="L351">
        <v>169730967728</v>
      </c>
      <c r="M351">
        <v>181774407418</v>
      </c>
      <c r="N351">
        <v>84211945124</v>
      </c>
      <c r="O351">
        <v>89636769720</v>
      </c>
      <c r="P351">
        <v>83746052736</v>
      </c>
      <c r="Q351">
        <v>51152914538</v>
      </c>
      <c r="R351">
        <v>47217387466</v>
      </c>
    </row>
    <row r="352" spans="1:18" x14ac:dyDescent="0.35">
      <c r="A352" t="s">
        <v>1938</v>
      </c>
      <c r="B352" t="s">
        <v>112</v>
      </c>
      <c r="C352">
        <v>206324003029</v>
      </c>
      <c r="D352">
        <v>125293484239</v>
      </c>
      <c r="E352">
        <v>209197032601</v>
      </c>
      <c r="F352">
        <v>158073105840</v>
      </c>
      <c r="G352">
        <v>157994876106</v>
      </c>
      <c r="H352">
        <v>0</v>
      </c>
      <c r="I352">
        <v>217935793861</v>
      </c>
      <c r="J352">
        <v>163262118352</v>
      </c>
      <c r="K352">
        <v>147918058865</v>
      </c>
      <c r="L352">
        <v>39126554907</v>
      </c>
      <c r="M352">
        <v>-7026486948</v>
      </c>
      <c r="N352">
        <v>2620863447</v>
      </c>
      <c r="O352">
        <v>10363254806</v>
      </c>
      <c r="P352">
        <v>-33386326968</v>
      </c>
      <c r="Q352">
        <v>-7327261497</v>
      </c>
      <c r="R352">
        <v>4258098653</v>
      </c>
    </row>
    <row r="353" spans="1:18" x14ac:dyDescent="0.35">
      <c r="A353" t="s">
        <v>1938</v>
      </c>
      <c r="B353" t="s">
        <v>113</v>
      </c>
      <c r="C353">
        <v>0</v>
      </c>
      <c r="D353">
        <v>0</v>
      </c>
      <c r="E353">
        <v>0</v>
      </c>
      <c r="F353">
        <v>0</v>
      </c>
      <c r="G353">
        <v>69043116777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8" x14ac:dyDescent="0.35">
      <c r="A354" t="s">
        <v>1938</v>
      </c>
      <c r="B354" t="s">
        <v>114</v>
      </c>
      <c r="C354">
        <v>261738390667</v>
      </c>
      <c r="D354">
        <v>265652397251</v>
      </c>
      <c r="E354">
        <v>286024918581</v>
      </c>
      <c r="F354">
        <v>301738114935</v>
      </c>
      <c r="G354">
        <v>0</v>
      </c>
      <c r="H354">
        <v>0</v>
      </c>
      <c r="I354">
        <v>278721977383</v>
      </c>
      <c r="J354">
        <v>0</v>
      </c>
      <c r="K354">
        <v>0</v>
      </c>
      <c r="L354">
        <v>815038560958</v>
      </c>
      <c r="M354">
        <v>881620513747</v>
      </c>
      <c r="N354">
        <v>869254600607</v>
      </c>
      <c r="O354">
        <v>861938726283</v>
      </c>
      <c r="P354">
        <v>860251106565</v>
      </c>
      <c r="Q354">
        <v>869652238776</v>
      </c>
      <c r="R354">
        <v>837812344695</v>
      </c>
    </row>
    <row r="355" spans="1:18" x14ac:dyDescent="0.35">
      <c r="A355" t="s">
        <v>1938</v>
      </c>
      <c r="B355" t="s">
        <v>115</v>
      </c>
      <c r="C355">
        <v>0</v>
      </c>
      <c r="D355">
        <v>0</v>
      </c>
      <c r="E355">
        <v>0</v>
      </c>
      <c r="F355">
        <v>0</v>
      </c>
      <c r="G355">
        <v>316604239995</v>
      </c>
      <c r="H355">
        <v>301912409610</v>
      </c>
      <c r="I355">
        <v>0</v>
      </c>
      <c r="J355">
        <v>802197165316</v>
      </c>
      <c r="K355">
        <v>799851434976</v>
      </c>
      <c r="L355">
        <v>0</v>
      </c>
      <c r="M355">
        <v>0</v>
      </c>
      <c r="N355">
        <v>0</v>
      </c>
    </row>
    <row r="356" spans="1:18" x14ac:dyDescent="0.35">
      <c r="A356" t="s">
        <v>1938</v>
      </c>
      <c r="B356" t="s">
        <v>116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8" x14ac:dyDescent="0.35">
      <c r="A357" t="s">
        <v>1938</v>
      </c>
      <c r="B357" t="s">
        <v>117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301912409610</v>
      </c>
      <c r="I357">
        <v>0</v>
      </c>
      <c r="J357">
        <v>802197165316</v>
      </c>
      <c r="K357">
        <v>799851434976</v>
      </c>
      <c r="L357">
        <v>0</v>
      </c>
      <c r="M357">
        <v>0</v>
      </c>
      <c r="N357">
        <v>0</v>
      </c>
    </row>
    <row r="358" spans="1:18" x14ac:dyDescent="0.35">
      <c r="A358" t="s">
        <v>1938</v>
      </c>
      <c r="B358" t="s">
        <v>118</v>
      </c>
      <c r="C358">
        <v>6295691100158</v>
      </c>
      <c r="D358">
        <v>6771790162131</v>
      </c>
      <c r="E358">
        <v>7131468782846</v>
      </c>
      <c r="F358">
        <v>7840137930999</v>
      </c>
      <c r="G358">
        <v>7599523728873</v>
      </c>
      <c r="H358">
        <v>7598028266732</v>
      </c>
      <c r="I358">
        <v>7135020667421</v>
      </c>
      <c r="J358">
        <v>7774631618581</v>
      </c>
      <c r="K358">
        <v>7528792772612</v>
      </c>
      <c r="L358">
        <v>7566165107565</v>
      </c>
      <c r="M358">
        <v>7872424428989</v>
      </c>
      <c r="N358">
        <v>7681663295894</v>
      </c>
      <c r="O358">
        <v>7631421789760</v>
      </c>
      <c r="P358">
        <v>8773337827830</v>
      </c>
      <c r="Q358">
        <v>8472135184174</v>
      </c>
      <c r="R358">
        <v>8516900216166</v>
      </c>
    </row>
    <row r="359" spans="1:18" x14ac:dyDescent="0.35">
      <c r="A359" t="s">
        <v>1939</v>
      </c>
      <c r="B359" t="s">
        <v>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8" x14ac:dyDescent="0.35">
      <c r="A360" t="s">
        <v>1939</v>
      </c>
      <c r="B360" t="s">
        <v>7</v>
      </c>
      <c r="C360">
        <v>1410721095365</v>
      </c>
      <c r="D360">
        <v>1788116808047</v>
      </c>
      <c r="E360">
        <v>1550984379172</v>
      </c>
      <c r="F360">
        <v>2211668981070</v>
      </c>
      <c r="G360">
        <v>1867223353633</v>
      </c>
      <c r="H360">
        <v>1316250208851</v>
      </c>
      <c r="I360">
        <v>1532759589259</v>
      </c>
      <c r="J360">
        <v>1349980981462</v>
      </c>
      <c r="K360">
        <v>1928410178648</v>
      </c>
      <c r="L360">
        <v>2118417280510</v>
      </c>
      <c r="M360">
        <v>1525968790872</v>
      </c>
      <c r="N360">
        <v>1386755694198</v>
      </c>
      <c r="O360">
        <v>1518073641977</v>
      </c>
      <c r="P360">
        <v>1458483967428</v>
      </c>
      <c r="Q360">
        <v>1690854386569</v>
      </c>
    </row>
    <row r="361" spans="1:18" x14ac:dyDescent="0.35">
      <c r="A361" t="s">
        <v>1939</v>
      </c>
      <c r="B361" t="s">
        <v>8</v>
      </c>
      <c r="C361">
        <v>221628870613</v>
      </c>
      <c r="D361">
        <v>135405178447</v>
      </c>
      <c r="E361">
        <v>44618669555</v>
      </c>
      <c r="F361">
        <v>168382007821</v>
      </c>
      <c r="G361">
        <v>476304873130</v>
      </c>
      <c r="H361">
        <v>255816671907</v>
      </c>
      <c r="I361">
        <v>285689900497</v>
      </c>
      <c r="J361">
        <v>271050639544</v>
      </c>
      <c r="K361">
        <v>650155326124</v>
      </c>
      <c r="L361">
        <v>333840180277</v>
      </c>
      <c r="M361">
        <v>321665888215</v>
      </c>
      <c r="N361">
        <v>260888169511</v>
      </c>
      <c r="O361">
        <v>264609182084</v>
      </c>
      <c r="P361">
        <v>229105088949</v>
      </c>
      <c r="Q361">
        <v>214930981659</v>
      </c>
    </row>
    <row r="362" spans="1:18" x14ac:dyDescent="0.35">
      <c r="A362" t="s">
        <v>1939</v>
      </c>
      <c r="B362" t="s">
        <v>9</v>
      </c>
      <c r="C362">
        <v>64728870613</v>
      </c>
      <c r="D362">
        <v>69739178447</v>
      </c>
      <c r="E362">
        <v>43618669555</v>
      </c>
      <c r="F362">
        <v>88382007821</v>
      </c>
      <c r="G362">
        <v>469704873130</v>
      </c>
      <c r="H362">
        <v>147441671907</v>
      </c>
      <c r="I362">
        <v>178089900497</v>
      </c>
      <c r="J362">
        <v>81050639544</v>
      </c>
      <c r="K362">
        <v>60355326124</v>
      </c>
      <c r="L362">
        <v>201808925482</v>
      </c>
      <c r="M362">
        <v>99365888215</v>
      </c>
      <c r="N362">
        <v>67188169511</v>
      </c>
      <c r="O362">
        <v>89403603704</v>
      </c>
      <c r="P362">
        <v>71899510569</v>
      </c>
      <c r="Q362">
        <v>93225403279</v>
      </c>
    </row>
    <row r="363" spans="1:18" x14ac:dyDescent="0.35">
      <c r="A363" t="s">
        <v>1939</v>
      </c>
      <c r="B363" t="s">
        <v>10</v>
      </c>
      <c r="C363">
        <v>156900000000</v>
      </c>
      <c r="D363">
        <v>65666000000</v>
      </c>
      <c r="E363">
        <v>1000000000</v>
      </c>
      <c r="F363">
        <v>80000000000</v>
      </c>
      <c r="G363">
        <v>6600000000</v>
      </c>
      <c r="H363">
        <v>108375000000</v>
      </c>
      <c r="I363">
        <v>107600000000</v>
      </c>
      <c r="J363">
        <v>190000000000</v>
      </c>
      <c r="K363">
        <v>589800000000</v>
      </c>
      <c r="L363">
        <v>132031254795</v>
      </c>
      <c r="M363">
        <v>222300000000</v>
      </c>
      <c r="N363">
        <v>193700000000</v>
      </c>
      <c r="O363">
        <v>175205578380</v>
      </c>
      <c r="P363">
        <v>157205578380</v>
      </c>
      <c r="Q363">
        <v>121705578380</v>
      </c>
    </row>
    <row r="364" spans="1:18" x14ac:dyDescent="0.35">
      <c r="A364" t="s">
        <v>1939</v>
      </c>
      <c r="B364" t="s">
        <v>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5775000000</v>
      </c>
      <c r="J364">
        <v>6575000000</v>
      </c>
      <c r="K364">
        <v>45605000000</v>
      </c>
      <c r="L364">
        <v>490780000000</v>
      </c>
      <c r="M364">
        <v>177850000000</v>
      </c>
      <c r="N364">
        <v>235875000000</v>
      </c>
      <c r="O364">
        <v>222572000000</v>
      </c>
      <c r="P364">
        <v>233227700000</v>
      </c>
      <c r="Q364">
        <v>233227700000</v>
      </c>
    </row>
    <row r="365" spans="1:18" x14ac:dyDescent="0.35">
      <c r="A365" t="s">
        <v>1939</v>
      </c>
      <c r="B365" t="s">
        <v>12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8" x14ac:dyDescent="0.35">
      <c r="A366" t="s">
        <v>1939</v>
      </c>
      <c r="B366" t="s">
        <v>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8" x14ac:dyDescent="0.35">
      <c r="A367" t="s">
        <v>1939</v>
      </c>
      <c r="B367" t="s">
        <v>14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5775000000</v>
      </c>
      <c r="J367">
        <v>6575000000</v>
      </c>
      <c r="K367">
        <v>45605000000</v>
      </c>
      <c r="L367">
        <v>490780000000</v>
      </c>
      <c r="M367">
        <v>177850000000</v>
      </c>
      <c r="N367">
        <v>235875000000</v>
      </c>
      <c r="O367">
        <v>222572000000</v>
      </c>
      <c r="P367">
        <v>233227700000</v>
      </c>
      <c r="Q367">
        <v>233227700000</v>
      </c>
    </row>
    <row r="368" spans="1:18" x14ac:dyDescent="0.35">
      <c r="A368" t="s">
        <v>1939</v>
      </c>
      <c r="B368" t="s">
        <v>15</v>
      </c>
      <c r="C368">
        <v>923264140378</v>
      </c>
      <c r="D368">
        <v>1443161511426</v>
      </c>
      <c r="E368">
        <v>1286075620198</v>
      </c>
      <c r="F368">
        <v>910617586784</v>
      </c>
      <c r="G368">
        <v>739030397543</v>
      </c>
      <c r="H368">
        <v>772078395035</v>
      </c>
      <c r="I368">
        <v>1014679028236</v>
      </c>
      <c r="J368">
        <v>822541900133</v>
      </c>
      <c r="K368">
        <v>752478188705</v>
      </c>
      <c r="L368">
        <v>749953495381</v>
      </c>
      <c r="M368">
        <v>811218544130</v>
      </c>
      <c r="N368">
        <v>684399111576</v>
      </c>
      <c r="O368">
        <v>827221900224</v>
      </c>
      <c r="P368">
        <v>829253577813</v>
      </c>
      <c r="Q368">
        <v>1078786416879</v>
      </c>
    </row>
    <row r="369" spans="1:17" x14ac:dyDescent="0.35">
      <c r="A369" t="s">
        <v>1939</v>
      </c>
      <c r="B369" t="s">
        <v>16</v>
      </c>
      <c r="C369">
        <v>271462821458</v>
      </c>
      <c r="D369">
        <v>324344561385</v>
      </c>
      <c r="E369">
        <v>305567053916</v>
      </c>
      <c r="F369">
        <v>254505418343</v>
      </c>
      <c r="G369">
        <v>275573247959</v>
      </c>
      <c r="H369">
        <v>314406390017</v>
      </c>
      <c r="I369">
        <v>386853439574</v>
      </c>
      <c r="J369">
        <v>339776352230</v>
      </c>
      <c r="K369">
        <v>428332692127</v>
      </c>
      <c r="L369">
        <v>359179377155</v>
      </c>
      <c r="M369">
        <v>410782947064</v>
      </c>
      <c r="N369">
        <v>335199025148</v>
      </c>
      <c r="O369">
        <v>424790201091</v>
      </c>
      <c r="P369">
        <v>473901746212</v>
      </c>
      <c r="Q369">
        <v>706046206446</v>
      </c>
    </row>
    <row r="370" spans="1:17" x14ac:dyDescent="0.35">
      <c r="A370" t="s">
        <v>1939</v>
      </c>
      <c r="B370" t="s">
        <v>17</v>
      </c>
      <c r="C370">
        <v>162146259225</v>
      </c>
      <c r="D370">
        <v>472052375770</v>
      </c>
      <c r="E370">
        <v>545668835761</v>
      </c>
      <c r="F370">
        <v>164703478327</v>
      </c>
      <c r="G370">
        <v>93157077815</v>
      </c>
      <c r="H370">
        <v>33448346000</v>
      </c>
      <c r="I370">
        <v>225973250085</v>
      </c>
      <c r="J370">
        <v>147547043010</v>
      </c>
      <c r="K370">
        <v>20452143017</v>
      </c>
      <c r="L370">
        <v>74565045169</v>
      </c>
      <c r="M370">
        <v>73748833910</v>
      </c>
      <c r="N370">
        <v>24630431963</v>
      </c>
      <c r="O370">
        <v>183372373276</v>
      </c>
      <c r="P370">
        <v>15966266230</v>
      </c>
      <c r="Q370">
        <v>26825020781</v>
      </c>
    </row>
    <row r="371" spans="1:17" x14ac:dyDescent="0.35">
      <c r="A371" t="s">
        <v>1939</v>
      </c>
      <c r="B371" t="s">
        <v>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7" x14ac:dyDescent="0.35">
      <c r="A372" t="s">
        <v>1939</v>
      </c>
      <c r="B372" t="s">
        <v>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7" x14ac:dyDescent="0.35">
      <c r="A373" t="s">
        <v>1939</v>
      </c>
      <c r="B373" t="s">
        <v>20</v>
      </c>
      <c r="C373">
        <v>242289904119</v>
      </c>
      <c r="D373">
        <v>144200397839</v>
      </c>
      <c r="E373">
        <v>140000000000</v>
      </c>
      <c r="F373">
        <v>176175900000</v>
      </c>
      <c r="G373">
        <v>219175900000</v>
      </c>
      <c r="H373">
        <v>253175900000</v>
      </c>
      <c r="I373">
        <v>223175900000</v>
      </c>
      <c r="J373">
        <v>235925900000</v>
      </c>
      <c r="K373">
        <v>204425900000</v>
      </c>
      <c r="L373">
        <v>256147376270</v>
      </c>
      <c r="M373">
        <v>249747376270</v>
      </c>
      <c r="N373">
        <v>244747376270</v>
      </c>
      <c r="O373">
        <v>62420000000</v>
      </c>
      <c r="P373">
        <v>229320000000</v>
      </c>
      <c r="Q373">
        <v>224320000000</v>
      </c>
    </row>
    <row r="374" spans="1:17" x14ac:dyDescent="0.35">
      <c r="A374" t="s">
        <v>1939</v>
      </c>
      <c r="B374" t="s">
        <v>21</v>
      </c>
      <c r="C374">
        <v>247870473865</v>
      </c>
      <c r="D374">
        <v>502838494721</v>
      </c>
      <c r="E374">
        <v>295114048810</v>
      </c>
      <c r="F374">
        <v>315507108403</v>
      </c>
      <c r="G374">
        <v>151398490058</v>
      </c>
      <c r="H374">
        <v>171671121171</v>
      </c>
      <c r="I374">
        <v>179305510753</v>
      </c>
      <c r="J374">
        <v>99700592113</v>
      </c>
      <c r="K374">
        <v>99675440781</v>
      </c>
      <c r="L374">
        <v>60498169418</v>
      </c>
      <c r="M374">
        <v>77375859517</v>
      </c>
      <c r="N374">
        <v>80431478877</v>
      </c>
      <c r="O374">
        <v>157248526539</v>
      </c>
      <c r="P374">
        <v>110774766053</v>
      </c>
      <c r="Q374">
        <v>122304390334</v>
      </c>
    </row>
    <row r="375" spans="1:17" x14ac:dyDescent="0.35">
      <c r="A375" t="s">
        <v>1939</v>
      </c>
      <c r="B375" t="s">
        <v>22</v>
      </c>
      <c r="C375">
        <v>-511028312</v>
      </c>
      <c r="D375">
        <v>-280028312</v>
      </c>
      <c r="E375">
        <v>-280028312</v>
      </c>
      <c r="F375">
        <v>-280028312</v>
      </c>
      <c r="G375">
        <v>-280028312</v>
      </c>
      <c r="H375">
        <v>-629072176</v>
      </c>
      <c r="I375">
        <v>-629072176</v>
      </c>
      <c r="J375">
        <v>-407987220</v>
      </c>
      <c r="K375">
        <v>-407987220</v>
      </c>
      <c r="L375">
        <v>-436472631</v>
      </c>
      <c r="M375">
        <v>-436472631</v>
      </c>
      <c r="N375">
        <v>-609200682</v>
      </c>
      <c r="O375">
        <v>-609200682</v>
      </c>
      <c r="P375">
        <v>-709200682</v>
      </c>
      <c r="Q375">
        <v>-709200682</v>
      </c>
    </row>
    <row r="376" spans="1:17" x14ac:dyDescent="0.35">
      <c r="A376" t="s">
        <v>1939</v>
      </c>
      <c r="B376" t="s">
        <v>23</v>
      </c>
      <c r="C376">
        <v>5710023</v>
      </c>
      <c r="D376">
        <v>5710023</v>
      </c>
      <c r="E376">
        <v>5710023</v>
      </c>
      <c r="F376">
        <v>5710023</v>
      </c>
      <c r="G376">
        <v>5710023</v>
      </c>
      <c r="H376">
        <v>5710023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7" x14ac:dyDescent="0.35">
      <c r="A377" t="s">
        <v>1939</v>
      </c>
      <c r="B377" t="s">
        <v>24</v>
      </c>
      <c r="C377">
        <v>217379735676</v>
      </c>
      <c r="D377">
        <v>151972986314</v>
      </c>
      <c r="E377">
        <v>152335954389</v>
      </c>
      <c r="F377">
        <v>867558242082</v>
      </c>
      <c r="G377">
        <v>149719157309</v>
      </c>
      <c r="H377">
        <v>146323773855</v>
      </c>
      <c r="I377">
        <v>154114908897</v>
      </c>
      <c r="J377">
        <v>155463300080</v>
      </c>
      <c r="K377">
        <v>153143113310</v>
      </c>
      <c r="L377">
        <v>155076019138</v>
      </c>
      <c r="M377">
        <v>153799236676</v>
      </c>
      <c r="N377">
        <v>153915786862</v>
      </c>
      <c r="O377">
        <v>154391098557</v>
      </c>
      <c r="P377">
        <v>126615321929</v>
      </c>
      <c r="Q377">
        <v>129484090528</v>
      </c>
    </row>
    <row r="378" spans="1:17" x14ac:dyDescent="0.35">
      <c r="A378" t="s">
        <v>1939</v>
      </c>
      <c r="B378" t="s">
        <v>25</v>
      </c>
      <c r="C378">
        <v>217379735676</v>
      </c>
      <c r="D378">
        <v>151972986314</v>
      </c>
      <c r="E378">
        <v>152335954389</v>
      </c>
      <c r="F378">
        <v>867558242082</v>
      </c>
      <c r="G378">
        <v>149719157309</v>
      </c>
      <c r="H378">
        <v>146323773855</v>
      </c>
      <c r="I378">
        <v>154114908897</v>
      </c>
      <c r="J378">
        <v>155463300080</v>
      </c>
      <c r="K378">
        <v>153143113310</v>
      </c>
      <c r="L378">
        <v>155076019138</v>
      </c>
      <c r="M378">
        <v>153799236676</v>
      </c>
      <c r="N378">
        <v>153915786862</v>
      </c>
      <c r="O378">
        <v>154391098557</v>
      </c>
      <c r="P378">
        <v>126615321929</v>
      </c>
      <c r="Q378">
        <v>129484090528</v>
      </c>
    </row>
    <row r="379" spans="1:17" x14ac:dyDescent="0.35">
      <c r="A379" t="s">
        <v>1939</v>
      </c>
      <c r="B379" t="s">
        <v>26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7" x14ac:dyDescent="0.35">
      <c r="A380" t="s">
        <v>1939</v>
      </c>
      <c r="B380" t="s">
        <v>27</v>
      </c>
      <c r="C380">
        <v>48448348698</v>
      </c>
      <c r="D380">
        <v>57577131860</v>
      </c>
      <c r="E380">
        <v>67954135030</v>
      </c>
      <c r="F380">
        <v>265111144383</v>
      </c>
      <c r="G380">
        <v>502168925651</v>
      </c>
      <c r="H380">
        <v>142031368054</v>
      </c>
      <c r="I380">
        <v>72500751629</v>
      </c>
      <c r="J380">
        <v>94350141705</v>
      </c>
      <c r="K380">
        <v>327028550509</v>
      </c>
      <c r="L380">
        <v>388767585714</v>
      </c>
      <c r="M380">
        <v>61435121851</v>
      </c>
      <c r="N380">
        <v>51677626249</v>
      </c>
      <c r="O380">
        <v>49279461112</v>
      </c>
      <c r="P380">
        <v>40282278737</v>
      </c>
      <c r="Q380">
        <v>34425197503</v>
      </c>
    </row>
    <row r="381" spans="1:17" x14ac:dyDescent="0.35">
      <c r="A381" t="s">
        <v>1939</v>
      </c>
      <c r="B381" t="s">
        <v>28</v>
      </c>
      <c r="C381">
        <v>8383838515</v>
      </c>
      <c r="D381">
        <v>7107451871</v>
      </c>
      <c r="E381">
        <v>8421597567</v>
      </c>
      <c r="F381">
        <v>7300690045</v>
      </c>
      <c r="G381">
        <v>8085194183</v>
      </c>
      <c r="H381">
        <v>9966624419</v>
      </c>
      <c r="I381">
        <v>21431914433</v>
      </c>
      <c r="J381">
        <v>17866572592</v>
      </c>
      <c r="K381">
        <v>15082872089</v>
      </c>
      <c r="L381">
        <v>9579623250</v>
      </c>
      <c r="M381">
        <v>14651912024</v>
      </c>
      <c r="N381">
        <v>13241351157</v>
      </c>
      <c r="O381">
        <v>18440351844</v>
      </c>
      <c r="P381">
        <v>10892515079</v>
      </c>
      <c r="Q381">
        <v>8281818629</v>
      </c>
    </row>
    <row r="382" spans="1:17" x14ac:dyDescent="0.35">
      <c r="A382" t="s">
        <v>1939</v>
      </c>
      <c r="B382" t="s">
        <v>29</v>
      </c>
      <c r="C382">
        <v>38402229990</v>
      </c>
      <c r="D382">
        <v>49814446415</v>
      </c>
      <c r="E382">
        <v>58493322087</v>
      </c>
      <c r="F382">
        <v>256771787009</v>
      </c>
      <c r="G382">
        <v>493120775640</v>
      </c>
      <c r="H382">
        <v>130411552403</v>
      </c>
      <c r="I382">
        <v>49911171156</v>
      </c>
      <c r="J382">
        <v>75277005291</v>
      </c>
      <c r="K382">
        <v>311451122084</v>
      </c>
      <c r="L382">
        <v>378359473622</v>
      </c>
      <c r="M382">
        <v>46191160982</v>
      </c>
      <c r="N382">
        <v>38039920327</v>
      </c>
      <c r="O382">
        <v>30741949089</v>
      </c>
      <c r="P382">
        <v>28788627746</v>
      </c>
      <c r="Q382">
        <v>25393634016</v>
      </c>
    </row>
    <row r="383" spans="1:17" x14ac:dyDescent="0.35">
      <c r="A383" t="s">
        <v>1939</v>
      </c>
      <c r="B383" t="s">
        <v>30</v>
      </c>
      <c r="C383">
        <v>1662280193</v>
      </c>
      <c r="D383">
        <v>640233574</v>
      </c>
      <c r="E383">
        <v>1024215376</v>
      </c>
      <c r="F383">
        <v>1038667329</v>
      </c>
      <c r="G383">
        <v>962955828</v>
      </c>
      <c r="H383">
        <v>1232653996</v>
      </c>
      <c r="I383">
        <v>1157666040</v>
      </c>
      <c r="J383">
        <v>1160545742</v>
      </c>
      <c r="K383">
        <v>494556336</v>
      </c>
      <c r="L383">
        <v>828488842</v>
      </c>
      <c r="M383">
        <v>592048845</v>
      </c>
      <c r="N383">
        <v>396354765</v>
      </c>
      <c r="O383">
        <v>97160179</v>
      </c>
      <c r="P383">
        <v>601135912</v>
      </c>
      <c r="Q383">
        <v>749744858</v>
      </c>
    </row>
    <row r="384" spans="1:17" x14ac:dyDescent="0.35">
      <c r="A384" t="s">
        <v>1939</v>
      </c>
      <c r="B384" t="s">
        <v>31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7" x14ac:dyDescent="0.35">
      <c r="A385" t="s">
        <v>1939</v>
      </c>
      <c r="B385" t="s">
        <v>32</v>
      </c>
      <c r="C385">
        <v>0</v>
      </c>
      <c r="D385">
        <v>15000000</v>
      </c>
      <c r="E385">
        <v>15000000</v>
      </c>
      <c r="F385">
        <v>0</v>
      </c>
      <c r="G385">
        <v>0</v>
      </c>
      <c r="H385">
        <v>420537236</v>
      </c>
      <c r="I385">
        <v>0</v>
      </c>
      <c r="J385">
        <v>46018080</v>
      </c>
      <c r="K385">
        <v>0</v>
      </c>
      <c r="L385">
        <v>0</v>
      </c>
      <c r="M385">
        <v>0</v>
      </c>
      <c r="N385">
        <v>0</v>
      </c>
    </row>
    <row r="386" spans="1:17" x14ac:dyDescent="0.35">
      <c r="A386" t="s">
        <v>1939</v>
      </c>
      <c r="B386" t="s">
        <v>33</v>
      </c>
      <c r="C386">
        <v>5678031934065</v>
      </c>
      <c r="D386">
        <v>5979553172527</v>
      </c>
      <c r="E386">
        <v>6133430641614</v>
      </c>
      <c r="F386">
        <v>7523661547437</v>
      </c>
      <c r="G386">
        <v>10692620547079</v>
      </c>
      <c r="H386">
        <v>11156428286368</v>
      </c>
      <c r="I386">
        <v>11066731550813</v>
      </c>
      <c r="J386">
        <v>11322671172686</v>
      </c>
      <c r="K386">
        <v>14228583597419</v>
      </c>
      <c r="L386">
        <v>14999737166715</v>
      </c>
      <c r="M386">
        <v>14972044657049</v>
      </c>
      <c r="N386">
        <v>14949763202822</v>
      </c>
      <c r="O386">
        <v>14817533083597</v>
      </c>
      <c r="P386">
        <v>14673886939540</v>
      </c>
      <c r="Q386">
        <v>14462003312982</v>
      </c>
    </row>
    <row r="387" spans="1:17" x14ac:dyDescent="0.35">
      <c r="A387" t="s">
        <v>1939</v>
      </c>
      <c r="B387" t="s">
        <v>34</v>
      </c>
      <c r="C387">
        <v>7408904082</v>
      </c>
      <c r="D387">
        <v>25783175551</v>
      </c>
      <c r="E387">
        <v>17607062007</v>
      </c>
      <c r="F387">
        <v>17571450144</v>
      </c>
      <c r="G387">
        <v>17351838281</v>
      </c>
      <c r="H387">
        <v>9125131969</v>
      </c>
      <c r="I387">
        <v>2434621982</v>
      </c>
      <c r="J387">
        <v>2365982616</v>
      </c>
      <c r="K387">
        <v>2283602008</v>
      </c>
      <c r="L387">
        <v>2241627622</v>
      </c>
      <c r="M387">
        <v>2171117635</v>
      </c>
      <c r="N387">
        <v>2100607648</v>
      </c>
      <c r="O387">
        <v>39945097661</v>
      </c>
      <c r="P387">
        <v>40706085155</v>
      </c>
      <c r="Q387">
        <v>24610575168</v>
      </c>
    </row>
    <row r="388" spans="1:17" x14ac:dyDescent="0.35">
      <c r="A388" t="s">
        <v>1939</v>
      </c>
      <c r="B388" t="s">
        <v>35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7" x14ac:dyDescent="0.35">
      <c r="A389" t="s">
        <v>1939</v>
      </c>
      <c r="B389" t="s">
        <v>36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7" x14ac:dyDescent="0.35">
      <c r="A390" t="s">
        <v>1939</v>
      </c>
      <c r="B390" t="s">
        <v>37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7" x14ac:dyDescent="0.35">
      <c r="A391" t="s">
        <v>1939</v>
      </c>
      <c r="B391" t="s">
        <v>38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7" x14ac:dyDescent="0.35">
      <c r="A392" t="s">
        <v>1939</v>
      </c>
      <c r="B392" t="s">
        <v>39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25000000000</v>
      </c>
      <c r="P392">
        <v>20000000000</v>
      </c>
      <c r="Q392">
        <v>15000000000</v>
      </c>
    </row>
    <row r="393" spans="1:17" x14ac:dyDescent="0.35">
      <c r="A393" t="s">
        <v>1939</v>
      </c>
      <c r="B393" t="s">
        <v>40</v>
      </c>
      <c r="C393">
        <v>8137187882</v>
      </c>
      <c r="D393">
        <v>26511459351</v>
      </c>
      <c r="E393">
        <v>18449955349</v>
      </c>
      <c r="F393">
        <v>17723159986</v>
      </c>
      <c r="G393">
        <v>17503548123</v>
      </c>
      <c r="H393">
        <v>9276841811</v>
      </c>
      <c r="I393">
        <v>2586331824</v>
      </c>
      <c r="J393">
        <v>2517692458</v>
      </c>
      <c r="K393">
        <v>2435311850</v>
      </c>
      <c r="L393">
        <v>2393337464</v>
      </c>
      <c r="M393">
        <v>2322827477</v>
      </c>
      <c r="N393">
        <v>2252317490</v>
      </c>
      <c r="O393">
        <v>15096807503</v>
      </c>
      <c r="P393">
        <v>20857794997</v>
      </c>
      <c r="Q393">
        <v>9762285010</v>
      </c>
    </row>
    <row r="394" spans="1:17" x14ac:dyDescent="0.35">
      <c r="A394" t="s">
        <v>1939</v>
      </c>
      <c r="B394" t="s">
        <v>41</v>
      </c>
      <c r="C394">
        <v>-728283800</v>
      </c>
      <c r="D394">
        <v>-728283800</v>
      </c>
      <c r="E394">
        <v>-842893342</v>
      </c>
      <c r="F394">
        <v>-151709842</v>
      </c>
      <c r="G394">
        <v>-151709842</v>
      </c>
      <c r="H394">
        <v>-151709842</v>
      </c>
      <c r="I394">
        <v>-151709842</v>
      </c>
      <c r="J394">
        <v>-151709842</v>
      </c>
      <c r="K394">
        <v>-151709842</v>
      </c>
      <c r="L394">
        <v>-151709842</v>
      </c>
      <c r="M394">
        <v>-151709842</v>
      </c>
      <c r="N394">
        <v>-151709842</v>
      </c>
      <c r="O394">
        <v>-151709842</v>
      </c>
      <c r="P394">
        <v>-151709842</v>
      </c>
      <c r="Q394">
        <v>-151709842</v>
      </c>
    </row>
    <row r="395" spans="1:17" x14ac:dyDescent="0.35">
      <c r="A395" t="s">
        <v>1939</v>
      </c>
      <c r="B395" t="s">
        <v>42</v>
      </c>
      <c r="C395">
        <v>5291688415002</v>
      </c>
      <c r="D395">
        <v>5364957704039</v>
      </c>
      <c r="E395">
        <v>5258118314177</v>
      </c>
      <c r="F395">
        <v>5170414623180</v>
      </c>
      <c r="G395">
        <v>5062747087169</v>
      </c>
      <c r="H395">
        <v>10504252750029</v>
      </c>
      <c r="I395">
        <v>10345529993057</v>
      </c>
      <c r="J395">
        <v>10216203853072</v>
      </c>
      <c r="K395">
        <v>10121073441099</v>
      </c>
      <c r="L395">
        <v>9965494395685</v>
      </c>
      <c r="M395">
        <v>9806035196104</v>
      </c>
      <c r="N395">
        <v>14385076204086</v>
      </c>
      <c r="O395">
        <v>14250770094077</v>
      </c>
      <c r="P395">
        <v>14067796955275</v>
      </c>
      <c r="Q395">
        <v>13907933195137</v>
      </c>
    </row>
    <row r="396" spans="1:17" x14ac:dyDescent="0.35">
      <c r="A396" t="s">
        <v>1939</v>
      </c>
      <c r="B396" t="s">
        <v>43</v>
      </c>
      <c r="C396">
        <v>5266300223496</v>
      </c>
      <c r="D396">
        <v>5330215557752</v>
      </c>
      <c r="E396">
        <v>5214614023688</v>
      </c>
      <c r="F396">
        <v>5127980052060</v>
      </c>
      <c r="G396">
        <v>5021347818751</v>
      </c>
      <c r="H396">
        <v>10456814508083</v>
      </c>
      <c r="I396">
        <v>10294854959641</v>
      </c>
      <c r="J396">
        <v>10166639914301</v>
      </c>
      <c r="K396">
        <v>10071166717119</v>
      </c>
      <c r="L396">
        <v>9911888108505</v>
      </c>
      <c r="M396">
        <v>9753781004661</v>
      </c>
      <c r="N396">
        <v>14334171775040</v>
      </c>
      <c r="O396">
        <v>14201115697585</v>
      </c>
      <c r="P396">
        <v>14019492297141</v>
      </c>
      <c r="Q396">
        <v>13860975161543</v>
      </c>
    </row>
    <row r="397" spans="1:17" x14ac:dyDescent="0.35">
      <c r="A397" t="s">
        <v>1939</v>
      </c>
      <c r="B397" t="s">
        <v>44</v>
      </c>
      <c r="C397">
        <v>6416633629744</v>
      </c>
      <c r="D397">
        <v>6560897361943</v>
      </c>
      <c r="E397">
        <v>6537566432374</v>
      </c>
      <c r="F397">
        <v>6540652880014</v>
      </c>
      <c r="G397">
        <v>6490508272526</v>
      </c>
      <c r="H397">
        <v>12031816415022</v>
      </c>
      <c r="I397">
        <v>12031492296976</v>
      </c>
      <c r="J397">
        <v>12062872827799</v>
      </c>
      <c r="K397">
        <v>12125307021356</v>
      </c>
      <c r="L397">
        <v>12129938166697</v>
      </c>
      <c r="M397">
        <v>12116631926969</v>
      </c>
      <c r="N397">
        <v>16853254576544</v>
      </c>
      <c r="O397">
        <v>16915117337398</v>
      </c>
      <c r="P397">
        <v>16908639318236</v>
      </c>
      <c r="Q397">
        <v>16947305212860</v>
      </c>
    </row>
    <row r="398" spans="1:17" x14ac:dyDescent="0.35">
      <c r="A398" t="s">
        <v>1939</v>
      </c>
      <c r="B398" t="s">
        <v>45</v>
      </c>
      <c r="C398">
        <v>-1150333406248</v>
      </c>
      <c r="D398">
        <v>-1230681804191</v>
      </c>
      <c r="E398">
        <v>-1322952408686</v>
      </c>
      <c r="F398">
        <v>-1412672827954</v>
      </c>
      <c r="G398">
        <v>-1469160453775</v>
      </c>
      <c r="H398">
        <v>-1575001906939</v>
      </c>
      <c r="I398">
        <v>-1736637337335</v>
      </c>
      <c r="J398">
        <v>-1896232913498</v>
      </c>
      <c r="K398">
        <v>-2054140304237</v>
      </c>
      <c r="L398">
        <v>-2218050058192</v>
      </c>
      <c r="M398">
        <v>-2362850922308</v>
      </c>
      <c r="N398">
        <v>-2519082801504</v>
      </c>
      <c r="O398">
        <v>-2714001639813</v>
      </c>
      <c r="P398">
        <v>-2889147021095</v>
      </c>
      <c r="Q398">
        <v>-3086330051317</v>
      </c>
    </row>
    <row r="399" spans="1:17" x14ac:dyDescent="0.35">
      <c r="A399" t="s">
        <v>1939</v>
      </c>
      <c r="B399" t="s">
        <v>46</v>
      </c>
      <c r="C399">
        <v>8000597051</v>
      </c>
      <c r="D399">
        <v>17996230073</v>
      </c>
      <c r="E399">
        <v>27437912606</v>
      </c>
      <c r="F399">
        <v>27043938020</v>
      </c>
      <c r="G399">
        <v>26649963434</v>
      </c>
      <c r="H399">
        <v>26255988848</v>
      </c>
      <c r="I399">
        <v>25862014262</v>
      </c>
      <c r="J399">
        <v>25468039682</v>
      </c>
      <c r="K399">
        <v>25074455041</v>
      </c>
      <c r="L399">
        <v>24680870368</v>
      </c>
      <c r="M399">
        <v>24287285695</v>
      </c>
      <c r="N399">
        <v>23893701022</v>
      </c>
      <c r="O399">
        <v>23500116349</v>
      </c>
      <c r="P399">
        <v>23106531676</v>
      </c>
      <c r="Q399">
        <v>22712947003</v>
      </c>
    </row>
    <row r="400" spans="1:17" x14ac:dyDescent="0.35">
      <c r="A400" t="s">
        <v>1939</v>
      </c>
      <c r="B400" t="s">
        <v>44</v>
      </c>
      <c r="C400">
        <v>8115081338</v>
      </c>
      <c r="D400">
        <v>18250931840</v>
      </c>
      <c r="E400">
        <v>28086588959</v>
      </c>
      <c r="F400">
        <v>28086588959</v>
      </c>
      <c r="G400">
        <v>28086588959</v>
      </c>
      <c r="H400">
        <v>28086588959</v>
      </c>
      <c r="I400">
        <v>28086588959</v>
      </c>
      <c r="J400">
        <v>28086588959</v>
      </c>
      <c r="K400">
        <v>28086588959</v>
      </c>
      <c r="L400">
        <v>28086588959</v>
      </c>
      <c r="M400">
        <v>28086588959</v>
      </c>
      <c r="N400">
        <v>28086588959</v>
      </c>
      <c r="O400">
        <v>28086588959</v>
      </c>
      <c r="P400">
        <v>28086588959</v>
      </c>
      <c r="Q400">
        <v>28086588959</v>
      </c>
    </row>
    <row r="401" spans="1:17" x14ac:dyDescent="0.35">
      <c r="A401" t="s">
        <v>1939</v>
      </c>
      <c r="B401" t="s">
        <v>45</v>
      </c>
      <c r="C401">
        <v>-114484287</v>
      </c>
      <c r="D401">
        <v>-254701767</v>
      </c>
      <c r="E401">
        <v>-648676353</v>
      </c>
      <c r="F401">
        <v>-1042650939</v>
      </c>
      <c r="G401">
        <v>-1436625525</v>
      </c>
      <c r="H401">
        <v>-1830600111</v>
      </c>
      <c r="I401">
        <v>-2224574697</v>
      </c>
      <c r="J401">
        <v>-2618549277</v>
      </c>
      <c r="K401">
        <v>-3012133918</v>
      </c>
      <c r="L401">
        <v>-3405718591</v>
      </c>
      <c r="M401">
        <v>-3799303264</v>
      </c>
      <c r="N401">
        <v>-4192887937</v>
      </c>
      <c r="O401">
        <v>-4586472610</v>
      </c>
      <c r="P401">
        <v>-4980057283</v>
      </c>
      <c r="Q401">
        <v>-5373641956</v>
      </c>
    </row>
    <row r="402" spans="1:17" x14ac:dyDescent="0.35">
      <c r="A402" t="s">
        <v>1939</v>
      </c>
      <c r="B402" t="s">
        <v>47</v>
      </c>
      <c r="C402">
        <v>17387594455</v>
      </c>
      <c r="D402">
        <v>16745916214</v>
      </c>
      <c r="E402">
        <v>16066377883</v>
      </c>
      <c r="F402">
        <v>15390633100</v>
      </c>
      <c r="G402">
        <v>14749304984</v>
      </c>
      <c r="H402">
        <v>21182253098</v>
      </c>
      <c r="I402">
        <v>24813019154</v>
      </c>
      <c r="J402">
        <v>24095899089</v>
      </c>
      <c r="K402">
        <v>24832268939</v>
      </c>
      <c r="L402">
        <v>28925416812</v>
      </c>
      <c r="M402">
        <v>27966905748</v>
      </c>
      <c r="N402">
        <v>27010728024</v>
      </c>
      <c r="O402">
        <v>26154280143</v>
      </c>
      <c r="P402">
        <v>25198126458</v>
      </c>
      <c r="Q402">
        <v>24245086591</v>
      </c>
    </row>
    <row r="403" spans="1:17" x14ac:dyDescent="0.35">
      <c r="A403" t="s">
        <v>1939</v>
      </c>
      <c r="B403" t="s">
        <v>44</v>
      </c>
      <c r="C403">
        <v>21285599372</v>
      </c>
      <c r="D403">
        <v>21238439769</v>
      </c>
      <c r="E403">
        <v>21320599372</v>
      </c>
      <c r="F403">
        <v>21320599372</v>
      </c>
      <c r="G403">
        <v>21355599372</v>
      </c>
      <c r="H403">
        <v>28463708932</v>
      </c>
      <c r="I403">
        <v>32761992438</v>
      </c>
      <c r="J403">
        <v>32761992438</v>
      </c>
      <c r="K403">
        <v>34320992438</v>
      </c>
      <c r="L403">
        <v>39266555527</v>
      </c>
      <c r="M403">
        <v>39266555527</v>
      </c>
      <c r="N403">
        <v>39266555527</v>
      </c>
      <c r="O403">
        <v>39366555527</v>
      </c>
      <c r="P403">
        <v>39366555527</v>
      </c>
      <c r="Q403">
        <v>39366555527</v>
      </c>
    </row>
    <row r="404" spans="1:17" x14ac:dyDescent="0.35">
      <c r="A404" t="s">
        <v>1939</v>
      </c>
      <c r="B404" t="s">
        <v>45</v>
      </c>
      <c r="C404">
        <v>-3898004917</v>
      </c>
      <c r="D404">
        <v>-4492523555</v>
      </c>
      <c r="E404">
        <v>-5254221489</v>
      </c>
      <c r="F404">
        <v>-5929966272</v>
      </c>
      <c r="G404">
        <v>-6606294388</v>
      </c>
      <c r="H404">
        <v>-7281455834</v>
      </c>
      <c r="I404">
        <v>-7948973284</v>
      </c>
      <c r="J404">
        <v>-8666093349</v>
      </c>
      <c r="K404">
        <v>-9488723499</v>
      </c>
      <c r="L404">
        <v>-10341138715</v>
      </c>
      <c r="M404">
        <v>-11299649779</v>
      </c>
      <c r="N404">
        <v>-12255827503</v>
      </c>
      <c r="O404">
        <v>-13212275384</v>
      </c>
      <c r="P404">
        <v>-14168429069</v>
      </c>
      <c r="Q404">
        <v>-15121468936</v>
      </c>
    </row>
    <row r="405" spans="1:17" x14ac:dyDescent="0.35">
      <c r="A405" t="s">
        <v>1939</v>
      </c>
      <c r="B405" t="s">
        <v>48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7" x14ac:dyDescent="0.35">
      <c r="A406" t="s">
        <v>1939</v>
      </c>
      <c r="B406" t="s">
        <v>44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7" x14ac:dyDescent="0.35">
      <c r="A407" t="s">
        <v>1939</v>
      </c>
      <c r="B407" t="s">
        <v>45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7" x14ac:dyDescent="0.35">
      <c r="A408" t="s">
        <v>1939</v>
      </c>
      <c r="B408" t="s">
        <v>49</v>
      </c>
      <c r="C408">
        <v>323066865406</v>
      </c>
      <c r="D408">
        <v>535935126260</v>
      </c>
      <c r="E408">
        <v>808597726913</v>
      </c>
      <c r="F408">
        <v>2282985554605</v>
      </c>
      <c r="G408">
        <v>5468836095370</v>
      </c>
      <c r="H408">
        <v>489353936565</v>
      </c>
      <c r="I408">
        <v>563726044478</v>
      </c>
      <c r="J408">
        <v>945667734863</v>
      </c>
      <c r="K408">
        <v>3957501999578</v>
      </c>
      <c r="L408">
        <v>4876665739511</v>
      </c>
      <c r="M408">
        <v>4998267322137</v>
      </c>
      <c r="N408">
        <v>350544805068</v>
      </c>
      <c r="O408">
        <v>319251235876</v>
      </c>
      <c r="P408">
        <v>358893849428</v>
      </c>
      <c r="Q408">
        <v>324927337584</v>
      </c>
    </row>
    <row r="409" spans="1:17" x14ac:dyDescent="0.35">
      <c r="A409" t="s">
        <v>1939</v>
      </c>
      <c r="B409" t="s">
        <v>50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7" x14ac:dyDescent="0.35">
      <c r="A410" t="s">
        <v>1939</v>
      </c>
      <c r="B410" t="s">
        <v>51</v>
      </c>
      <c r="C410">
        <v>323066865406</v>
      </c>
      <c r="D410">
        <v>535935126260</v>
      </c>
      <c r="E410">
        <v>808597726913</v>
      </c>
      <c r="F410">
        <v>2282985554605</v>
      </c>
      <c r="G410">
        <v>5468836095370</v>
      </c>
      <c r="H410">
        <v>489353936565</v>
      </c>
      <c r="I410">
        <v>563726044478</v>
      </c>
      <c r="J410">
        <v>945667734863</v>
      </c>
      <c r="K410">
        <v>3957501999578</v>
      </c>
      <c r="L410">
        <v>4876665739511</v>
      </c>
      <c r="M410">
        <v>4998267322137</v>
      </c>
      <c r="N410">
        <v>350544805068</v>
      </c>
      <c r="O410">
        <v>319251235876</v>
      </c>
      <c r="P410">
        <v>358893849428</v>
      </c>
      <c r="Q410">
        <v>324927337584</v>
      </c>
    </row>
    <row r="411" spans="1:17" x14ac:dyDescent="0.35">
      <c r="A411" t="s">
        <v>1939</v>
      </c>
      <c r="B411" t="s">
        <v>52</v>
      </c>
      <c r="C411">
        <v>0</v>
      </c>
      <c r="D411">
        <v>0</v>
      </c>
      <c r="E411">
        <v>0</v>
      </c>
      <c r="F411">
        <v>0</v>
      </c>
      <c r="G411">
        <v>87416555393</v>
      </c>
      <c r="H411">
        <v>100121996924</v>
      </c>
      <c r="I411">
        <v>103351533363</v>
      </c>
      <c r="J411">
        <v>108656721933</v>
      </c>
      <c r="K411">
        <v>101644623454</v>
      </c>
      <c r="L411">
        <v>112949964187</v>
      </c>
      <c r="M411">
        <v>118025308755</v>
      </c>
      <c r="N411">
        <v>165384011178</v>
      </c>
      <c r="O411">
        <v>156976319334</v>
      </c>
      <c r="P411">
        <v>168150343624</v>
      </c>
      <c r="Q411">
        <v>167595650157</v>
      </c>
    </row>
    <row r="412" spans="1:17" x14ac:dyDescent="0.35">
      <c r="A412" t="s">
        <v>1939</v>
      </c>
      <c r="B412" t="s">
        <v>53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7" x14ac:dyDescent="0.35">
      <c r="A413" t="s">
        <v>1939</v>
      </c>
      <c r="B413" t="s">
        <v>54</v>
      </c>
      <c r="C413">
        <v>0</v>
      </c>
      <c r="D413">
        <v>0</v>
      </c>
      <c r="E413">
        <v>0</v>
      </c>
      <c r="F413">
        <v>0</v>
      </c>
      <c r="G413">
        <v>93800000000</v>
      </c>
      <c r="H413">
        <v>100121996924</v>
      </c>
      <c r="I413">
        <v>103351533363</v>
      </c>
      <c r="J413">
        <v>108656721933</v>
      </c>
      <c r="K413">
        <v>101644623454</v>
      </c>
      <c r="L413">
        <v>112949964187</v>
      </c>
      <c r="M413">
        <v>118025308755</v>
      </c>
      <c r="N413">
        <v>165384011178</v>
      </c>
      <c r="O413">
        <v>156976319334</v>
      </c>
      <c r="P413">
        <v>168150343624</v>
      </c>
      <c r="Q413">
        <v>167595650157</v>
      </c>
    </row>
    <row r="414" spans="1:17" x14ac:dyDescent="0.35">
      <c r="A414" t="s">
        <v>1939</v>
      </c>
      <c r="B414" t="s">
        <v>55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7" x14ac:dyDescent="0.35">
      <c r="A415" t="s">
        <v>1939</v>
      </c>
      <c r="B415" t="s">
        <v>56</v>
      </c>
      <c r="C415">
        <v>0</v>
      </c>
      <c r="D415">
        <v>0</v>
      </c>
      <c r="E415">
        <v>0</v>
      </c>
      <c r="F415">
        <v>0</v>
      </c>
      <c r="G415">
        <v>-6383444607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7" x14ac:dyDescent="0.35">
      <c r="A416" t="s">
        <v>1939</v>
      </c>
      <c r="B416" t="s">
        <v>57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7" x14ac:dyDescent="0.35">
      <c r="A417" t="s">
        <v>1939</v>
      </c>
      <c r="B417" t="s">
        <v>58</v>
      </c>
      <c r="C417">
        <v>55867749575</v>
      </c>
      <c r="D417">
        <v>52877166677</v>
      </c>
      <c r="E417">
        <v>49107538517</v>
      </c>
      <c r="F417">
        <v>52689919508</v>
      </c>
      <c r="G417">
        <v>56268970866</v>
      </c>
      <c r="H417">
        <v>53574470881</v>
      </c>
      <c r="I417">
        <v>51689357933</v>
      </c>
      <c r="J417">
        <v>49776880202</v>
      </c>
      <c r="K417">
        <v>46079931280</v>
      </c>
      <c r="L417">
        <v>42385439710</v>
      </c>
      <c r="M417">
        <v>47545712418</v>
      </c>
      <c r="N417">
        <v>46657574842</v>
      </c>
      <c r="O417">
        <v>50590336649</v>
      </c>
      <c r="P417">
        <v>38339706058</v>
      </c>
      <c r="Q417">
        <v>36936554936</v>
      </c>
    </row>
    <row r="418" spans="1:17" x14ac:dyDescent="0.35">
      <c r="A418" t="s">
        <v>1939</v>
      </c>
      <c r="B418" t="s">
        <v>59</v>
      </c>
      <c r="C418">
        <v>44212703391</v>
      </c>
      <c r="D418">
        <v>40515271615</v>
      </c>
      <c r="E418">
        <v>38808546995</v>
      </c>
      <c r="F418">
        <v>43550908347</v>
      </c>
      <c r="G418">
        <v>48720080369</v>
      </c>
      <c r="H418">
        <v>42661278636</v>
      </c>
      <c r="I418">
        <v>39703044834</v>
      </c>
      <c r="J418">
        <v>36734442925</v>
      </c>
      <c r="K418">
        <v>35101796306</v>
      </c>
      <c r="L418">
        <v>28311557184</v>
      </c>
      <c r="M418">
        <v>29563272625</v>
      </c>
      <c r="N418">
        <v>28165942609</v>
      </c>
      <c r="O418">
        <v>37280642588</v>
      </c>
      <c r="P418">
        <v>29859287242</v>
      </c>
      <c r="Q418">
        <v>27455519096</v>
      </c>
    </row>
    <row r="419" spans="1:17" x14ac:dyDescent="0.35">
      <c r="A419" t="s">
        <v>1939</v>
      </c>
      <c r="B419" t="s">
        <v>60</v>
      </c>
      <c r="C419">
        <v>6876728791</v>
      </c>
      <c r="D419">
        <v>8032927051</v>
      </c>
      <c r="E419">
        <v>6415140192</v>
      </c>
      <c r="F419">
        <v>5700276513</v>
      </c>
      <c r="G419">
        <v>4555272530</v>
      </c>
      <c r="H419">
        <v>8364690959</v>
      </c>
      <c r="I419">
        <v>9882928494</v>
      </c>
      <c r="J419">
        <v>11384169354</v>
      </c>
      <c r="K419">
        <v>9764983732</v>
      </c>
      <c r="L419">
        <v>13305847965</v>
      </c>
      <c r="M419">
        <v>17982439793</v>
      </c>
      <c r="N419">
        <v>18491632233</v>
      </c>
      <c r="O419">
        <v>13309694061</v>
      </c>
      <c r="P419">
        <v>8480418816</v>
      </c>
      <c r="Q419">
        <v>9481035840</v>
      </c>
    </row>
    <row r="420" spans="1:17" x14ac:dyDescent="0.35">
      <c r="A420" t="s">
        <v>1939</v>
      </c>
      <c r="B420" t="s">
        <v>61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7" x14ac:dyDescent="0.35">
      <c r="A421" t="s">
        <v>1939</v>
      </c>
      <c r="B421" t="s">
        <v>62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7" x14ac:dyDescent="0.35">
      <c r="A422" t="s">
        <v>1939</v>
      </c>
      <c r="B422" t="s">
        <v>63</v>
      </c>
      <c r="C422">
        <v>4778317393</v>
      </c>
      <c r="D422">
        <v>4328968011</v>
      </c>
      <c r="E422">
        <v>3883851330</v>
      </c>
      <c r="F422">
        <v>3438734648</v>
      </c>
      <c r="G422">
        <v>2993617967</v>
      </c>
      <c r="H422">
        <v>2548501286</v>
      </c>
      <c r="I422">
        <v>2103384605</v>
      </c>
      <c r="J422">
        <v>1658267923</v>
      </c>
      <c r="K422">
        <v>1213151242</v>
      </c>
      <c r="L422">
        <v>768034561</v>
      </c>
      <c r="M422">
        <v>0</v>
      </c>
      <c r="N422">
        <v>0</v>
      </c>
    </row>
    <row r="423" spans="1:17" x14ac:dyDescent="0.35">
      <c r="A423" t="s">
        <v>1939</v>
      </c>
      <c r="B423" t="s">
        <v>64</v>
      </c>
      <c r="C423">
        <v>7088753029430</v>
      </c>
      <c r="D423">
        <v>7767669980574</v>
      </c>
      <c r="E423">
        <v>7684415020786</v>
      </c>
      <c r="F423">
        <v>9735330528507</v>
      </c>
      <c r="G423">
        <v>12559843900712</v>
      </c>
      <c r="H423">
        <v>12472678495219</v>
      </c>
      <c r="I423">
        <v>12599491140072</v>
      </c>
      <c r="J423">
        <v>12672652154148</v>
      </c>
      <c r="K423">
        <v>16156993776067</v>
      </c>
      <c r="L423">
        <v>17118154447225</v>
      </c>
      <c r="M423">
        <v>16498013447921</v>
      </c>
      <c r="N423">
        <v>16336518897020</v>
      </c>
      <c r="O423">
        <v>16335606725574</v>
      </c>
      <c r="P423">
        <v>16132370906968</v>
      </c>
      <c r="Q423">
        <v>16152857699551</v>
      </c>
    </row>
    <row r="424" spans="1:17" x14ac:dyDescent="0.35">
      <c r="A424" t="s">
        <v>1939</v>
      </c>
      <c r="B424" t="s">
        <v>65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7" x14ac:dyDescent="0.35">
      <c r="A425" t="s">
        <v>1939</v>
      </c>
      <c r="B425" t="s">
        <v>66</v>
      </c>
      <c r="C425">
        <v>4330908044739</v>
      </c>
      <c r="D425">
        <v>4298585122931</v>
      </c>
      <c r="E425">
        <v>4348049944553</v>
      </c>
      <c r="F425">
        <v>6332048625129</v>
      </c>
      <c r="G425">
        <v>9022988132594</v>
      </c>
      <c r="H425">
        <v>8734985031041</v>
      </c>
      <c r="I425">
        <v>8691671127403</v>
      </c>
      <c r="J425">
        <v>8734059742526</v>
      </c>
      <c r="K425">
        <v>11262659512795</v>
      </c>
      <c r="L425">
        <v>11488419175269</v>
      </c>
      <c r="M425">
        <v>10764968249180</v>
      </c>
      <c r="N425">
        <v>10597414585681</v>
      </c>
      <c r="O425">
        <v>10662315160975</v>
      </c>
      <c r="P425">
        <v>10365048514986</v>
      </c>
      <c r="Q425">
        <v>10259620128232</v>
      </c>
    </row>
    <row r="426" spans="1:17" x14ac:dyDescent="0.35">
      <c r="A426" t="s">
        <v>1939</v>
      </c>
      <c r="B426" t="s">
        <v>67</v>
      </c>
      <c r="C426">
        <v>1149753167063</v>
      </c>
      <c r="D426">
        <v>1092499627307</v>
      </c>
      <c r="E426">
        <v>1087590268550</v>
      </c>
      <c r="F426">
        <v>1741950380234</v>
      </c>
      <c r="G426">
        <v>2974201489417</v>
      </c>
      <c r="H426">
        <v>1005554522661</v>
      </c>
      <c r="I426">
        <v>881426351338</v>
      </c>
      <c r="J426">
        <v>1734700914601</v>
      </c>
      <c r="K426">
        <v>3587367732759</v>
      </c>
      <c r="L426">
        <v>2070603380359</v>
      </c>
      <c r="M426">
        <v>1527927465963</v>
      </c>
      <c r="N426">
        <v>984070603010</v>
      </c>
      <c r="O426">
        <v>1507856583268</v>
      </c>
      <c r="P426">
        <v>1679163688421</v>
      </c>
      <c r="Q426">
        <v>1692725940150</v>
      </c>
    </row>
    <row r="427" spans="1:17" x14ac:dyDescent="0.35">
      <c r="A427" t="s">
        <v>1939</v>
      </c>
      <c r="B427" t="s">
        <v>68</v>
      </c>
      <c r="C427">
        <v>108976978146</v>
      </c>
      <c r="D427">
        <v>375696287279</v>
      </c>
      <c r="E427">
        <v>334802624518</v>
      </c>
      <c r="F427">
        <v>1229792552206</v>
      </c>
      <c r="G427">
        <v>2344668116805</v>
      </c>
      <c r="H427">
        <v>439935018347</v>
      </c>
      <c r="I427">
        <v>243234882423</v>
      </c>
      <c r="J427">
        <v>953704087461</v>
      </c>
      <c r="K427">
        <v>2788231689457</v>
      </c>
      <c r="L427">
        <v>1224607420026</v>
      </c>
      <c r="M427">
        <v>724884866814</v>
      </c>
      <c r="N427">
        <v>99188027694</v>
      </c>
      <c r="O427">
        <v>91913676201</v>
      </c>
      <c r="P427">
        <v>74935697190</v>
      </c>
      <c r="Q427">
        <v>115159498574</v>
      </c>
    </row>
    <row r="428" spans="1:17" x14ac:dyDescent="0.35">
      <c r="A428" t="s">
        <v>1939</v>
      </c>
      <c r="B428" t="s">
        <v>69</v>
      </c>
      <c r="C428">
        <v>19214172917</v>
      </c>
      <c r="D428">
        <v>3427489507</v>
      </c>
      <c r="E428">
        <v>1731119787</v>
      </c>
      <c r="F428">
        <v>1437362987</v>
      </c>
      <c r="G428">
        <v>1559672987</v>
      </c>
      <c r="H428">
        <v>2866006194</v>
      </c>
      <c r="I428">
        <v>2796842212</v>
      </c>
      <c r="J428">
        <v>70836820472</v>
      </c>
      <c r="K428">
        <v>3912448863</v>
      </c>
      <c r="L428">
        <v>2367202447</v>
      </c>
      <c r="M428">
        <v>2366162987</v>
      </c>
      <c r="N428">
        <v>1437362987</v>
      </c>
      <c r="O428">
        <v>1438402447</v>
      </c>
      <c r="P428">
        <v>1930007663</v>
      </c>
      <c r="Q428">
        <v>1438402447</v>
      </c>
    </row>
    <row r="429" spans="1:17" x14ac:dyDescent="0.35">
      <c r="A429" t="s">
        <v>1939</v>
      </c>
      <c r="B429" t="s">
        <v>70</v>
      </c>
      <c r="C429">
        <v>20872140875</v>
      </c>
      <c r="D429">
        <v>38010801142</v>
      </c>
      <c r="E429">
        <v>19814286337</v>
      </c>
      <c r="F429">
        <v>22072987631</v>
      </c>
      <c r="G429">
        <v>40613446185</v>
      </c>
      <c r="H429">
        <v>65532053995</v>
      </c>
      <c r="I429">
        <v>31220138605</v>
      </c>
      <c r="J429">
        <v>33659331970</v>
      </c>
      <c r="K429">
        <v>55200361504</v>
      </c>
      <c r="L429">
        <v>47192516863</v>
      </c>
      <c r="M429">
        <v>26894094174</v>
      </c>
      <c r="N429">
        <v>26579397504</v>
      </c>
      <c r="O429">
        <v>43075624435</v>
      </c>
      <c r="P429">
        <v>58180592288</v>
      </c>
      <c r="Q429">
        <v>26646957443</v>
      </c>
    </row>
    <row r="430" spans="1:17" x14ac:dyDescent="0.35">
      <c r="A430" t="s">
        <v>1939</v>
      </c>
      <c r="B430" t="s">
        <v>71</v>
      </c>
      <c r="C430">
        <v>888635931</v>
      </c>
      <c r="D430">
        <v>942072351</v>
      </c>
      <c r="E430">
        <v>16800385</v>
      </c>
      <c r="F430">
        <v>36694863</v>
      </c>
      <c r="G430">
        <v>33200336</v>
      </c>
      <c r="H430">
        <v>342164130</v>
      </c>
      <c r="I430">
        <v>2668476</v>
      </c>
      <c r="J430">
        <v>2668476</v>
      </c>
      <c r="K430">
        <v>4256090070</v>
      </c>
      <c r="L430">
        <v>940875532</v>
      </c>
      <c r="M430">
        <v>4489915</v>
      </c>
      <c r="N430">
        <v>2668477</v>
      </c>
      <c r="O430">
        <v>4790783448</v>
      </c>
      <c r="P430">
        <v>637738211</v>
      </c>
      <c r="Q430">
        <v>36649971</v>
      </c>
    </row>
    <row r="431" spans="1:17" x14ac:dyDescent="0.35">
      <c r="A431" t="s">
        <v>1939</v>
      </c>
      <c r="B431" t="s">
        <v>72</v>
      </c>
      <c r="C431">
        <v>52563471091</v>
      </c>
      <c r="D431">
        <v>27426413829</v>
      </c>
      <c r="E431">
        <v>19865838140</v>
      </c>
      <c r="F431">
        <v>24654291311</v>
      </c>
      <c r="G431">
        <v>59456965724</v>
      </c>
      <c r="H431">
        <v>31770419492</v>
      </c>
      <c r="I431">
        <v>104416280224</v>
      </c>
      <c r="J431">
        <v>27739549955</v>
      </c>
      <c r="K431">
        <v>48006449697</v>
      </c>
      <c r="L431">
        <v>62576739763</v>
      </c>
      <c r="M431">
        <v>92688557685</v>
      </c>
      <c r="N431">
        <v>91912740032</v>
      </c>
      <c r="O431">
        <v>83080302061</v>
      </c>
      <c r="P431">
        <v>50007562902</v>
      </c>
      <c r="Q431">
        <v>105860812337</v>
      </c>
    </row>
    <row r="432" spans="1:17" x14ac:dyDescent="0.35">
      <c r="A432" t="s">
        <v>1939</v>
      </c>
      <c r="B432" t="s">
        <v>73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7" x14ac:dyDescent="0.35">
      <c r="A433" t="s">
        <v>1939</v>
      </c>
      <c r="B433" t="s">
        <v>74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7" x14ac:dyDescent="0.35">
      <c r="A434" t="s">
        <v>1939</v>
      </c>
      <c r="B434" t="s">
        <v>75</v>
      </c>
      <c r="C434">
        <v>230416271</v>
      </c>
      <c r="D434">
        <v>245510991</v>
      </c>
      <c r="E434">
        <v>228935391</v>
      </c>
      <c r="F434">
        <v>212359791</v>
      </c>
      <c r="G434">
        <v>195784191</v>
      </c>
      <c r="H434">
        <v>211935870</v>
      </c>
      <c r="I434">
        <v>195360270</v>
      </c>
      <c r="J434">
        <v>178784670</v>
      </c>
      <c r="K434">
        <v>223572707</v>
      </c>
      <c r="L434">
        <v>260178925</v>
      </c>
      <c r="M434">
        <v>333148779</v>
      </c>
      <c r="N434">
        <v>263118633</v>
      </c>
      <c r="O434">
        <v>193088487</v>
      </c>
      <c r="P434">
        <v>117512892</v>
      </c>
      <c r="Q434">
        <v>170482747</v>
      </c>
    </row>
    <row r="435" spans="1:17" x14ac:dyDescent="0.35">
      <c r="A435" t="s">
        <v>1939</v>
      </c>
      <c r="B435" t="s">
        <v>76</v>
      </c>
      <c r="C435">
        <v>11200202621</v>
      </c>
      <c r="D435">
        <v>12152396741</v>
      </c>
      <c r="E435">
        <v>10331006995</v>
      </c>
      <c r="F435">
        <v>11502341449</v>
      </c>
      <c r="G435">
        <v>31384040809</v>
      </c>
      <c r="H435">
        <v>16729849363</v>
      </c>
      <c r="I435">
        <v>11123654467</v>
      </c>
      <c r="J435">
        <v>11755177015</v>
      </c>
      <c r="K435">
        <v>16646980160</v>
      </c>
      <c r="L435">
        <v>8649795774</v>
      </c>
      <c r="M435">
        <v>13469499989</v>
      </c>
      <c r="N435">
        <v>19288314924</v>
      </c>
      <c r="O435">
        <v>50771818399</v>
      </c>
      <c r="P435">
        <v>9956056446</v>
      </c>
      <c r="Q435">
        <v>8996491812</v>
      </c>
    </row>
    <row r="436" spans="1:17" x14ac:dyDescent="0.35">
      <c r="A436" t="s">
        <v>1939</v>
      </c>
      <c r="B436" t="s">
        <v>77</v>
      </c>
      <c r="C436">
        <v>909872881204</v>
      </c>
      <c r="D436">
        <v>598884827153</v>
      </c>
      <c r="E436">
        <v>673596542917</v>
      </c>
      <c r="F436">
        <v>420108253895</v>
      </c>
      <c r="G436">
        <v>459494543726</v>
      </c>
      <c r="H436">
        <v>407690961028</v>
      </c>
      <c r="I436">
        <v>458440707149</v>
      </c>
      <c r="J436">
        <v>603968688000</v>
      </c>
      <c r="K436">
        <v>628953667189</v>
      </c>
      <c r="L436">
        <v>662987640328</v>
      </c>
      <c r="M436">
        <v>617738554417</v>
      </c>
      <c r="N436">
        <v>695656404661</v>
      </c>
      <c r="O436">
        <v>1188212161500</v>
      </c>
      <c r="P436">
        <v>1414512464303</v>
      </c>
      <c r="Q436">
        <v>1371499575428</v>
      </c>
    </row>
    <row r="437" spans="1:17" x14ac:dyDescent="0.35">
      <c r="A437" t="s">
        <v>1939</v>
      </c>
      <c r="B437" t="s">
        <v>78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7" x14ac:dyDescent="0.35">
      <c r="A438" t="s">
        <v>1939</v>
      </c>
      <c r="B438" t="s">
        <v>79</v>
      </c>
      <c r="C438">
        <v>25934268007</v>
      </c>
      <c r="D438">
        <v>35713828314</v>
      </c>
      <c r="E438">
        <v>27203114080</v>
      </c>
      <c r="F438">
        <v>32133536101</v>
      </c>
      <c r="G438">
        <v>36795718654</v>
      </c>
      <c r="H438">
        <v>40476114242</v>
      </c>
      <c r="I438">
        <v>29995817512</v>
      </c>
      <c r="J438">
        <v>32855806582</v>
      </c>
      <c r="K438">
        <v>41936473112</v>
      </c>
      <c r="L438">
        <v>61021010701</v>
      </c>
      <c r="M438">
        <v>49548091203</v>
      </c>
      <c r="N438">
        <v>49742568098</v>
      </c>
      <c r="O438">
        <v>44380726290</v>
      </c>
      <c r="P438">
        <v>68886056526</v>
      </c>
      <c r="Q438">
        <v>62917069391</v>
      </c>
    </row>
    <row r="439" spans="1:17" x14ac:dyDescent="0.35">
      <c r="A439" t="s">
        <v>1939</v>
      </c>
      <c r="B439" t="s">
        <v>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7" x14ac:dyDescent="0.35">
      <c r="A440" t="s">
        <v>1939</v>
      </c>
      <c r="B440" t="s">
        <v>81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7" x14ac:dyDescent="0.35">
      <c r="A441" t="s">
        <v>1939</v>
      </c>
      <c r="B441" t="s">
        <v>82</v>
      </c>
      <c r="C441">
        <v>3181154877676</v>
      </c>
      <c r="D441">
        <v>3206085495624</v>
      </c>
      <c r="E441">
        <v>3260459676003</v>
      </c>
      <c r="F441">
        <v>4590098244895</v>
      </c>
      <c r="G441">
        <v>6048786643177</v>
      </c>
      <c r="H441">
        <v>7729430508380</v>
      </c>
      <c r="I441">
        <v>7810244776065</v>
      </c>
      <c r="J441">
        <v>6999358827925</v>
      </c>
      <c r="K441">
        <v>7675291780036</v>
      </c>
      <c r="L441">
        <v>9417815794910</v>
      </c>
      <c r="M441">
        <v>9237040783217</v>
      </c>
      <c r="N441">
        <v>9613343982671</v>
      </c>
      <c r="O441">
        <v>9154458577707</v>
      </c>
      <c r="P441">
        <v>8685884826565</v>
      </c>
      <c r="Q441">
        <v>8566894188082</v>
      </c>
    </row>
    <row r="442" spans="1:17" x14ac:dyDescent="0.35">
      <c r="A442" t="s">
        <v>1939</v>
      </c>
      <c r="B442" t="s">
        <v>83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1030865926782</v>
      </c>
      <c r="I442">
        <v>1151383264809</v>
      </c>
      <c r="J442">
        <v>378121275358</v>
      </c>
      <c r="K442">
        <v>519932670555</v>
      </c>
      <c r="L442">
        <v>151309883176</v>
      </c>
      <c r="M442">
        <v>142988359016</v>
      </c>
      <c r="N442">
        <v>143488189446</v>
      </c>
      <c r="O442">
        <v>96043131584</v>
      </c>
    </row>
    <row r="443" spans="1:17" x14ac:dyDescent="0.35">
      <c r="A443" t="s">
        <v>1939</v>
      </c>
      <c r="B443" t="s">
        <v>84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7" x14ac:dyDescent="0.35">
      <c r="A444" t="s">
        <v>1939</v>
      </c>
      <c r="B444" t="s">
        <v>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7" x14ac:dyDescent="0.35">
      <c r="A445" t="s">
        <v>1939</v>
      </c>
      <c r="B445" t="s">
        <v>86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7" x14ac:dyDescent="0.35">
      <c r="A446" t="s">
        <v>1939</v>
      </c>
      <c r="B446" t="s">
        <v>87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7" x14ac:dyDescent="0.35">
      <c r="A447" t="s">
        <v>1939</v>
      </c>
      <c r="B447" t="s">
        <v>88</v>
      </c>
      <c r="C447">
        <v>0</v>
      </c>
      <c r="D447">
        <v>0</v>
      </c>
      <c r="E447">
        <v>43926287</v>
      </c>
      <c r="F447">
        <v>41614376</v>
      </c>
      <c r="G447">
        <v>39302466</v>
      </c>
      <c r="H447">
        <v>36990556</v>
      </c>
      <c r="I447">
        <v>34678645</v>
      </c>
      <c r="J447">
        <v>32366734</v>
      </c>
      <c r="K447">
        <v>295963913</v>
      </c>
      <c r="L447">
        <v>273197457</v>
      </c>
      <c r="M447">
        <v>270885546</v>
      </c>
      <c r="N447">
        <v>268573635</v>
      </c>
      <c r="O447">
        <v>266261724</v>
      </c>
      <c r="P447">
        <v>423040722</v>
      </c>
      <c r="Q447">
        <v>338910629</v>
      </c>
    </row>
    <row r="448" spans="1:17" x14ac:dyDescent="0.35">
      <c r="A448" t="s">
        <v>1939</v>
      </c>
      <c r="B448" t="s">
        <v>89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11870621</v>
      </c>
      <c r="K448">
        <v>0</v>
      </c>
      <c r="L448">
        <v>0</v>
      </c>
      <c r="M448">
        <v>0</v>
      </c>
      <c r="N448">
        <v>0</v>
      </c>
      <c r="O448">
        <v>48199800000</v>
      </c>
      <c r="P448">
        <v>1399800000</v>
      </c>
    </row>
    <row r="449" spans="1:17" x14ac:dyDescent="0.35">
      <c r="A449" t="s">
        <v>1939</v>
      </c>
      <c r="B449" t="s">
        <v>90</v>
      </c>
      <c r="C449">
        <v>3177504696711</v>
      </c>
      <c r="D449">
        <v>3202587035002</v>
      </c>
      <c r="E449">
        <v>3256945055246</v>
      </c>
      <c r="F449">
        <v>4586613702201</v>
      </c>
      <c r="G449">
        <v>6045332178545</v>
      </c>
      <c r="H449">
        <v>6695140195028</v>
      </c>
      <c r="I449">
        <v>6655467202749</v>
      </c>
      <c r="J449">
        <v>6617861451502</v>
      </c>
      <c r="K449">
        <v>7151759042010</v>
      </c>
      <c r="L449">
        <v>9264097059149</v>
      </c>
      <c r="M449">
        <v>9091673648051</v>
      </c>
      <c r="N449">
        <v>9467551236517</v>
      </c>
      <c r="O449">
        <v>9007917338265</v>
      </c>
      <c r="P449">
        <v>8681996151843</v>
      </c>
      <c r="Q449">
        <v>8564547707203</v>
      </c>
    </row>
    <row r="450" spans="1:17" x14ac:dyDescent="0.35">
      <c r="A450" t="s">
        <v>1939</v>
      </c>
      <c r="B450" t="s">
        <v>91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7" x14ac:dyDescent="0.35">
      <c r="A451" t="s">
        <v>1939</v>
      </c>
      <c r="B451" t="s">
        <v>92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7" x14ac:dyDescent="0.35">
      <c r="A452" t="s">
        <v>1939</v>
      </c>
      <c r="B452" t="s">
        <v>93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7" x14ac:dyDescent="0.35">
      <c r="A453" t="s">
        <v>1939</v>
      </c>
      <c r="B453" t="s">
        <v>94</v>
      </c>
      <c r="C453">
        <v>3261077206</v>
      </c>
      <c r="D453">
        <v>3215584109</v>
      </c>
      <c r="E453">
        <v>3215584109</v>
      </c>
      <c r="F453">
        <v>3215584109</v>
      </c>
      <c r="G453">
        <v>3215584109</v>
      </c>
      <c r="H453">
        <v>3215584109</v>
      </c>
      <c r="I453">
        <v>3215584109</v>
      </c>
      <c r="J453">
        <v>3215584109</v>
      </c>
      <c r="K453">
        <v>3215584109</v>
      </c>
      <c r="L453">
        <v>2074900200</v>
      </c>
      <c r="M453">
        <v>2074900200</v>
      </c>
      <c r="N453">
        <v>2030587450</v>
      </c>
      <c r="O453">
        <v>2030587450</v>
      </c>
      <c r="P453">
        <v>2065834000</v>
      </c>
      <c r="Q453">
        <v>2007570250</v>
      </c>
    </row>
    <row r="454" spans="1:17" x14ac:dyDescent="0.35">
      <c r="A454" t="s">
        <v>1939</v>
      </c>
      <c r="B454" t="s">
        <v>95</v>
      </c>
      <c r="C454">
        <v>389103759</v>
      </c>
      <c r="D454">
        <v>282876513</v>
      </c>
      <c r="E454">
        <v>255110361</v>
      </c>
      <c r="F454">
        <v>227344209</v>
      </c>
      <c r="G454">
        <v>199578057</v>
      </c>
      <c r="H454">
        <v>171811905</v>
      </c>
      <c r="I454">
        <v>144045753</v>
      </c>
      <c r="J454">
        <v>116279601</v>
      </c>
      <c r="K454">
        <v>88519449</v>
      </c>
      <c r="L454">
        <v>60754928</v>
      </c>
      <c r="M454">
        <v>32990404</v>
      </c>
      <c r="N454">
        <v>5395623</v>
      </c>
      <c r="O454">
        <v>1458684</v>
      </c>
    </row>
    <row r="455" spans="1:17" x14ac:dyDescent="0.35">
      <c r="A455" t="s">
        <v>1939</v>
      </c>
      <c r="B455" t="s">
        <v>96</v>
      </c>
      <c r="C455">
        <v>2757844984691</v>
      </c>
      <c r="D455">
        <v>3469084857643</v>
      </c>
      <c r="E455">
        <v>3336365076233</v>
      </c>
      <c r="F455">
        <v>3403281903378</v>
      </c>
      <c r="G455">
        <v>3536855768118</v>
      </c>
      <c r="H455">
        <v>3737693464178</v>
      </c>
      <c r="I455">
        <v>3907820012669</v>
      </c>
      <c r="J455">
        <v>3938592411622</v>
      </c>
      <c r="K455">
        <v>4894334263272</v>
      </c>
      <c r="L455">
        <v>5629735271956</v>
      </c>
      <c r="M455">
        <v>5733045198741</v>
      </c>
      <c r="N455">
        <v>5739104311339</v>
      </c>
      <c r="O455">
        <v>5673291564599</v>
      </c>
      <c r="P455">
        <v>5767322391982</v>
      </c>
      <c r="Q455">
        <v>5893237571319</v>
      </c>
    </row>
    <row r="456" spans="1:17" x14ac:dyDescent="0.35">
      <c r="A456" t="s">
        <v>1939</v>
      </c>
      <c r="B456" t="s">
        <v>97</v>
      </c>
      <c r="C456">
        <v>2757844984691</v>
      </c>
      <c r="D456">
        <v>3469084857643</v>
      </c>
      <c r="E456">
        <v>3336365076233</v>
      </c>
      <c r="F456">
        <v>3403281903378</v>
      </c>
      <c r="G456">
        <v>3536855768118</v>
      </c>
      <c r="H456">
        <v>3737693464178</v>
      </c>
      <c r="I456">
        <v>3907820012669</v>
      </c>
      <c r="J456">
        <v>3938592411622</v>
      </c>
      <c r="K456">
        <v>4894334263272</v>
      </c>
      <c r="L456">
        <v>5629735271956</v>
      </c>
      <c r="M456">
        <v>5733045198741</v>
      </c>
      <c r="N456">
        <v>5739104311339</v>
      </c>
      <c r="O456">
        <v>5673291564599</v>
      </c>
      <c r="P456">
        <v>5767322391982</v>
      </c>
      <c r="Q456">
        <v>5893237571319</v>
      </c>
    </row>
    <row r="457" spans="1:17" x14ac:dyDescent="0.35">
      <c r="A457" t="s">
        <v>1939</v>
      </c>
      <c r="B457" t="s">
        <v>98</v>
      </c>
      <c r="C457">
        <v>2202209020000</v>
      </c>
      <c r="D457">
        <v>2711751880000</v>
      </c>
      <c r="E457">
        <v>2711751880000</v>
      </c>
      <c r="F457">
        <v>2711751880000</v>
      </c>
      <c r="G457">
        <v>3037155260000</v>
      </c>
      <c r="H457">
        <v>3037155260000</v>
      </c>
      <c r="I457">
        <v>3037155260000</v>
      </c>
      <c r="J457">
        <v>3219369020000</v>
      </c>
      <c r="K457">
        <v>3219369020000</v>
      </c>
      <c r="L457">
        <v>3861369020000</v>
      </c>
      <c r="M457">
        <v>3861369020000</v>
      </c>
      <c r="N457">
        <v>3861369020000</v>
      </c>
      <c r="O457">
        <v>4054494010000</v>
      </c>
      <c r="P457">
        <v>4054494010000</v>
      </c>
      <c r="Q457">
        <v>4054494010000</v>
      </c>
    </row>
    <row r="458" spans="1:17" x14ac:dyDescent="0.35">
      <c r="A458" t="s">
        <v>1939</v>
      </c>
      <c r="B458" t="s">
        <v>99</v>
      </c>
      <c r="C458">
        <v>2202209020000</v>
      </c>
      <c r="D458">
        <v>2711751880000</v>
      </c>
      <c r="E458">
        <v>2711751880000</v>
      </c>
      <c r="F458">
        <v>2711751880000</v>
      </c>
      <c r="G458">
        <v>3037155260000</v>
      </c>
      <c r="H458">
        <v>3037155260000</v>
      </c>
      <c r="I458">
        <v>3037155260000</v>
      </c>
      <c r="J458">
        <v>3219369020000</v>
      </c>
      <c r="K458">
        <v>3219369020000</v>
      </c>
      <c r="L458">
        <v>3219369020000</v>
      </c>
      <c r="M458">
        <v>3219369020000</v>
      </c>
      <c r="N458">
        <v>3219369020000</v>
      </c>
      <c r="O458">
        <v>4054494010000</v>
      </c>
      <c r="P458">
        <v>3412494010000</v>
      </c>
      <c r="Q458">
        <v>3412494010000</v>
      </c>
    </row>
    <row r="459" spans="1:17" x14ac:dyDescent="0.35">
      <c r="A459" t="s">
        <v>1939</v>
      </c>
      <c r="B459" t="s">
        <v>100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642000000000</v>
      </c>
      <c r="M459">
        <v>642000000000</v>
      </c>
      <c r="N459">
        <v>642000000000</v>
      </c>
      <c r="P459">
        <v>642000000000</v>
      </c>
      <c r="Q459">
        <v>642000000000</v>
      </c>
    </row>
    <row r="460" spans="1:17" x14ac:dyDescent="0.35">
      <c r="A460" t="s">
        <v>1939</v>
      </c>
      <c r="B460" t="s">
        <v>101</v>
      </c>
      <c r="C460">
        <v>38672862153</v>
      </c>
      <c r="D460">
        <v>38206262153</v>
      </c>
      <c r="E460">
        <v>38206262153</v>
      </c>
      <c r="F460">
        <v>38178762153</v>
      </c>
      <c r="G460">
        <v>37852662153</v>
      </c>
      <c r="H460">
        <v>37852662153</v>
      </c>
      <c r="I460">
        <v>37852662153</v>
      </c>
      <c r="J460">
        <v>37605662153</v>
      </c>
      <c r="K460">
        <v>37605662153</v>
      </c>
      <c r="L460">
        <v>25866057484</v>
      </c>
      <c r="M460">
        <v>20730057484</v>
      </c>
      <c r="N460">
        <v>20730057484</v>
      </c>
      <c r="O460">
        <v>20700057484</v>
      </c>
      <c r="P460">
        <v>20700057484</v>
      </c>
      <c r="Q460">
        <v>20700057484</v>
      </c>
    </row>
    <row r="461" spans="1:17" x14ac:dyDescent="0.35">
      <c r="A461" t="s">
        <v>1939</v>
      </c>
      <c r="B461" t="s">
        <v>102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7" x14ac:dyDescent="0.35">
      <c r="A462" t="s">
        <v>1939</v>
      </c>
      <c r="B462" t="s">
        <v>103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7" x14ac:dyDescent="0.35">
      <c r="A463" t="s">
        <v>1939</v>
      </c>
      <c r="B463" t="s">
        <v>104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7" x14ac:dyDescent="0.35">
      <c r="A464" t="s">
        <v>1939</v>
      </c>
      <c r="B464" t="s">
        <v>105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8" x14ac:dyDescent="0.35">
      <c r="A465" t="s">
        <v>1939</v>
      </c>
      <c r="B465" t="s">
        <v>106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8" x14ac:dyDescent="0.35">
      <c r="A466" t="s">
        <v>1939</v>
      </c>
      <c r="B466" t="s">
        <v>107</v>
      </c>
      <c r="C466">
        <v>81891123412</v>
      </c>
      <c r="D466">
        <v>87318702905</v>
      </c>
      <c r="E466">
        <v>87318702905</v>
      </c>
      <c r="F466">
        <v>88861149503</v>
      </c>
      <c r="G466">
        <v>92105874835</v>
      </c>
      <c r="H466">
        <v>94241012572</v>
      </c>
      <c r="I466">
        <v>94241012572</v>
      </c>
      <c r="J466">
        <v>91555925643</v>
      </c>
      <c r="K466">
        <v>97163508885</v>
      </c>
      <c r="L466">
        <v>98024005628</v>
      </c>
      <c r="M466">
        <v>96354085823</v>
      </c>
      <c r="N466">
        <v>96354085823</v>
      </c>
      <c r="O466">
        <v>96354085823</v>
      </c>
      <c r="P466">
        <v>96354085823</v>
      </c>
      <c r="Q466">
        <v>96354085823</v>
      </c>
    </row>
    <row r="467" spans="1:18" x14ac:dyDescent="0.35">
      <c r="A467" t="s">
        <v>1939</v>
      </c>
      <c r="B467" t="s">
        <v>108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8" x14ac:dyDescent="0.35">
      <c r="A468" t="s">
        <v>1939</v>
      </c>
      <c r="B468" t="s">
        <v>109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8" x14ac:dyDescent="0.35">
      <c r="A469" t="s">
        <v>1939</v>
      </c>
      <c r="B469" t="s">
        <v>110</v>
      </c>
      <c r="C469">
        <v>171172112127</v>
      </c>
      <c r="D469">
        <v>231014052997</v>
      </c>
      <c r="E469">
        <v>231505080953</v>
      </c>
      <c r="F469">
        <v>289760084664</v>
      </c>
      <c r="G469">
        <v>154728722342</v>
      </c>
      <c r="H469">
        <v>208327095118</v>
      </c>
      <c r="I469">
        <v>346144850249</v>
      </c>
      <c r="J469">
        <v>188803613752</v>
      </c>
      <c r="K469">
        <v>298596293681</v>
      </c>
      <c r="L469">
        <v>292430636129</v>
      </c>
      <c r="M469">
        <v>365673855426</v>
      </c>
      <c r="N469">
        <v>372902522470</v>
      </c>
      <c r="O469">
        <v>154385422562</v>
      </c>
      <c r="P469">
        <v>178508233688</v>
      </c>
      <c r="Q469">
        <v>267835156867</v>
      </c>
    </row>
    <row r="470" spans="1:18" x14ac:dyDescent="0.35">
      <c r="A470" t="s">
        <v>1939</v>
      </c>
      <c r="B470" t="s">
        <v>111</v>
      </c>
      <c r="C470">
        <v>169527547500</v>
      </c>
      <c r="D470">
        <v>229369488370</v>
      </c>
      <c r="E470">
        <v>62732272173</v>
      </c>
      <c r="F470">
        <v>91515029714</v>
      </c>
      <c r="G470">
        <v>150567399032</v>
      </c>
      <c r="H470">
        <v>189833948053</v>
      </c>
      <c r="I470">
        <v>142058564268</v>
      </c>
      <c r="J470">
        <v>129292117012</v>
      </c>
      <c r="K470">
        <v>26069414611</v>
      </c>
      <c r="L470">
        <v>26113335118</v>
      </c>
      <c r="M470">
        <v>291105959025</v>
      </c>
      <c r="N470">
        <v>291057600640</v>
      </c>
      <c r="O470">
        <v>130505798208</v>
      </c>
      <c r="P470">
        <v>99305646129</v>
      </c>
      <c r="Q470">
        <v>178508233688</v>
      </c>
    </row>
    <row r="471" spans="1:18" x14ac:dyDescent="0.35">
      <c r="A471" t="s">
        <v>1939</v>
      </c>
      <c r="B471" t="s">
        <v>112</v>
      </c>
      <c r="C471">
        <v>1644564627</v>
      </c>
      <c r="D471">
        <v>1644564627</v>
      </c>
      <c r="E471">
        <v>168772808780</v>
      </c>
      <c r="F471">
        <v>198245054950</v>
      </c>
      <c r="G471">
        <v>4161323310</v>
      </c>
      <c r="H471">
        <v>18493147065</v>
      </c>
      <c r="I471">
        <v>204086285981</v>
      </c>
      <c r="J471">
        <v>59511496740</v>
      </c>
      <c r="K471">
        <v>272526879070</v>
      </c>
      <c r="L471">
        <v>266317301011</v>
      </c>
      <c r="M471">
        <v>74567896401</v>
      </c>
      <c r="N471">
        <v>81844921830</v>
      </c>
      <c r="O471">
        <v>23879624354</v>
      </c>
      <c r="P471">
        <v>79202587559</v>
      </c>
      <c r="Q471">
        <v>89326923179</v>
      </c>
    </row>
    <row r="472" spans="1:18" x14ac:dyDescent="0.35">
      <c r="A472" t="s">
        <v>1939</v>
      </c>
      <c r="B472" t="s">
        <v>113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8" x14ac:dyDescent="0.35">
      <c r="A473" t="s">
        <v>1939</v>
      </c>
      <c r="B473" t="s">
        <v>114</v>
      </c>
      <c r="C473">
        <v>263899866999</v>
      </c>
      <c r="D473">
        <v>400793959588</v>
      </c>
      <c r="E473">
        <v>267583150222</v>
      </c>
      <c r="F473">
        <v>274730027058</v>
      </c>
      <c r="G473">
        <v>215013248788</v>
      </c>
      <c r="H473">
        <v>360117434335</v>
      </c>
      <c r="I473">
        <v>392426227695</v>
      </c>
      <c r="J473">
        <v>401258190074</v>
      </c>
      <c r="K473">
        <v>1241599778553</v>
      </c>
      <c r="L473">
        <v>1352045552715</v>
      </c>
      <c r="M473">
        <v>1388918180008</v>
      </c>
      <c r="N473">
        <v>1387748625562</v>
      </c>
      <c r="O473">
        <v>1347357988730</v>
      </c>
      <c r="P473">
        <v>1417266004987</v>
      </c>
      <c r="Q473">
        <v>1453854261145</v>
      </c>
    </row>
    <row r="474" spans="1:18" x14ac:dyDescent="0.35">
      <c r="A474" t="s">
        <v>1939</v>
      </c>
      <c r="B474" t="s">
        <v>115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8" x14ac:dyDescent="0.35">
      <c r="A475" t="s">
        <v>1939</v>
      </c>
      <c r="B475" t="s">
        <v>116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8" x14ac:dyDescent="0.35">
      <c r="A476" t="s">
        <v>1939</v>
      </c>
      <c r="B476" t="s">
        <v>117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8" x14ac:dyDescent="0.35">
      <c r="A477" t="s">
        <v>1939</v>
      </c>
      <c r="B477" t="s">
        <v>118</v>
      </c>
      <c r="C477">
        <v>7088753029430</v>
      </c>
      <c r="D477">
        <v>7767669980574</v>
      </c>
      <c r="E477">
        <v>7684415020786</v>
      </c>
      <c r="F477">
        <v>9735330528507</v>
      </c>
      <c r="G477">
        <v>12559843900712</v>
      </c>
      <c r="H477">
        <v>12472678495219</v>
      </c>
      <c r="I477">
        <v>12599491140072</v>
      </c>
      <c r="J477">
        <v>12672652154148</v>
      </c>
      <c r="K477">
        <v>16156993776067</v>
      </c>
      <c r="L477">
        <v>17118154447225</v>
      </c>
      <c r="M477">
        <v>16498013447921</v>
      </c>
      <c r="N477">
        <v>16336518897020</v>
      </c>
      <c r="O477">
        <v>16335606725574</v>
      </c>
      <c r="P477">
        <v>16132370906968</v>
      </c>
      <c r="Q477">
        <v>16152857699551</v>
      </c>
    </row>
    <row r="478" spans="1:18" x14ac:dyDescent="0.35">
      <c r="A478" t="s">
        <v>1940</v>
      </c>
      <c r="B478" t="s">
        <v>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8" x14ac:dyDescent="0.35">
      <c r="A479" t="s">
        <v>1940</v>
      </c>
      <c r="B479" t="s">
        <v>7</v>
      </c>
      <c r="C479">
        <v>4276501109333</v>
      </c>
      <c r="D479">
        <v>4081609172003</v>
      </c>
      <c r="E479">
        <v>3939115666046</v>
      </c>
      <c r="F479">
        <v>3782060300259</v>
      </c>
      <c r="G479">
        <v>3763260861544</v>
      </c>
      <c r="H479">
        <v>4175040663593</v>
      </c>
      <c r="I479">
        <v>4216053100573</v>
      </c>
      <c r="J479">
        <v>4097100450768</v>
      </c>
      <c r="K479">
        <v>4343715335344</v>
      </c>
      <c r="L479">
        <v>3948750931807</v>
      </c>
      <c r="M479">
        <v>3546367345298</v>
      </c>
      <c r="N479">
        <v>3257851495595</v>
      </c>
      <c r="O479">
        <v>3510386328588</v>
      </c>
      <c r="P479">
        <v>3660689408183</v>
      </c>
      <c r="Q479">
        <v>3312561585774</v>
      </c>
      <c r="R479">
        <v>3234257573550</v>
      </c>
    </row>
    <row r="480" spans="1:18" x14ac:dyDescent="0.35">
      <c r="A480" t="s">
        <v>1940</v>
      </c>
      <c r="B480" t="s">
        <v>8</v>
      </c>
      <c r="C480">
        <v>309727280326</v>
      </c>
      <c r="D480">
        <v>437921796024</v>
      </c>
      <c r="E480">
        <v>497816749289</v>
      </c>
      <c r="F480">
        <v>410332865051</v>
      </c>
      <c r="G480">
        <v>494839516566</v>
      </c>
      <c r="H480">
        <v>215662319761</v>
      </c>
      <c r="I480">
        <v>290216710417</v>
      </c>
      <c r="J480">
        <v>272804078745</v>
      </c>
      <c r="K480">
        <v>185397400974</v>
      </c>
      <c r="L480">
        <v>348531617330</v>
      </c>
      <c r="M480">
        <v>436296732597</v>
      </c>
      <c r="N480">
        <v>208736966173</v>
      </c>
      <c r="O480">
        <v>339947065647</v>
      </c>
      <c r="P480">
        <v>245609314727</v>
      </c>
      <c r="Q480">
        <v>578319333797</v>
      </c>
      <c r="R480">
        <v>472471959837</v>
      </c>
    </row>
    <row r="481" spans="1:18" x14ac:dyDescent="0.35">
      <c r="A481" t="s">
        <v>1940</v>
      </c>
      <c r="B481" t="s">
        <v>9</v>
      </c>
      <c r="C481">
        <v>223517280326</v>
      </c>
      <c r="D481">
        <v>343801796024</v>
      </c>
      <c r="E481">
        <v>464816749289</v>
      </c>
      <c r="F481">
        <v>380332865051</v>
      </c>
      <c r="G481">
        <v>464339516566</v>
      </c>
      <c r="H481">
        <v>192162319761</v>
      </c>
      <c r="I481">
        <v>290216710417</v>
      </c>
      <c r="J481">
        <v>272804078745</v>
      </c>
      <c r="K481">
        <v>165397400974</v>
      </c>
      <c r="L481">
        <v>298355178974</v>
      </c>
      <c r="M481">
        <v>101825872314</v>
      </c>
      <c r="N481">
        <v>144879034240</v>
      </c>
      <c r="O481">
        <v>154000048954</v>
      </c>
      <c r="P481">
        <v>208298609848</v>
      </c>
      <c r="Q481">
        <v>291601433676</v>
      </c>
      <c r="R481">
        <v>222565700044</v>
      </c>
    </row>
    <row r="482" spans="1:18" x14ac:dyDescent="0.35">
      <c r="A482" t="s">
        <v>1940</v>
      </c>
      <c r="B482" t="s">
        <v>10</v>
      </c>
      <c r="C482">
        <v>86210000000</v>
      </c>
      <c r="D482">
        <v>94120000000</v>
      </c>
      <c r="E482">
        <v>33000000000</v>
      </c>
      <c r="F482">
        <v>30000000000</v>
      </c>
      <c r="G482">
        <v>30500000000</v>
      </c>
      <c r="H482">
        <v>23500000000</v>
      </c>
      <c r="I482">
        <v>0</v>
      </c>
      <c r="J482">
        <v>0</v>
      </c>
      <c r="K482">
        <v>20000000000</v>
      </c>
      <c r="L482">
        <v>50176438356</v>
      </c>
      <c r="M482">
        <v>334470860283</v>
      </c>
      <c r="N482">
        <v>63857931933</v>
      </c>
      <c r="O482">
        <v>185947016693</v>
      </c>
      <c r="P482">
        <v>37310704879</v>
      </c>
      <c r="Q482">
        <v>286717900121</v>
      </c>
      <c r="R482">
        <v>249906259793</v>
      </c>
    </row>
    <row r="483" spans="1:18" x14ac:dyDescent="0.35">
      <c r="A483" t="s">
        <v>1940</v>
      </c>
      <c r="B483" t="s">
        <v>11</v>
      </c>
      <c r="C483">
        <v>141728973946</v>
      </c>
      <c r="D483">
        <v>65250000000</v>
      </c>
      <c r="E483">
        <v>185264913300</v>
      </c>
      <c r="F483">
        <v>488278000588</v>
      </c>
      <c r="G483">
        <v>321192436636</v>
      </c>
      <c r="H483">
        <v>689939058916</v>
      </c>
      <c r="I483">
        <v>725542563248</v>
      </c>
      <c r="J483">
        <v>645201307430</v>
      </c>
      <c r="K483">
        <v>858604887491</v>
      </c>
      <c r="L483">
        <v>342660363013</v>
      </c>
      <c r="M483">
        <v>1713787671</v>
      </c>
      <c r="N483">
        <v>285327282247</v>
      </c>
      <c r="O483">
        <v>515076450021</v>
      </c>
      <c r="P483">
        <v>387702400459</v>
      </c>
      <c r="Q483">
        <v>346983024102</v>
      </c>
      <c r="R483">
        <v>682204806645</v>
      </c>
    </row>
    <row r="484" spans="1:18" x14ac:dyDescent="0.35">
      <c r="A484" t="s">
        <v>1940</v>
      </c>
      <c r="B484" t="s">
        <v>12</v>
      </c>
      <c r="C484">
        <v>20098552446</v>
      </c>
      <c r="D484">
        <v>0</v>
      </c>
      <c r="E484">
        <v>89999760800</v>
      </c>
      <c r="F484">
        <v>265478815386</v>
      </c>
      <c r="G484">
        <v>177893151725</v>
      </c>
      <c r="H484">
        <v>68222121025</v>
      </c>
      <c r="I484">
        <v>375442563248</v>
      </c>
      <c r="J484">
        <v>305001307430</v>
      </c>
      <c r="K484">
        <v>518404887491</v>
      </c>
      <c r="L484">
        <v>0</v>
      </c>
      <c r="M484">
        <v>0</v>
      </c>
      <c r="N484">
        <v>283613494576</v>
      </c>
      <c r="O484">
        <v>513352727350</v>
      </c>
      <c r="P484">
        <v>386602400459</v>
      </c>
      <c r="Q484">
        <v>345983024102</v>
      </c>
      <c r="R484">
        <v>609204806645</v>
      </c>
    </row>
    <row r="485" spans="1:18" x14ac:dyDescent="0.35">
      <c r="A485" t="s">
        <v>1940</v>
      </c>
      <c r="B485" t="s">
        <v>13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340200000000</v>
      </c>
      <c r="K485">
        <v>0</v>
      </c>
      <c r="L485">
        <v>0</v>
      </c>
      <c r="M485">
        <v>0</v>
      </c>
      <c r="N485">
        <v>0</v>
      </c>
    </row>
    <row r="486" spans="1:18" x14ac:dyDescent="0.35">
      <c r="A486" t="s">
        <v>1940</v>
      </c>
      <c r="B486" t="s">
        <v>14</v>
      </c>
      <c r="C486">
        <v>121630421500</v>
      </c>
      <c r="D486">
        <v>65250000000</v>
      </c>
      <c r="E486">
        <v>95265152500</v>
      </c>
      <c r="F486">
        <v>222799185202</v>
      </c>
      <c r="G486">
        <v>143299284911</v>
      </c>
      <c r="H486">
        <v>621716937891</v>
      </c>
      <c r="I486">
        <v>350100000000</v>
      </c>
      <c r="J486">
        <v>0</v>
      </c>
      <c r="K486">
        <v>340200000000</v>
      </c>
      <c r="L486">
        <v>342660363013</v>
      </c>
      <c r="M486">
        <v>1713787671</v>
      </c>
      <c r="N486">
        <v>1713787671</v>
      </c>
      <c r="O486">
        <v>1723722671</v>
      </c>
      <c r="P486">
        <v>1100000000</v>
      </c>
      <c r="Q486">
        <v>1000000000</v>
      </c>
      <c r="R486">
        <v>73000000000</v>
      </c>
    </row>
    <row r="487" spans="1:18" x14ac:dyDescent="0.35">
      <c r="A487" t="s">
        <v>1940</v>
      </c>
      <c r="B487" t="s">
        <v>15</v>
      </c>
      <c r="C487">
        <v>1790553114553</v>
      </c>
      <c r="D487">
        <v>1798600608580</v>
      </c>
      <c r="E487">
        <v>1664277407668</v>
      </c>
      <c r="F487">
        <v>1392055244588</v>
      </c>
      <c r="G487">
        <v>1522234241488</v>
      </c>
      <c r="H487">
        <v>1810640825794</v>
      </c>
      <c r="I487">
        <v>1609517389901</v>
      </c>
      <c r="J487">
        <v>1617476731454</v>
      </c>
      <c r="K487">
        <v>1683460932738</v>
      </c>
      <c r="L487">
        <v>1835027636406</v>
      </c>
      <c r="M487">
        <v>1945977783596</v>
      </c>
      <c r="N487">
        <v>1653621732381</v>
      </c>
      <c r="O487">
        <v>1525047193322</v>
      </c>
      <c r="P487">
        <v>1940520720631</v>
      </c>
      <c r="Q487">
        <v>1415998912213</v>
      </c>
      <c r="R487">
        <v>1151697314444</v>
      </c>
    </row>
    <row r="488" spans="1:18" x14ac:dyDescent="0.35">
      <c r="A488" t="s">
        <v>1940</v>
      </c>
      <c r="B488" t="s">
        <v>16</v>
      </c>
      <c r="C488">
        <v>614192285140</v>
      </c>
      <c r="D488">
        <v>787505466621</v>
      </c>
      <c r="E488">
        <v>757404987969</v>
      </c>
      <c r="F488">
        <v>654908407927</v>
      </c>
      <c r="G488">
        <v>680916921411</v>
      </c>
      <c r="H488">
        <v>1030391040103</v>
      </c>
      <c r="I488">
        <v>982464578972</v>
      </c>
      <c r="J488">
        <v>993468262873</v>
      </c>
      <c r="K488">
        <v>1064270449599</v>
      </c>
      <c r="L488">
        <v>1112039829817</v>
      </c>
      <c r="M488">
        <v>1193814660176</v>
      </c>
      <c r="N488">
        <v>937124014539</v>
      </c>
      <c r="O488">
        <v>968880074500</v>
      </c>
      <c r="P488">
        <v>1346929049819</v>
      </c>
      <c r="Q488">
        <v>1147587404501</v>
      </c>
      <c r="R488">
        <v>968416128825</v>
      </c>
    </row>
    <row r="489" spans="1:18" x14ac:dyDescent="0.35">
      <c r="A489" t="s">
        <v>1940</v>
      </c>
      <c r="B489" t="s">
        <v>17</v>
      </c>
      <c r="C489">
        <v>594593411425</v>
      </c>
      <c r="D489">
        <v>560476034817</v>
      </c>
      <c r="E489">
        <v>573478235972</v>
      </c>
      <c r="F489">
        <v>462555566453</v>
      </c>
      <c r="G489">
        <v>442172768400</v>
      </c>
      <c r="H489">
        <v>384618316457</v>
      </c>
      <c r="I489">
        <v>376680992519</v>
      </c>
      <c r="J489">
        <v>367767846502</v>
      </c>
      <c r="K489">
        <v>367338386678</v>
      </c>
      <c r="L489">
        <v>372919716727</v>
      </c>
      <c r="M489">
        <v>367523366912</v>
      </c>
      <c r="N489">
        <v>366089552697</v>
      </c>
      <c r="O489">
        <v>363175551465</v>
      </c>
      <c r="P489">
        <v>362532805539</v>
      </c>
      <c r="Q489">
        <v>101548113617</v>
      </c>
      <c r="R489">
        <v>107877781551</v>
      </c>
    </row>
    <row r="490" spans="1:18" x14ac:dyDescent="0.35">
      <c r="A490" t="s">
        <v>1940</v>
      </c>
      <c r="B490" t="s">
        <v>18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8" x14ac:dyDescent="0.35">
      <c r="A491" t="s">
        <v>1940</v>
      </c>
      <c r="B491" t="s">
        <v>19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8" x14ac:dyDescent="0.35">
      <c r="A492" t="s">
        <v>1940</v>
      </c>
      <c r="B492" t="s">
        <v>20</v>
      </c>
      <c r="C492">
        <v>200954497583</v>
      </c>
      <c r="D492">
        <v>182894497583</v>
      </c>
      <c r="E492">
        <v>54012628583</v>
      </c>
      <c r="F492">
        <v>54662628583</v>
      </c>
      <c r="G492">
        <v>61082628583</v>
      </c>
      <c r="H492">
        <v>56299901708</v>
      </c>
      <c r="I492">
        <v>56299901708</v>
      </c>
      <c r="J492">
        <v>56299901708</v>
      </c>
      <c r="K492">
        <v>56299901708</v>
      </c>
      <c r="L492">
        <v>56299901708</v>
      </c>
      <c r="M492">
        <v>133746066092</v>
      </c>
      <c r="N492">
        <v>133746066092</v>
      </c>
      <c r="O492">
        <v>133746066092</v>
      </c>
      <c r="P492">
        <v>133746066092</v>
      </c>
      <c r="Q492">
        <v>133746066092</v>
      </c>
      <c r="R492">
        <v>56299901708</v>
      </c>
    </row>
    <row r="493" spans="1:18" x14ac:dyDescent="0.35">
      <c r="A493" t="s">
        <v>1940</v>
      </c>
      <c r="B493" t="s">
        <v>21</v>
      </c>
      <c r="C493">
        <v>402227962012</v>
      </c>
      <c r="D493">
        <v>308619622920</v>
      </c>
      <c r="E493">
        <v>321507514657</v>
      </c>
      <c r="F493">
        <v>259827295138</v>
      </c>
      <c r="G493">
        <v>395077334797</v>
      </c>
      <c r="H493">
        <v>431506965226</v>
      </c>
      <c r="I493">
        <v>292266937819</v>
      </c>
      <c r="J493">
        <v>298080741488</v>
      </c>
      <c r="K493">
        <v>293692215870</v>
      </c>
      <c r="L493">
        <v>392183424856</v>
      </c>
      <c r="M493">
        <v>349728254012</v>
      </c>
      <c r="N493">
        <v>331443117611</v>
      </c>
      <c r="O493">
        <v>174026519823</v>
      </c>
      <c r="P493">
        <v>210567325513</v>
      </c>
      <c r="Q493">
        <v>148500008532</v>
      </c>
      <c r="R493">
        <v>150253714473</v>
      </c>
    </row>
    <row r="494" spans="1:18" x14ac:dyDescent="0.35">
      <c r="A494" t="s">
        <v>1940</v>
      </c>
      <c r="B494" t="s">
        <v>22</v>
      </c>
      <c r="C494">
        <v>-21415041607</v>
      </c>
      <c r="D494">
        <v>-40895013361</v>
      </c>
      <c r="E494">
        <v>-42125959513</v>
      </c>
      <c r="F494">
        <v>-39898653513</v>
      </c>
      <c r="G494">
        <v>-57015411703</v>
      </c>
      <c r="H494">
        <v>-92175397700</v>
      </c>
      <c r="I494">
        <v>-98195021117</v>
      </c>
      <c r="J494">
        <v>-98140021117</v>
      </c>
      <c r="K494">
        <v>-98140021117</v>
      </c>
      <c r="L494">
        <v>-98415236702</v>
      </c>
      <c r="M494">
        <v>-98834563596</v>
      </c>
      <c r="N494">
        <v>-114781018558</v>
      </c>
      <c r="O494">
        <v>-114781018558</v>
      </c>
      <c r="P494">
        <v>-113254526332</v>
      </c>
      <c r="Q494">
        <v>-115382680529</v>
      </c>
      <c r="R494">
        <v>-131150212113</v>
      </c>
    </row>
    <row r="495" spans="1:18" x14ac:dyDescent="0.35">
      <c r="A495" t="s">
        <v>1940</v>
      </c>
      <c r="B495" t="s">
        <v>23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8" x14ac:dyDescent="0.35">
      <c r="A496" t="s">
        <v>1940</v>
      </c>
      <c r="B496" t="s">
        <v>24</v>
      </c>
      <c r="C496">
        <v>1825807554088</v>
      </c>
      <c r="D496">
        <v>1642564279739</v>
      </c>
      <c r="E496">
        <v>1358216706935</v>
      </c>
      <c r="F496">
        <v>1198466952200</v>
      </c>
      <c r="G496">
        <v>1170321962620</v>
      </c>
      <c r="H496">
        <v>1316744271301</v>
      </c>
      <c r="I496">
        <v>1477910245472</v>
      </c>
      <c r="J496">
        <v>1465309917001</v>
      </c>
      <c r="K496">
        <v>1529321408330</v>
      </c>
      <c r="L496">
        <v>1353993563010</v>
      </c>
      <c r="M496">
        <v>1119876504997</v>
      </c>
      <c r="N496">
        <v>1061362993993</v>
      </c>
      <c r="O496">
        <v>1083238782220</v>
      </c>
      <c r="P496">
        <v>1049616991683</v>
      </c>
      <c r="Q496">
        <v>931216662478</v>
      </c>
      <c r="R496">
        <v>889216583969</v>
      </c>
    </row>
    <row r="497" spans="1:18" x14ac:dyDescent="0.35">
      <c r="A497" t="s">
        <v>1940</v>
      </c>
      <c r="B497" t="s">
        <v>25</v>
      </c>
      <c r="C497">
        <v>1825807554088</v>
      </c>
      <c r="D497">
        <v>1642564279739</v>
      </c>
      <c r="E497">
        <v>1358216706935</v>
      </c>
      <c r="F497">
        <v>1198466952200</v>
      </c>
      <c r="G497">
        <v>1170321962620</v>
      </c>
      <c r="H497">
        <v>1316744271301</v>
      </c>
      <c r="I497">
        <v>1477910245472</v>
      </c>
      <c r="J497">
        <v>1465309917001</v>
      </c>
      <c r="K497">
        <v>1539545609094</v>
      </c>
      <c r="L497">
        <v>1364217763774</v>
      </c>
      <c r="M497">
        <v>1130100705761</v>
      </c>
      <c r="N497">
        <v>1071587194757</v>
      </c>
      <c r="O497">
        <v>1093462982984</v>
      </c>
      <c r="P497">
        <v>1059841192447</v>
      </c>
      <c r="Q497">
        <v>941440863242</v>
      </c>
      <c r="R497">
        <v>899440784733</v>
      </c>
    </row>
    <row r="498" spans="1:18" x14ac:dyDescent="0.35">
      <c r="A498" t="s">
        <v>1940</v>
      </c>
      <c r="B498" t="s">
        <v>26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-10224200764</v>
      </c>
      <c r="L498">
        <v>-10224200764</v>
      </c>
      <c r="M498">
        <v>-10224200764</v>
      </c>
      <c r="N498">
        <v>-10224200764</v>
      </c>
      <c r="O498">
        <v>-10224200764</v>
      </c>
      <c r="P498">
        <v>-10224200764</v>
      </c>
      <c r="Q498">
        <v>-10224200764</v>
      </c>
      <c r="R498">
        <v>-10224200764</v>
      </c>
    </row>
    <row r="499" spans="1:18" x14ac:dyDescent="0.35">
      <c r="A499" t="s">
        <v>1940</v>
      </c>
      <c r="B499" t="s">
        <v>27</v>
      </c>
      <c r="C499">
        <v>208684186420</v>
      </c>
      <c r="D499">
        <v>137272487660</v>
      </c>
      <c r="E499">
        <v>233539888854</v>
      </c>
      <c r="F499">
        <v>292927237832</v>
      </c>
      <c r="G499">
        <v>254672704234</v>
      </c>
      <c r="H499">
        <v>142054187821</v>
      </c>
      <c r="I499">
        <v>112866191535</v>
      </c>
      <c r="J499">
        <v>96308416138</v>
      </c>
      <c r="K499">
        <v>86930705811</v>
      </c>
      <c r="L499">
        <v>68537752048</v>
      </c>
      <c r="M499">
        <v>42502536437</v>
      </c>
      <c r="N499">
        <v>48802520801</v>
      </c>
      <c r="O499">
        <v>47076837378</v>
      </c>
      <c r="P499">
        <v>37239980683</v>
      </c>
      <c r="Q499">
        <v>40043653184</v>
      </c>
      <c r="R499">
        <v>38666908655</v>
      </c>
    </row>
    <row r="500" spans="1:18" x14ac:dyDescent="0.35">
      <c r="A500" t="s">
        <v>1940</v>
      </c>
      <c r="B500" t="s">
        <v>28</v>
      </c>
      <c r="C500">
        <v>910362914</v>
      </c>
      <c r="D500">
        <v>1204268711</v>
      </c>
      <c r="E500">
        <v>59925190061</v>
      </c>
      <c r="F500">
        <v>12788062116</v>
      </c>
      <c r="G500">
        <v>1175241459</v>
      </c>
      <c r="H500">
        <v>1970139133</v>
      </c>
      <c r="I500">
        <v>2032484596</v>
      </c>
      <c r="J500">
        <v>1853173307</v>
      </c>
      <c r="K500">
        <v>1843643871</v>
      </c>
      <c r="L500">
        <v>4810983990</v>
      </c>
      <c r="M500">
        <v>3527021156</v>
      </c>
      <c r="N500">
        <v>2701839550</v>
      </c>
      <c r="O500">
        <v>1319374664</v>
      </c>
      <c r="P500">
        <v>918974899</v>
      </c>
      <c r="Q500">
        <v>2281829003</v>
      </c>
      <c r="R500">
        <v>3803054953</v>
      </c>
    </row>
    <row r="501" spans="1:18" x14ac:dyDescent="0.35">
      <c r="A501" t="s">
        <v>1940</v>
      </c>
      <c r="B501" t="s">
        <v>29</v>
      </c>
      <c r="C501">
        <v>181044242959</v>
      </c>
      <c r="D501">
        <v>117920317576</v>
      </c>
      <c r="E501">
        <v>157087182654</v>
      </c>
      <c r="F501">
        <v>220307730398</v>
      </c>
      <c r="G501">
        <v>251389051910</v>
      </c>
      <c r="H501">
        <v>138110330614</v>
      </c>
      <c r="I501">
        <v>108780429576</v>
      </c>
      <c r="J501">
        <v>93195455146</v>
      </c>
      <c r="K501">
        <v>82648584028</v>
      </c>
      <c r="L501">
        <v>61190498211</v>
      </c>
      <c r="M501">
        <v>37138489901</v>
      </c>
      <c r="N501">
        <v>44809821605</v>
      </c>
      <c r="O501">
        <v>44467619447</v>
      </c>
      <c r="P501">
        <v>34148660931</v>
      </c>
      <c r="Q501">
        <v>33720029645</v>
      </c>
      <c r="R501">
        <v>33439282000</v>
      </c>
    </row>
    <row r="502" spans="1:18" x14ac:dyDescent="0.35">
      <c r="A502" t="s">
        <v>1940</v>
      </c>
      <c r="B502" t="s">
        <v>30</v>
      </c>
      <c r="C502">
        <v>26566769575</v>
      </c>
      <c r="D502">
        <v>17985090401</v>
      </c>
      <c r="E502">
        <v>16527516139</v>
      </c>
      <c r="F502">
        <v>59831445318</v>
      </c>
      <c r="G502">
        <v>2095676495</v>
      </c>
      <c r="H502">
        <v>1973718074</v>
      </c>
      <c r="I502">
        <v>2053277363</v>
      </c>
      <c r="J502">
        <v>1259787685</v>
      </c>
      <c r="K502">
        <v>2438477912</v>
      </c>
      <c r="L502">
        <v>2536269847</v>
      </c>
      <c r="M502">
        <v>1837025380</v>
      </c>
      <c r="N502">
        <v>1290859646</v>
      </c>
      <c r="O502">
        <v>1289843267</v>
      </c>
      <c r="P502">
        <v>1376270275</v>
      </c>
      <c r="Q502">
        <v>4041794536</v>
      </c>
      <c r="R502">
        <v>1424571702</v>
      </c>
    </row>
    <row r="503" spans="1:18" x14ac:dyDescent="0.35">
      <c r="A503" t="s">
        <v>1940</v>
      </c>
      <c r="B503" t="s">
        <v>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8" x14ac:dyDescent="0.35">
      <c r="A504" t="s">
        <v>1940</v>
      </c>
      <c r="B504" t="s">
        <v>32</v>
      </c>
      <c r="C504">
        <v>162810972</v>
      </c>
      <c r="D504">
        <v>162810972</v>
      </c>
      <c r="E504">
        <v>0</v>
      </c>
      <c r="F504">
        <v>0</v>
      </c>
      <c r="G504">
        <v>12734370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P504">
        <v>796074578</v>
      </c>
    </row>
    <row r="505" spans="1:18" x14ac:dyDescent="0.35">
      <c r="A505" t="s">
        <v>1940</v>
      </c>
      <c r="B505" t="s">
        <v>33</v>
      </c>
      <c r="C505">
        <v>9346017829200</v>
      </c>
      <c r="D505">
        <v>9919375760078</v>
      </c>
      <c r="E505">
        <v>10114237689486</v>
      </c>
      <c r="F505">
        <v>10992162457030</v>
      </c>
      <c r="G505">
        <v>11502939633988</v>
      </c>
      <c r="H505">
        <v>11799573648657</v>
      </c>
      <c r="I505">
        <v>11769774392157</v>
      </c>
      <c r="J505">
        <v>11645290936054</v>
      </c>
      <c r="K505">
        <v>11526158964554</v>
      </c>
      <c r="L505">
        <v>11426082318416</v>
      </c>
      <c r="M505">
        <v>11202372197981</v>
      </c>
      <c r="N505">
        <v>11119119310948</v>
      </c>
      <c r="O505">
        <v>11018411873280</v>
      </c>
      <c r="P505">
        <v>10946116972861</v>
      </c>
      <c r="Q505">
        <v>10947220838926</v>
      </c>
      <c r="R505">
        <v>10817631386749</v>
      </c>
    </row>
    <row r="506" spans="1:18" x14ac:dyDescent="0.35">
      <c r="A506" t="s">
        <v>1940</v>
      </c>
      <c r="B506" t="s">
        <v>34</v>
      </c>
      <c r="C506">
        <v>7813764280</v>
      </c>
      <c r="D506">
        <v>9013764280</v>
      </c>
      <c r="E506">
        <v>6616801691</v>
      </c>
      <c r="F506">
        <v>5423276227</v>
      </c>
      <c r="G506">
        <v>5413764280</v>
      </c>
      <c r="H506">
        <v>82737832140</v>
      </c>
      <c r="I506">
        <v>15216900000</v>
      </c>
      <c r="J506">
        <v>15178100000</v>
      </c>
      <c r="K506">
        <v>15178100000</v>
      </c>
      <c r="L506">
        <v>15178100000</v>
      </c>
      <c r="M506">
        <v>15173100000</v>
      </c>
      <c r="N506">
        <v>15173100000</v>
      </c>
      <c r="O506">
        <v>25158041695</v>
      </c>
      <c r="P506">
        <v>26564507448</v>
      </c>
      <c r="Q506">
        <v>285775798116</v>
      </c>
      <c r="R506">
        <v>285735065429</v>
      </c>
    </row>
    <row r="507" spans="1:18" x14ac:dyDescent="0.35">
      <c r="A507" t="s">
        <v>1940</v>
      </c>
      <c r="B507" t="s">
        <v>35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8" x14ac:dyDescent="0.35">
      <c r="A508" t="s">
        <v>1940</v>
      </c>
      <c r="B508" t="s">
        <v>36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Q508">
        <v>263410819623</v>
      </c>
      <c r="R508">
        <v>263410819622</v>
      </c>
    </row>
    <row r="509" spans="1:18" x14ac:dyDescent="0.35">
      <c r="A509" t="s">
        <v>1940</v>
      </c>
      <c r="B509" t="s">
        <v>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8" x14ac:dyDescent="0.35">
      <c r="A510" t="s">
        <v>1940</v>
      </c>
      <c r="B510" t="s">
        <v>38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8" x14ac:dyDescent="0.35">
      <c r="A511" t="s">
        <v>1940</v>
      </c>
      <c r="B511" t="s">
        <v>39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8" x14ac:dyDescent="0.35">
      <c r="A512" t="s">
        <v>1940</v>
      </c>
      <c r="B512" t="s">
        <v>40</v>
      </c>
      <c r="C512">
        <v>7813764280</v>
      </c>
      <c r="D512">
        <v>9013764280</v>
      </c>
      <c r="E512">
        <v>6616801690</v>
      </c>
      <c r="F512">
        <v>5423276227</v>
      </c>
      <c r="G512">
        <v>5413764280</v>
      </c>
      <c r="H512">
        <v>82737832140</v>
      </c>
      <c r="I512">
        <v>15216900000</v>
      </c>
      <c r="J512">
        <v>15178100000</v>
      </c>
      <c r="K512">
        <v>15178100000</v>
      </c>
      <c r="L512">
        <v>15178100000</v>
      </c>
      <c r="M512">
        <v>15173100000</v>
      </c>
      <c r="N512">
        <v>15173100000</v>
      </c>
      <c r="O512">
        <v>25158041695</v>
      </c>
      <c r="P512">
        <v>26564507448</v>
      </c>
      <c r="Q512">
        <v>22364978493</v>
      </c>
      <c r="R512">
        <v>22324245807</v>
      </c>
    </row>
    <row r="513" spans="1:18" x14ac:dyDescent="0.35">
      <c r="A513" t="s">
        <v>1940</v>
      </c>
      <c r="B513" t="s">
        <v>41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8" x14ac:dyDescent="0.35">
      <c r="A514" t="s">
        <v>1940</v>
      </c>
      <c r="B514" t="s">
        <v>42</v>
      </c>
      <c r="C514">
        <v>4240470490209</v>
      </c>
      <c r="D514">
        <v>4189228792598</v>
      </c>
      <c r="E514">
        <v>4128790771959</v>
      </c>
      <c r="F514">
        <v>4100262012195</v>
      </c>
      <c r="G514">
        <v>5386114004603</v>
      </c>
      <c r="H514">
        <v>9624553055652</v>
      </c>
      <c r="I514">
        <v>9941973156364</v>
      </c>
      <c r="J514">
        <v>9829841073258</v>
      </c>
      <c r="K514">
        <v>9720610457778</v>
      </c>
      <c r="L514">
        <v>9612833012434</v>
      </c>
      <c r="M514">
        <v>9427193177460</v>
      </c>
      <c r="N514">
        <v>9309771101750</v>
      </c>
      <c r="O514">
        <v>9206964145563</v>
      </c>
      <c r="P514">
        <v>9089067877008</v>
      </c>
      <c r="Q514">
        <v>8913449134431</v>
      </c>
      <c r="R514">
        <v>8791708014881</v>
      </c>
    </row>
    <row r="515" spans="1:18" x14ac:dyDescent="0.35">
      <c r="A515" t="s">
        <v>1940</v>
      </c>
      <c r="B515" t="s">
        <v>43</v>
      </c>
      <c r="C515">
        <v>3884299919577</v>
      </c>
      <c r="D515">
        <v>3829309967262</v>
      </c>
      <c r="E515">
        <v>3791568262480</v>
      </c>
      <c r="F515">
        <v>3749949881220</v>
      </c>
      <c r="G515">
        <v>5032417875159</v>
      </c>
      <c r="H515">
        <v>9359184502015</v>
      </c>
      <c r="I515">
        <v>9550989761325</v>
      </c>
      <c r="J515">
        <v>9435119237727</v>
      </c>
      <c r="K515">
        <v>9329065535654</v>
      </c>
      <c r="L515">
        <v>9223210143179</v>
      </c>
      <c r="M515">
        <v>9034693702474</v>
      </c>
      <c r="N515">
        <v>8922655559999</v>
      </c>
      <c r="O515">
        <v>8820148040163</v>
      </c>
      <c r="P515">
        <v>8811057885053</v>
      </c>
      <c r="Q515">
        <v>8713812311197</v>
      </c>
      <c r="R515">
        <v>8594353595609</v>
      </c>
    </row>
    <row r="516" spans="1:18" x14ac:dyDescent="0.35">
      <c r="A516" t="s">
        <v>1940</v>
      </c>
      <c r="B516" t="s">
        <v>44</v>
      </c>
      <c r="C516">
        <v>4922189891828</v>
      </c>
      <c r="D516">
        <v>4922133874111</v>
      </c>
      <c r="E516">
        <v>4928264210312</v>
      </c>
      <c r="F516">
        <v>4886618212004</v>
      </c>
      <c r="G516">
        <v>6226380845658</v>
      </c>
      <c r="H516">
        <v>10651951725227</v>
      </c>
      <c r="I516">
        <v>10954106706693</v>
      </c>
      <c r="J516">
        <v>10955912388929</v>
      </c>
      <c r="K516">
        <v>10968153395896</v>
      </c>
      <c r="L516">
        <v>10980870380316</v>
      </c>
      <c r="M516">
        <v>10903250269928</v>
      </c>
      <c r="N516">
        <v>10906955282291</v>
      </c>
      <c r="O516">
        <v>10922433747244</v>
      </c>
      <c r="P516">
        <v>11036819869813</v>
      </c>
      <c r="Q516">
        <v>11074101340051</v>
      </c>
      <c r="R516">
        <v>11074459517596</v>
      </c>
    </row>
    <row r="517" spans="1:18" x14ac:dyDescent="0.35">
      <c r="A517" t="s">
        <v>1940</v>
      </c>
      <c r="B517" t="s">
        <v>45</v>
      </c>
      <c r="C517">
        <v>-1037889972251</v>
      </c>
      <c r="D517">
        <v>-1092823906849</v>
      </c>
      <c r="E517">
        <v>-1136695947832</v>
      </c>
      <c r="F517">
        <v>-1136668330784</v>
      </c>
      <c r="G517">
        <v>-1193962970499</v>
      </c>
      <c r="H517">
        <v>-1292767223212</v>
      </c>
      <c r="I517">
        <v>-1403116945368</v>
      </c>
      <c r="J517">
        <v>-1520793151202</v>
      </c>
      <c r="K517">
        <v>-1639087860242</v>
      </c>
      <c r="L517">
        <v>-1757660237137</v>
      </c>
      <c r="M517">
        <v>-1868556567454</v>
      </c>
      <c r="N517">
        <v>-1984299722292</v>
      </c>
      <c r="O517">
        <v>-2102285707081</v>
      </c>
      <c r="P517">
        <v>-2225761984760</v>
      </c>
      <c r="Q517">
        <v>-2360289028854</v>
      </c>
      <c r="R517">
        <v>-2480105921987</v>
      </c>
    </row>
    <row r="518" spans="1:18" x14ac:dyDescent="0.35">
      <c r="A518" t="s">
        <v>1940</v>
      </c>
      <c r="B518" t="s">
        <v>46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8" x14ac:dyDescent="0.35">
      <c r="A519" t="s">
        <v>1940</v>
      </c>
      <c r="B519" t="s">
        <v>44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8" x14ac:dyDescent="0.35">
      <c r="A520" t="s">
        <v>1940</v>
      </c>
      <c r="B520" t="s">
        <v>45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8" x14ac:dyDescent="0.35">
      <c r="A521" t="s">
        <v>1940</v>
      </c>
      <c r="B521" t="s">
        <v>47</v>
      </c>
      <c r="C521">
        <v>356170570632</v>
      </c>
      <c r="D521">
        <v>359918825336</v>
      </c>
      <c r="E521">
        <v>337222509479</v>
      </c>
      <c r="F521">
        <v>350312130975</v>
      </c>
      <c r="G521">
        <v>353696129444</v>
      </c>
      <c r="H521">
        <v>265368553637</v>
      </c>
      <c r="I521">
        <v>390983395039</v>
      </c>
      <c r="J521">
        <v>394721835531</v>
      </c>
      <c r="K521">
        <v>391544922124</v>
      </c>
      <c r="L521">
        <v>389622869255</v>
      </c>
      <c r="M521">
        <v>392499474986</v>
      </c>
      <c r="N521">
        <v>387115541751</v>
      </c>
      <c r="O521">
        <v>386816105400</v>
      </c>
      <c r="P521">
        <v>278009991955</v>
      </c>
      <c r="Q521">
        <v>199636823234</v>
      </c>
      <c r="R521">
        <v>197354419272</v>
      </c>
    </row>
    <row r="522" spans="1:18" x14ac:dyDescent="0.35">
      <c r="A522" t="s">
        <v>1940</v>
      </c>
      <c r="B522" t="s">
        <v>44</v>
      </c>
      <c r="C522">
        <v>360605523521</v>
      </c>
      <c r="D522">
        <v>365313727315</v>
      </c>
      <c r="E522">
        <v>341104742656</v>
      </c>
      <c r="F522">
        <v>356132062475</v>
      </c>
      <c r="G522">
        <v>360693966606</v>
      </c>
      <c r="H522">
        <v>270252453692</v>
      </c>
      <c r="I522">
        <v>401058548654</v>
      </c>
      <c r="J522">
        <v>410070613494</v>
      </c>
      <c r="K522">
        <v>410150413494</v>
      </c>
      <c r="L522">
        <v>411094703134</v>
      </c>
      <c r="M522">
        <v>420340011059</v>
      </c>
      <c r="N522">
        <v>417796113131</v>
      </c>
      <c r="O522">
        <v>420430868849</v>
      </c>
      <c r="P522">
        <v>308176180401</v>
      </c>
      <c r="Q522">
        <v>223682254500</v>
      </c>
      <c r="R522">
        <v>223682254500</v>
      </c>
    </row>
    <row r="523" spans="1:18" x14ac:dyDescent="0.35">
      <c r="A523" t="s">
        <v>1940</v>
      </c>
      <c r="B523" t="s">
        <v>45</v>
      </c>
      <c r="C523">
        <v>-4434952889</v>
      </c>
      <c r="D523">
        <v>-5394901979</v>
      </c>
      <c r="E523">
        <v>-3882233177</v>
      </c>
      <c r="F523">
        <v>-5819931500</v>
      </c>
      <c r="G523">
        <v>-6997837162</v>
      </c>
      <c r="H523">
        <v>-4883900055</v>
      </c>
      <c r="I523">
        <v>-10075153615</v>
      </c>
      <c r="J523">
        <v>-15348777963</v>
      </c>
      <c r="K523">
        <v>-18605491370</v>
      </c>
      <c r="L523">
        <v>-21471833879</v>
      </c>
      <c r="M523">
        <v>-27840536073</v>
      </c>
      <c r="N523">
        <v>-30680571380</v>
      </c>
      <c r="O523">
        <v>-33614763449</v>
      </c>
      <c r="P523">
        <v>-30166188446</v>
      </c>
      <c r="Q523">
        <v>-24045431266</v>
      </c>
      <c r="R523">
        <v>-26327835228</v>
      </c>
    </row>
    <row r="524" spans="1:18" x14ac:dyDescent="0.35">
      <c r="A524" t="s">
        <v>1940</v>
      </c>
      <c r="B524" t="s">
        <v>48</v>
      </c>
      <c r="C524">
        <v>898832946180</v>
      </c>
      <c r="D524">
        <v>860094660850</v>
      </c>
      <c r="E524">
        <v>835244723784</v>
      </c>
      <c r="F524">
        <v>827708050707</v>
      </c>
      <c r="G524">
        <v>826634019328</v>
      </c>
      <c r="H524">
        <v>828181917191</v>
      </c>
      <c r="I524">
        <v>818043239713</v>
      </c>
      <c r="J524">
        <v>810110047617</v>
      </c>
      <c r="K524">
        <v>800896203720</v>
      </c>
      <c r="L524">
        <v>791682359823</v>
      </c>
      <c r="M524">
        <v>784081802175</v>
      </c>
      <c r="N524">
        <v>775874628969</v>
      </c>
      <c r="O524">
        <v>767667455763</v>
      </c>
      <c r="P524">
        <v>759460282557</v>
      </c>
      <c r="Q524">
        <v>749629662478</v>
      </c>
      <c r="R524">
        <v>741422489272</v>
      </c>
    </row>
    <row r="525" spans="1:18" x14ac:dyDescent="0.35">
      <c r="A525" t="s">
        <v>1940</v>
      </c>
      <c r="B525" t="s">
        <v>44</v>
      </c>
      <c r="C525">
        <v>1011138149115</v>
      </c>
      <c r="D525">
        <v>981124734924</v>
      </c>
      <c r="E525">
        <v>966289931974</v>
      </c>
      <c r="F525">
        <v>966289931974</v>
      </c>
      <c r="G525">
        <v>966289931974</v>
      </c>
      <c r="H525">
        <v>977257970699</v>
      </c>
      <c r="I525">
        <v>983707874969</v>
      </c>
      <c r="J525">
        <v>983707874969</v>
      </c>
      <c r="K525">
        <v>983707874969</v>
      </c>
      <c r="L525">
        <v>983707874969</v>
      </c>
      <c r="M525">
        <v>983707874969</v>
      </c>
      <c r="N525">
        <v>983707874969</v>
      </c>
      <c r="O525">
        <v>983707874969</v>
      </c>
      <c r="P525">
        <v>983707874969</v>
      </c>
      <c r="Q525">
        <v>983707874969</v>
      </c>
      <c r="R525">
        <v>983707874969</v>
      </c>
    </row>
    <row r="526" spans="1:18" x14ac:dyDescent="0.35">
      <c r="A526" t="s">
        <v>1940</v>
      </c>
      <c r="B526" t="s">
        <v>45</v>
      </c>
      <c r="C526">
        <v>-112305202935</v>
      </c>
      <c r="D526">
        <v>-121030074074</v>
      </c>
      <c r="E526">
        <v>-131045208190</v>
      </c>
      <c r="F526">
        <v>-138581881267</v>
      </c>
      <c r="G526">
        <v>-139655912646</v>
      </c>
      <c r="H526">
        <v>-149076053508</v>
      </c>
      <c r="I526">
        <v>-165664635256</v>
      </c>
      <c r="J526">
        <v>-173597827352</v>
      </c>
      <c r="K526">
        <v>-182811671249</v>
      </c>
      <c r="L526">
        <v>-192025515146</v>
      </c>
      <c r="M526">
        <v>-199626072794</v>
      </c>
      <c r="N526">
        <v>-207833246000</v>
      </c>
      <c r="O526">
        <v>-216040419206</v>
      </c>
      <c r="P526">
        <v>-224247592412</v>
      </c>
      <c r="Q526">
        <v>-234078212491</v>
      </c>
      <c r="R526">
        <v>-242285385697</v>
      </c>
    </row>
    <row r="527" spans="1:18" x14ac:dyDescent="0.35">
      <c r="A527" t="s">
        <v>1940</v>
      </c>
      <c r="B527" t="s">
        <v>49</v>
      </c>
      <c r="C527">
        <v>4097105611805</v>
      </c>
      <c r="D527">
        <v>4725262534137</v>
      </c>
      <c r="E527">
        <v>5044631160650</v>
      </c>
      <c r="F527">
        <v>5968806598173</v>
      </c>
      <c r="G527">
        <v>5089662069339</v>
      </c>
      <c r="H527">
        <v>918235124203</v>
      </c>
      <c r="I527">
        <v>824183822035</v>
      </c>
      <c r="J527">
        <v>839841902885</v>
      </c>
      <c r="K527">
        <v>838001762161</v>
      </c>
      <c r="L527">
        <v>859841659187</v>
      </c>
      <c r="M527">
        <v>850994236454</v>
      </c>
      <c r="N527">
        <v>897761428616</v>
      </c>
      <c r="O527">
        <v>905082121344</v>
      </c>
      <c r="P527">
        <v>894338638783</v>
      </c>
      <c r="Q527">
        <v>838755173341</v>
      </c>
      <c r="R527">
        <v>844471425099</v>
      </c>
    </row>
    <row r="528" spans="1:18" x14ac:dyDescent="0.35">
      <c r="A528" t="s">
        <v>1940</v>
      </c>
      <c r="B528" t="s">
        <v>50</v>
      </c>
      <c r="C528">
        <v>30958616656</v>
      </c>
      <c r="D528">
        <v>257537918584</v>
      </c>
      <c r="E528">
        <v>32469524983</v>
      </c>
      <c r="F528">
        <v>33830562628</v>
      </c>
      <c r="G528">
        <v>34390839033</v>
      </c>
      <c r="H528">
        <v>41122374013</v>
      </c>
      <c r="I528">
        <v>44049224405</v>
      </c>
      <c r="J528">
        <v>44903173349</v>
      </c>
      <c r="K528">
        <v>45520210948</v>
      </c>
      <c r="L528">
        <v>46794545238</v>
      </c>
      <c r="M528">
        <v>47345409258</v>
      </c>
      <c r="N528">
        <v>47911919554</v>
      </c>
      <c r="O528">
        <v>48591279244</v>
      </c>
      <c r="P528">
        <v>49460320538</v>
      </c>
      <c r="Q528">
        <v>37505880816</v>
      </c>
      <c r="R528">
        <v>38167684774</v>
      </c>
    </row>
    <row r="529" spans="1:18" x14ac:dyDescent="0.35">
      <c r="A529" t="s">
        <v>1940</v>
      </c>
      <c r="B529" t="s">
        <v>51</v>
      </c>
      <c r="C529">
        <v>4066146995149</v>
      </c>
      <c r="D529">
        <v>4467724615553</v>
      </c>
      <c r="E529">
        <v>5012161635667</v>
      </c>
      <c r="F529">
        <v>5934976035545</v>
      </c>
      <c r="G529">
        <v>5055271230306</v>
      </c>
      <c r="H529">
        <v>877112750190</v>
      </c>
      <c r="I529">
        <v>780134597630</v>
      </c>
      <c r="J529">
        <v>794938729536</v>
      </c>
      <c r="K529">
        <v>792481551213</v>
      </c>
      <c r="L529">
        <v>813047113949</v>
      </c>
      <c r="M529">
        <v>803648827196</v>
      </c>
      <c r="N529">
        <v>849849509062</v>
      </c>
      <c r="O529">
        <v>856490842100</v>
      </c>
      <c r="P529">
        <v>844878318245</v>
      </c>
      <c r="Q529">
        <v>801249292525</v>
      </c>
      <c r="R529">
        <v>806303740325</v>
      </c>
    </row>
    <row r="530" spans="1:18" x14ac:dyDescent="0.35">
      <c r="A530" t="s">
        <v>1940</v>
      </c>
      <c r="B530" t="s">
        <v>52</v>
      </c>
      <c r="C530">
        <v>7810000000</v>
      </c>
      <c r="D530">
        <v>6130000000</v>
      </c>
      <c r="E530">
        <v>6130000000</v>
      </c>
      <c r="F530">
        <v>6130000000</v>
      </c>
      <c r="G530">
        <v>6130000000</v>
      </c>
      <c r="H530">
        <v>4130000000</v>
      </c>
      <c r="I530">
        <v>3130000000</v>
      </c>
      <c r="J530">
        <v>3130000000</v>
      </c>
      <c r="K530">
        <v>3130000000</v>
      </c>
      <c r="L530">
        <v>3130000000</v>
      </c>
      <c r="M530">
        <v>3130000000</v>
      </c>
      <c r="N530">
        <v>3130000000</v>
      </c>
      <c r="O530">
        <v>3130000000</v>
      </c>
      <c r="P530">
        <v>63070000000</v>
      </c>
      <c r="Q530">
        <v>43150000000</v>
      </c>
      <c r="R530">
        <v>43150000000</v>
      </c>
    </row>
    <row r="531" spans="1:18" x14ac:dyDescent="0.35">
      <c r="A531" t="s">
        <v>1940</v>
      </c>
      <c r="B531" t="s">
        <v>53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130000000</v>
      </c>
      <c r="K531">
        <v>0</v>
      </c>
      <c r="L531">
        <v>0</v>
      </c>
      <c r="M531">
        <v>0</v>
      </c>
      <c r="N531">
        <v>0</v>
      </c>
    </row>
    <row r="532" spans="1:18" x14ac:dyDescent="0.35">
      <c r="A532" t="s">
        <v>1940</v>
      </c>
      <c r="B532" t="s">
        <v>54</v>
      </c>
      <c r="C532">
        <v>130000000</v>
      </c>
      <c r="D532">
        <v>130000000</v>
      </c>
      <c r="E532">
        <v>130000000</v>
      </c>
      <c r="F532">
        <v>130000000</v>
      </c>
      <c r="G532">
        <v>130000000</v>
      </c>
      <c r="H532">
        <v>130000000</v>
      </c>
      <c r="I532">
        <v>130000000</v>
      </c>
      <c r="J532">
        <v>0</v>
      </c>
      <c r="K532">
        <v>130000000</v>
      </c>
      <c r="L532">
        <v>130000000</v>
      </c>
      <c r="M532">
        <v>130000000</v>
      </c>
      <c r="N532">
        <v>130000000</v>
      </c>
      <c r="O532">
        <v>130000000</v>
      </c>
      <c r="P532">
        <v>150000000</v>
      </c>
      <c r="Q532">
        <v>150000000</v>
      </c>
      <c r="R532">
        <v>150000000</v>
      </c>
    </row>
    <row r="533" spans="1:18" x14ac:dyDescent="0.35">
      <c r="A533" t="s">
        <v>1940</v>
      </c>
      <c r="B533" t="s">
        <v>55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8" x14ac:dyDescent="0.35">
      <c r="A534" t="s">
        <v>1940</v>
      </c>
      <c r="B534" t="s">
        <v>56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8" x14ac:dyDescent="0.35">
      <c r="A535" t="s">
        <v>1940</v>
      </c>
      <c r="B535" t="s">
        <v>57</v>
      </c>
      <c r="C535">
        <v>7680000000</v>
      </c>
      <c r="D535">
        <v>6000000000</v>
      </c>
      <c r="E535">
        <v>6000000000</v>
      </c>
      <c r="F535">
        <v>6000000000</v>
      </c>
      <c r="G535">
        <v>6000000000</v>
      </c>
      <c r="H535">
        <v>4000000000</v>
      </c>
      <c r="I535">
        <v>3000000000</v>
      </c>
      <c r="J535">
        <v>3000000000</v>
      </c>
      <c r="K535">
        <v>3000000000</v>
      </c>
      <c r="L535">
        <v>3000000000</v>
      </c>
      <c r="M535">
        <v>3000000000</v>
      </c>
      <c r="N535">
        <v>3000000000</v>
      </c>
      <c r="O535">
        <v>3000000000</v>
      </c>
      <c r="P535">
        <v>62920000000</v>
      </c>
      <c r="Q535">
        <v>43000000000</v>
      </c>
      <c r="R535">
        <v>43000000000</v>
      </c>
    </row>
    <row r="536" spans="1:18" x14ac:dyDescent="0.35">
      <c r="A536" t="s">
        <v>1940</v>
      </c>
      <c r="B536" t="s">
        <v>58</v>
      </c>
      <c r="C536">
        <v>93985016726</v>
      </c>
      <c r="D536">
        <v>129646008213</v>
      </c>
      <c r="E536">
        <v>92824231402</v>
      </c>
      <c r="F536">
        <v>83832519728</v>
      </c>
      <c r="G536">
        <v>188985776438</v>
      </c>
      <c r="H536">
        <v>341735719471</v>
      </c>
      <c r="I536">
        <v>167227274045</v>
      </c>
      <c r="J536">
        <v>147189812294</v>
      </c>
      <c r="K536">
        <v>148342440895</v>
      </c>
      <c r="L536">
        <v>143417186972</v>
      </c>
      <c r="M536">
        <v>121799881892</v>
      </c>
      <c r="N536">
        <v>117409051613</v>
      </c>
      <c r="O536">
        <v>110410108915</v>
      </c>
      <c r="P536">
        <v>113615667065</v>
      </c>
      <c r="Q536">
        <v>116461070560</v>
      </c>
      <c r="R536">
        <v>111144392068</v>
      </c>
    </row>
    <row r="537" spans="1:18" x14ac:dyDescent="0.35">
      <c r="A537" t="s">
        <v>1940</v>
      </c>
      <c r="B537" t="s">
        <v>59</v>
      </c>
      <c r="C537">
        <v>15064018351</v>
      </c>
      <c r="D537">
        <v>14885050766</v>
      </c>
      <c r="E537">
        <v>14472067487</v>
      </c>
      <c r="F537">
        <v>8175177674</v>
      </c>
      <c r="G537">
        <v>27775248975</v>
      </c>
      <c r="H537">
        <v>182649996238</v>
      </c>
      <c r="I537">
        <v>36430475087</v>
      </c>
      <c r="J537">
        <v>28432706348</v>
      </c>
      <c r="K537">
        <v>31944690879</v>
      </c>
      <c r="L537">
        <v>34024928040</v>
      </c>
      <c r="M537">
        <v>17519071607</v>
      </c>
      <c r="N537">
        <v>15732444066</v>
      </c>
      <c r="O537">
        <v>15153647908</v>
      </c>
      <c r="P537">
        <v>21810712282</v>
      </c>
      <c r="Q537">
        <v>31383101186</v>
      </c>
      <c r="R537">
        <v>29089049253</v>
      </c>
    </row>
    <row r="538" spans="1:18" x14ac:dyDescent="0.35">
      <c r="A538" t="s">
        <v>1940</v>
      </c>
      <c r="B538" t="s">
        <v>60</v>
      </c>
      <c r="C538">
        <v>21167760661</v>
      </c>
      <c r="D538">
        <v>58873169716</v>
      </c>
      <c r="E538">
        <v>24181798254</v>
      </c>
      <c r="F538">
        <v>23322258440</v>
      </c>
      <c r="G538">
        <v>110735893832</v>
      </c>
      <c r="H538">
        <v>110466539585</v>
      </c>
      <c r="I538">
        <v>83891889752</v>
      </c>
      <c r="J538">
        <v>73648678787</v>
      </c>
      <c r="K538">
        <v>73144772840</v>
      </c>
      <c r="L538">
        <v>67994731739</v>
      </c>
      <c r="M538">
        <v>64592557534</v>
      </c>
      <c r="N538">
        <v>63862436843</v>
      </c>
      <c r="O538">
        <v>59297740286</v>
      </c>
      <c r="P538">
        <v>57701684045</v>
      </c>
      <c r="Q538">
        <v>52709141011</v>
      </c>
      <c r="R538">
        <v>51501628565</v>
      </c>
    </row>
    <row r="539" spans="1:18" x14ac:dyDescent="0.35">
      <c r="A539" t="s">
        <v>1940</v>
      </c>
      <c r="B539" t="s">
        <v>61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8" x14ac:dyDescent="0.35">
      <c r="A540" t="s">
        <v>1940</v>
      </c>
      <c r="B540" t="s">
        <v>62</v>
      </c>
      <c r="C540">
        <v>38315563</v>
      </c>
      <c r="D540">
        <v>28315563</v>
      </c>
      <c r="E540">
        <v>5000000</v>
      </c>
      <c r="F540">
        <v>5000000</v>
      </c>
      <c r="G540">
        <v>0</v>
      </c>
      <c r="H540">
        <v>0</v>
      </c>
      <c r="I540">
        <v>0</v>
      </c>
      <c r="J540">
        <v>38800000</v>
      </c>
      <c r="K540">
        <v>38800000</v>
      </c>
      <c r="L540">
        <v>38800000</v>
      </c>
      <c r="M540">
        <v>43800000</v>
      </c>
      <c r="N540">
        <v>5000000</v>
      </c>
      <c r="O540">
        <v>5000000</v>
      </c>
      <c r="P540">
        <v>5000000</v>
      </c>
      <c r="Q540">
        <v>5000000</v>
      </c>
      <c r="R540">
        <v>5000000</v>
      </c>
    </row>
    <row r="541" spans="1:18" x14ac:dyDescent="0.35">
      <c r="A541" t="s">
        <v>1940</v>
      </c>
      <c r="B541" t="s">
        <v>63</v>
      </c>
      <c r="C541">
        <v>57714922151</v>
      </c>
      <c r="D541">
        <v>55859472168</v>
      </c>
      <c r="E541">
        <v>54165365661</v>
      </c>
      <c r="F541">
        <v>52330083614</v>
      </c>
      <c r="G541">
        <v>50474633631</v>
      </c>
      <c r="H541">
        <v>48619183648</v>
      </c>
      <c r="I541">
        <v>46904909206</v>
      </c>
      <c r="J541">
        <v>45069627159</v>
      </c>
      <c r="K541">
        <v>43214177176</v>
      </c>
      <c r="L541">
        <v>41358727193</v>
      </c>
      <c r="M541">
        <v>39644452751</v>
      </c>
      <c r="N541">
        <v>37809170704</v>
      </c>
      <c r="O541">
        <v>35953720721</v>
      </c>
      <c r="P541">
        <v>34098270738</v>
      </c>
      <c r="Q541">
        <v>32363828363</v>
      </c>
      <c r="R541">
        <v>30548714250</v>
      </c>
    </row>
    <row r="542" spans="1:18" x14ac:dyDescent="0.35">
      <c r="A542" t="s">
        <v>1940</v>
      </c>
      <c r="B542" t="s">
        <v>64</v>
      </c>
      <c r="C542">
        <v>13622518938533</v>
      </c>
      <c r="D542">
        <v>14000984932081</v>
      </c>
      <c r="E542">
        <v>14053353355532</v>
      </c>
      <c r="F542">
        <v>14774222757289</v>
      </c>
      <c r="G542">
        <v>15266200495532</v>
      </c>
      <c r="H542">
        <v>15974614312250</v>
      </c>
      <c r="I542">
        <v>15985827492730</v>
      </c>
      <c r="J542">
        <v>15742391386822</v>
      </c>
      <c r="K542">
        <v>15869874299898</v>
      </c>
      <c r="L542">
        <v>15374833250223</v>
      </c>
      <c r="M542">
        <v>14748739543279</v>
      </c>
      <c r="N542">
        <v>14376970806543</v>
      </c>
      <c r="O542">
        <v>14528798201868</v>
      </c>
      <c r="P542">
        <v>14606806381044</v>
      </c>
      <c r="Q542">
        <v>14259782424700</v>
      </c>
      <c r="R542">
        <v>14051888960299</v>
      </c>
    </row>
    <row r="543" spans="1:18" x14ac:dyDescent="0.35">
      <c r="A543" t="s">
        <v>1940</v>
      </c>
      <c r="B543" t="s">
        <v>65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8" x14ac:dyDescent="0.35">
      <c r="A544" t="s">
        <v>1940</v>
      </c>
      <c r="B544" t="s">
        <v>66</v>
      </c>
      <c r="C544">
        <v>9705859858235</v>
      </c>
      <c r="D544">
        <v>9836458762888</v>
      </c>
      <c r="E544">
        <v>9699153271551</v>
      </c>
      <c r="F544">
        <v>10457219177593</v>
      </c>
      <c r="G544">
        <v>10468295649082</v>
      </c>
      <c r="H544">
        <v>10593638689213</v>
      </c>
      <c r="I544">
        <v>10281251287728</v>
      </c>
      <c r="J544">
        <v>9678513123349</v>
      </c>
      <c r="K544">
        <v>9405056576996</v>
      </c>
      <c r="L544">
        <v>8636050394846</v>
      </c>
      <c r="M544">
        <v>7843576790429</v>
      </c>
      <c r="N544">
        <v>7409819896432</v>
      </c>
      <c r="O544">
        <v>7507010818969</v>
      </c>
      <c r="P544">
        <v>7292112136458</v>
      </c>
      <c r="Q544">
        <v>6766691610297</v>
      </c>
      <c r="R544">
        <v>6600378262373</v>
      </c>
    </row>
    <row r="545" spans="1:18" x14ac:dyDescent="0.35">
      <c r="A545" t="s">
        <v>1940</v>
      </c>
      <c r="B545" t="s">
        <v>67</v>
      </c>
      <c r="C545">
        <v>3910064555701</v>
      </c>
      <c r="D545">
        <v>3818346993199</v>
      </c>
      <c r="E545">
        <v>3523858987275</v>
      </c>
      <c r="F545">
        <v>4219009242195</v>
      </c>
      <c r="G545">
        <v>4337712954266</v>
      </c>
      <c r="H545">
        <v>3574080392326</v>
      </c>
      <c r="I545">
        <v>4218215568138</v>
      </c>
      <c r="J545">
        <v>3778720376628</v>
      </c>
      <c r="K545">
        <v>3632955655188</v>
      </c>
      <c r="L545">
        <v>3348845852730</v>
      </c>
      <c r="M545">
        <v>2524383460822</v>
      </c>
      <c r="N545">
        <v>2228953862993</v>
      </c>
      <c r="O545">
        <v>2484584481015</v>
      </c>
      <c r="P545">
        <v>2395116332754</v>
      </c>
      <c r="Q545">
        <v>1943369112295</v>
      </c>
      <c r="R545">
        <v>1981303705586</v>
      </c>
    </row>
    <row r="546" spans="1:18" x14ac:dyDescent="0.35">
      <c r="A546" t="s">
        <v>1940</v>
      </c>
      <c r="B546" t="s">
        <v>68</v>
      </c>
      <c r="C546">
        <v>332727818036</v>
      </c>
      <c r="D546">
        <v>555339291129</v>
      </c>
      <c r="E546">
        <v>473066302627</v>
      </c>
      <c r="F546">
        <v>347076860288</v>
      </c>
      <c r="G546">
        <v>1124811158006</v>
      </c>
      <c r="H546">
        <v>300882285987</v>
      </c>
      <c r="I546">
        <v>322641327628</v>
      </c>
      <c r="J546">
        <v>216174778719</v>
      </c>
      <c r="K546">
        <v>231867540528</v>
      </c>
      <c r="L546">
        <v>184248217664</v>
      </c>
      <c r="M546">
        <v>98815803982</v>
      </c>
      <c r="N546">
        <v>92719672626</v>
      </c>
      <c r="O546">
        <v>79347668778</v>
      </c>
      <c r="P546">
        <v>83358682225</v>
      </c>
      <c r="Q546">
        <v>53639610783</v>
      </c>
      <c r="R546">
        <v>42031332291</v>
      </c>
    </row>
    <row r="547" spans="1:18" x14ac:dyDescent="0.35">
      <c r="A547" t="s">
        <v>1940</v>
      </c>
      <c r="B547" t="s">
        <v>69</v>
      </c>
      <c r="C547">
        <v>1592241635229</v>
      </c>
      <c r="D547">
        <v>1322905286794</v>
      </c>
      <c r="E547">
        <v>1087471191958</v>
      </c>
      <c r="F547">
        <v>1591774789400</v>
      </c>
      <c r="G547">
        <v>1528023051544</v>
      </c>
      <c r="H547">
        <v>1125852438612</v>
      </c>
      <c r="I547">
        <v>1229989170365</v>
      </c>
      <c r="J547">
        <v>1050672160897</v>
      </c>
      <c r="K547">
        <v>1044281206178</v>
      </c>
      <c r="L547">
        <v>749581697237</v>
      </c>
      <c r="M547">
        <v>497008326580</v>
      </c>
      <c r="N547">
        <v>325259861914</v>
      </c>
      <c r="O547">
        <v>382389563311</v>
      </c>
      <c r="P547">
        <v>295519388755</v>
      </c>
      <c r="Q547">
        <v>96350095452</v>
      </c>
      <c r="R547">
        <v>8897652360</v>
      </c>
    </row>
    <row r="548" spans="1:18" x14ac:dyDescent="0.35">
      <c r="A548" t="s">
        <v>1940</v>
      </c>
      <c r="B548" t="s">
        <v>70</v>
      </c>
      <c r="C548">
        <v>185843706504</v>
      </c>
      <c r="D548">
        <v>288125585772</v>
      </c>
      <c r="E548">
        <v>53062848362</v>
      </c>
      <c r="F548">
        <v>108914476226</v>
      </c>
      <c r="G548">
        <v>164434960068</v>
      </c>
      <c r="H548">
        <v>114022790458</v>
      </c>
      <c r="I548">
        <v>46616193803</v>
      </c>
      <c r="J548">
        <v>133935226595</v>
      </c>
      <c r="K548">
        <v>211803461093</v>
      </c>
      <c r="L548">
        <v>119457740794</v>
      </c>
      <c r="M548">
        <v>73374122375</v>
      </c>
      <c r="N548">
        <v>65598177722</v>
      </c>
      <c r="O548">
        <v>80106916927</v>
      </c>
      <c r="P548">
        <v>96965465684</v>
      </c>
      <c r="Q548">
        <v>68962597386</v>
      </c>
      <c r="R548">
        <v>59336475698</v>
      </c>
    </row>
    <row r="549" spans="1:18" x14ac:dyDescent="0.35">
      <c r="A549" t="s">
        <v>1940</v>
      </c>
      <c r="B549" t="s">
        <v>71</v>
      </c>
      <c r="C549">
        <v>17108176029</v>
      </c>
      <c r="D549">
        <v>35845936623</v>
      </c>
      <c r="E549">
        <v>16858807609</v>
      </c>
      <c r="F549">
        <v>10952728871</v>
      </c>
      <c r="G549">
        <v>10450564557</v>
      </c>
      <c r="H549">
        <v>26645301992</v>
      </c>
      <c r="I549">
        <v>11810600867</v>
      </c>
      <c r="J549">
        <v>14075198077</v>
      </c>
      <c r="K549">
        <v>13316627862</v>
      </c>
      <c r="L549">
        <v>23605777426</v>
      </c>
      <c r="M549">
        <v>11288581569</v>
      </c>
      <c r="N549">
        <v>11368615450</v>
      </c>
      <c r="O549">
        <v>12237190924</v>
      </c>
      <c r="P549">
        <v>20263125233</v>
      </c>
      <c r="Q549">
        <v>12480756222</v>
      </c>
      <c r="R549">
        <v>11014885311</v>
      </c>
    </row>
    <row r="550" spans="1:18" x14ac:dyDescent="0.35">
      <c r="A550" t="s">
        <v>1940</v>
      </c>
      <c r="B550" t="s">
        <v>72</v>
      </c>
      <c r="C550">
        <v>650738225506</v>
      </c>
      <c r="D550">
        <v>547537906488</v>
      </c>
      <c r="E550">
        <v>890997264204</v>
      </c>
      <c r="F550">
        <v>1266035098108</v>
      </c>
      <c r="G550">
        <v>589842583227</v>
      </c>
      <c r="H550">
        <v>911748696364</v>
      </c>
      <c r="I550">
        <v>851849589771</v>
      </c>
      <c r="J550">
        <v>824091905068</v>
      </c>
      <c r="K550">
        <v>834766123243</v>
      </c>
      <c r="L550">
        <v>956523078995</v>
      </c>
      <c r="M550">
        <v>793586575387</v>
      </c>
      <c r="N550">
        <v>773824572331</v>
      </c>
      <c r="O550">
        <v>814506677392</v>
      </c>
      <c r="P550">
        <v>813207754509</v>
      </c>
      <c r="Q550">
        <v>883617093537</v>
      </c>
      <c r="R550">
        <v>869046566540</v>
      </c>
    </row>
    <row r="551" spans="1:18" x14ac:dyDescent="0.35">
      <c r="A551" t="s">
        <v>1940</v>
      </c>
      <c r="B551" t="s">
        <v>73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8" x14ac:dyDescent="0.35">
      <c r="A552" t="s">
        <v>1940</v>
      </c>
      <c r="B552" t="s">
        <v>74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8" x14ac:dyDescent="0.35">
      <c r="A553" t="s">
        <v>1940</v>
      </c>
      <c r="B553" t="s">
        <v>75</v>
      </c>
      <c r="C553">
        <v>1348809556</v>
      </c>
      <c r="D553">
        <v>6205155446</v>
      </c>
      <c r="E553">
        <v>28350134367</v>
      </c>
      <c r="F553">
        <v>27097616925</v>
      </c>
      <c r="G553">
        <v>6345722682</v>
      </c>
      <c r="H553">
        <v>3394089011</v>
      </c>
      <c r="I553">
        <v>21178094279</v>
      </c>
      <c r="J553">
        <v>14954227810</v>
      </c>
      <c r="K553">
        <v>10159029012</v>
      </c>
      <c r="L553">
        <v>9021535726</v>
      </c>
      <c r="M553">
        <v>10104206681</v>
      </c>
      <c r="N553">
        <v>8689037269</v>
      </c>
      <c r="O553">
        <v>7778686214</v>
      </c>
      <c r="P553">
        <v>3102543953</v>
      </c>
      <c r="Q553">
        <v>3250742942</v>
      </c>
      <c r="R553">
        <v>779661092</v>
      </c>
    </row>
    <row r="554" spans="1:18" x14ac:dyDescent="0.35">
      <c r="A554" t="s">
        <v>1940</v>
      </c>
      <c r="B554" t="s">
        <v>76</v>
      </c>
      <c r="C554">
        <v>345548811426</v>
      </c>
      <c r="D554">
        <v>344888799463</v>
      </c>
      <c r="E554">
        <v>291105742024</v>
      </c>
      <c r="F554">
        <v>320740566837</v>
      </c>
      <c r="G554">
        <v>350769151113</v>
      </c>
      <c r="H554">
        <v>462761605609</v>
      </c>
      <c r="I554">
        <v>533451838164</v>
      </c>
      <c r="J554">
        <v>357978124436</v>
      </c>
      <c r="K554">
        <v>277781313374</v>
      </c>
      <c r="L554">
        <v>288229646661</v>
      </c>
      <c r="M554">
        <v>323485270489</v>
      </c>
      <c r="N554">
        <v>287022650388</v>
      </c>
      <c r="O554">
        <v>358523960217</v>
      </c>
      <c r="P554">
        <v>409147994641</v>
      </c>
      <c r="Q554">
        <v>198679912549</v>
      </c>
      <c r="R554">
        <v>309950801260</v>
      </c>
    </row>
    <row r="555" spans="1:18" x14ac:dyDescent="0.35">
      <c r="A555" t="s">
        <v>1940</v>
      </c>
      <c r="B555" t="s">
        <v>77</v>
      </c>
      <c r="C555">
        <v>762937903455</v>
      </c>
      <c r="D555">
        <v>699766869339</v>
      </c>
      <c r="E555">
        <v>666233589542</v>
      </c>
      <c r="F555">
        <v>509169090122</v>
      </c>
      <c r="G555">
        <v>525818847651</v>
      </c>
      <c r="H555">
        <v>591556268875</v>
      </c>
      <c r="I555">
        <v>1164839969938</v>
      </c>
      <c r="J555">
        <v>1108547971703</v>
      </c>
      <c r="K555">
        <v>950689570575</v>
      </c>
      <c r="L555">
        <v>959344576154</v>
      </c>
      <c r="M555">
        <v>658208991686</v>
      </c>
      <c r="N555">
        <v>606259693220</v>
      </c>
      <c r="O555">
        <v>691967315179</v>
      </c>
      <c r="P555">
        <v>617124875681</v>
      </c>
      <c r="Q555">
        <v>570594501351</v>
      </c>
      <c r="R555">
        <v>624452528961</v>
      </c>
    </row>
    <row r="556" spans="1:18" x14ac:dyDescent="0.35">
      <c r="A556" t="s">
        <v>1940</v>
      </c>
      <c r="B556" t="s">
        <v>78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8" x14ac:dyDescent="0.35">
      <c r="A557" t="s">
        <v>1940</v>
      </c>
      <c r="B557" t="s">
        <v>79</v>
      </c>
      <c r="C557">
        <v>21569469960</v>
      </c>
      <c r="D557">
        <v>17732162145</v>
      </c>
      <c r="E557">
        <v>16713106582</v>
      </c>
      <c r="F557">
        <v>37248015418</v>
      </c>
      <c r="G557">
        <v>37216915418</v>
      </c>
      <c r="H557">
        <v>37216915418</v>
      </c>
      <c r="I557">
        <v>35838783323</v>
      </c>
      <c r="J557">
        <v>58290783323</v>
      </c>
      <c r="K557">
        <v>58290783323</v>
      </c>
      <c r="L557">
        <v>58833582073</v>
      </c>
      <c r="M557">
        <v>58511582073</v>
      </c>
      <c r="N557">
        <v>58211582073</v>
      </c>
      <c r="O557">
        <v>57726502073</v>
      </c>
      <c r="P557">
        <v>56426502073</v>
      </c>
      <c r="Q557">
        <v>55793802073</v>
      </c>
      <c r="R557">
        <v>55793802073</v>
      </c>
    </row>
    <row r="558" spans="1:18" x14ac:dyDescent="0.35">
      <c r="A558" t="s">
        <v>1940</v>
      </c>
      <c r="B558" t="s">
        <v>80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8" x14ac:dyDescent="0.35">
      <c r="A559" t="s">
        <v>1940</v>
      </c>
      <c r="B559" t="s">
        <v>81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8" x14ac:dyDescent="0.35">
      <c r="A560" t="s">
        <v>1940</v>
      </c>
      <c r="B560" t="s">
        <v>82</v>
      </c>
      <c r="C560">
        <v>5795795302534</v>
      </c>
      <c r="D560">
        <v>6018111769689</v>
      </c>
      <c r="E560">
        <v>6175294284276</v>
      </c>
      <c r="F560">
        <v>6238209935398</v>
      </c>
      <c r="G560">
        <v>6130582694816</v>
      </c>
      <c r="H560">
        <v>7019558296887</v>
      </c>
      <c r="I560">
        <v>6063035719590</v>
      </c>
      <c r="J560">
        <v>5899792746721</v>
      </c>
      <c r="K560">
        <v>5772100921808</v>
      </c>
      <c r="L560">
        <v>5287204542116</v>
      </c>
      <c r="M560">
        <v>5319193329607</v>
      </c>
      <c r="N560">
        <v>5180866033439</v>
      </c>
      <c r="O560">
        <v>5022426337954</v>
      </c>
      <c r="P560">
        <v>4896995803704</v>
      </c>
      <c r="Q560">
        <v>4823322498002</v>
      </c>
      <c r="R560">
        <v>4619074556787</v>
      </c>
    </row>
    <row r="561" spans="1:18" x14ac:dyDescent="0.35">
      <c r="A561" t="s">
        <v>1940</v>
      </c>
      <c r="B561" t="s">
        <v>83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8" x14ac:dyDescent="0.35">
      <c r="A562" t="s">
        <v>1940</v>
      </c>
      <c r="B562" t="s">
        <v>84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8" x14ac:dyDescent="0.35">
      <c r="A563" t="s">
        <v>1940</v>
      </c>
      <c r="B563" t="s">
        <v>85</v>
      </c>
      <c r="C563">
        <v>0</v>
      </c>
      <c r="D563">
        <v>0</v>
      </c>
      <c r="E563">
        <v>28424657533</v>
      </c>
      <c r="F563">
        <v>27375831139</v>
      </c>
      <c r="G563">
        <v>27743664017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P563">
        <v>3571232877</v>
      </c>
      <c r="R563">
        <v>10258078904</v>
      </c>
    </row>
    <row r="564" spans="1:18" x14ac:dyDescent="0.35">
      <c r="A564" t="s">
        <v>1940</v>
      </c>
      <c r="B564" t="s">
        <v>86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8" x14ac:dyDescent="0.35">
      <c r="A565" t="s">
        <v>1940</v>
      </c>
      <c r="B565" t="s">
        <v>87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8" x14ac:dyDescent="0.35">
      <c r="A566" t="s">
        <v>1940</v>
      </c>
      <c r="B566" t="s">
        <v>88</v>
      </c>
      <c r="C566">
        <v>9923944169</v>
      </c>
      <c r="D566">
        <v>6617170996</v>
      </c>
      <c r="E566">
        <v>26715716116</v>
      </c>
      <c r="F566">
        <v>26715716116</v>
      </c>
      <c r="G566">
        <v>36064116116</v>
      </c>
      <c r="H566">
        <v>33597598769</v>
      </c>
      <c r="I566">
        <v>9837958606</v>
      </c>
      <c r="J566">
        <v>9858583606</v>
      </c>
      <c r="K566">
        <v>9895509061</v>
      </c>
      <c r="L566">
        <v>6548185784</v>
      </c>
      <c r="M566">
        <v>1866337775</v>
      </c>
      <c r="N566">
        <v>1866337776</v>
      </c>
      <c r="O566">
        <v>1866337775</v>
      </c>
    </row>
    <row r="567" spans="1:18" x14ac:dyDescent="0.35">
      <c r="A567" t="s">
        <v>1940</v>
      </c>
      <c r="B567" t="s">
        <v>89</v>
      </c>
      <c r="C567">
        <v>27181419608</v>
      </c>
      <c r="D567">
        <v>93057743450</v>
      </c>
      <c r="E567">
        <v>30169065512</v>
      </c>
      <c r="F567">
        <v>30594871195</v>
      </c>
      <c r="G567">
        <v>30874568164</v>
      </c>
      <c r="H567">
        <v>38531452643</v>
      </c>
      <c r="I567">
        <v>37984719737</v>
      </c>
      <c r="J567">
        <v>45271305158</v>
      </c>
      <c r="K567">
        <v>46027172266</v>
      </c>
      <c r="L567">
        <v>44927290923</v>
      </c>
      <c r="M567">
        <v>44967845490</v>
      </c>
      <c r="N567">
        <v>46103225585</v>
      </c>
      <c r="O567">
        <v>14837476666</v>
      </c>
      <c r="P567">
        <v>14680669839</v>
      </c>
      <c r="Q567">
        <v>12612759184</v>
      </c>
      <c r="R567">
        <v>13885813331</v>
      </c>
    </row>
    <row r="568" spans="1:18" x14ac:dyDescent="0.35">
      <c r="A568" t="s">
        <v>1940</v>
      </c>
      <c r="B568" t="s">
        <v>90</v>
      </c>
      <c r="C568">
        <v>5708220041201</v>
      </c>
      <c r="D568">
        <v>5868052457687</v>
      </c>
      <c r="E568">
        <v>6015547918864</v>
      </c>
      <c r="F568">
        <v>6079095072497</v>
      </c>
      <c r="G568">
        <v>5961471902068</v>
      </c>
      <c r="H568">
        <v>6873000801024</v>
      </c>
      <c r="I568">
        <v>5943186107272</v>
      </c>
      <c r="J568">
        <v>5772635923983</v>
      </c>
      <c r="K568">
        <v>5644285206506</v>
      </c>
      <c r="L568">
        <v>5163836031434</v>
      </c>
      <c r="M568">
        <v>5202431901236</v>
      </c>
      <c r="N568">
        <v>5062969224972</v>
      </c>
      <c r="O568">
        <v>4935898382363</v>
      </c>
      <c r="P568">
        <v>4808919759838</v>
      </c>
      <c r="Q568">
        <v>4742851386537</v>
      </c>
      <c r="R568">
        <v>4527072312271</v>
      </c>
    </row>
    <row r="569" spans="1:18" x14ac:dyDescent="0.35">
      <c r="A569" t="s">
        <v>1940</v>
      </c>
      <c r="B569" t="s">
        <v>91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8" x14ac:dyDescent="0.35">
      <c r="A570" t="s">
        <v>1940</v>
      </c>
      <c r="B570" t="s">
        <v>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8" x14ac:dyDescent="0.35">
      <c r="A571" t="s">
        <v>1940</v>
      </c>
      <c r="B571" t="s">
        <v>93</v>
      </c>
      <c r="C571">
        <v>50138911800</v>
      </c>
      <c r="D571">
        <v>50138911800</v>
      </c>
      <c r="E571">
        <v>74191440495</v>
      </c>
      <c r="F571">
        <v>74191440495</v>
      </c>
      <c r="G571">
        <v>74191440495</v>
      </c>
      <c r="H571">
        <v>74191440495</v>
      </c>
      <c r="I571">
        <v>71789930019</v>
      </c>
      <c r="J571">
        <v>71789930018</v>
      </c>
      <c r="K571">
        <v>71789930019</v>
      </c>
      <c r="L571">
        <v>71789930019</v>
      </c>
      <c r="M571">
        <v>69824141150</v>
      </c>
      <c r="N571">
        <v>69824141150</v>
      </c>
      <c r="O571">
        <v>69824141150</v>
      </c>
      <c r="P571">
        <v>69824141150</v>
      </c>
      <c r="Q571">
        <v>67858352281</v>
      </c>
      <c r="R571">
        <v>67858352281</v>
      </c>
    </row>
    <row r="572" spans="1:18" x14ac:dyDescent="0.35">
      <c r="A572" t="s">
        <v>1940</v>
      </c>
      <c r="B572" t="s">
        <v>94</v>
      </c>
      <c r="C572">
        <v>330985756</v>
      </c>
      <c r="D572">
        <v>245485756</v>
      </c>
      <c r="E572">
        <v>245485756</v>
      </c>
      <c r="F572">
        <v>237003956</v>
      </c>
      <c r="G572">
        <v>237003956</v>
      </c>
      <c r="H572">
        <v>237003956</v>
      </c>
      <c r="I572">
        <v>237003956</v>
      </c>
      <c r="J572">
        <v>237003956</v>
      </c>
      <c r="K572">
        <v>103103956</v>
      </c>
      <c r="L572">
        <v>103103956</v>
      </c>
      <c r="M572">
        <v>103103956</v>
      </c>
      <c r="N572">
        <v>103103956</v>
      </c>
    </row>
    <row r="573" spans="1:18" x14ac:dyDescent="0.35">
      <c r="A573" t="s">
        <v>1940</v>
      </c>
      <c r="B573" t="s">
        <v>95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8" x14ac:dyDescent="0.35">
      <c r="A574" t="s">
        <v>1940</v>
      </c>
      <c r="B574" t="s">
        <v>96</v>
      </c>
      <c r="C574">
        <v>3916659080298</v>
      </c>
      <c r="D574">
        <v>4164526169193</v>
      </c>
      <c r="E574">
        <v>4354200083981</v>
      </c>
      <c r="F574">
        <v>4317003579696</v>
      </c>
      <c r="G574">
        <v>4797904846450</v>
      </c>
      <c r="H574">
        <v>5380975623037</v>
      </c>
      <c r="I574">
        <v>5704576205002</v>
      </c>
      <c r="J574">
        <v>6063878263473</v>
      </c>
      <c r="K574">
        <v>6464817722902</v>
      </c>
      <c r="L574">
        <v>6738782855377</v>
      </c>
      <c r="M574">
        <v>6905162752850</v>
      </c>
      <c r="N574">
        <v>6967150910111</v>
      </c>
      <c r="O574">
        <v>7021787382899</v>
      </c>
      <c r="P574">
        <v>7314694244586</v>
      </c>
      <c r="Q574">
        <v>7493090814403</v>
      </c>
      <c r="R574">
        <v>7451510697926</v>
      </c>
    </row>
    <row r="575" spans="1:18" x14ac:dyDescent="0.35">
      <c r="A575" t="s">
        <v>1940</v>
      </c>
      <c r="B575" t="s">
        <v>97</v>
      </c>
      <c r="C575">
        <v>3916659080298</v>
      </c>
      <c r="D575">
        <v>4164526169193</v>
      </c>
      <c r="E575">
        <v>4354200083981</v>
      </c>
      <c r="F575">
        <v>4317003579696</v>
      </c>
      <c r="G575">
        <v>4797904846450</v>
      </c>
      <c r="H575">
        <v>5380975623037</v>
      </c>
      <c r="I575">
        <v>5704576205002</v>
      </c>
      <c r="J575">
        <v>6063878263473</v>
      </c>
      <c r="K575">
        <v>6464817722902</v>
      </c>
      <c r="L575">
        <v>6738782855377</v>
      </c>
      <c r="M575">
        <v>6905162752850</v>
      </c>
      <c r="N575">
        <v>6967150910111</v>
      </c>
      <c r="O575">
        <v>7021787382899</v>
      </c>
      <c r="P575">
        <v>7314694244586</v>
      </c>
      <c r="Q575">
        <v>7493090814403</v>
      </c>
      <c r="R575">
        <v>7451510697926</v>
      </c>
    </row>
    <row r="576" spans="1:18" x14ac:dyDescent="0.35">
      <c r="A576" t="s">
        <v>1940</v>
      </c>
      <c r="B576" t="s">
        <v>98</v>
      </c>
      <c r="C576">
        <v>1542750180000</v>
      </c>
      <c r="D576">
        <v>1542750180000</v>
      </c>
      <c r="E576">
        <v>1542750180000</v>
      </c>
      <c r="F576">
        <v>1542750180000</v>
      </c>
      <c r="G576">
        <v>1636317180000</v>
      </c>
      <c r="H576">
        <v>1963574150000</v>
      </c>
      <c r="I576">
        <v>2038388150000</v>
      </c>
      <c r="J576">
        <v>2038388150000</v>
      </c>
      <c r="K576">
        <v>2446058980000</v>
      </c>
      <c r="L576">
        <v>2446058980000</v>
      </c>
      <c r="M576">
        <v>2446058980000</v>
      </c>
      <c r="N576">
        <v>2446058980000</v>
      </c>
      <c r="O576">
        <v>3057568410000</v>
      </c>
      <c r="P576">
        <v>3057568410000</v>
      </c>
      <c r="Q576">
        <v>3057568410000</v>
      </c>
      <c r="R576">
        <v>3057568410000</v>
      </c>
    </row>
    <row r="577" spans="1:18" x14ac:dyDescent="0.35">
      <c r="A577" t="s">
        <v>1940</v>
      </c>
      <c r="B577" t="s">
        <v>99</v>
      </c>
      <c r="C577">
        <v>1542750180000</v>
      </c>
      <c r="D577">
        <v>0</v>
      </c>
      <c r="E577">
        <v>0</v>
      </c>
      <c r="F577">
        <v>0</v>
      </c>
      <c r="G577">
        <v>1636317180000</v>
      </c>
      <c r="H577">
        <v>1963574150000</v>
      </c>
      <c r="I577">
        <v>2038388150000</v>
      </c>
      <c r="J577">
        <v>2038388150000</v>
      </c>
      <c r="K577">
        <v>2446058980000</v>
      </c>
      <c r="L577">
        <v>2446058980000</v>
      </c>
      <c r="M577">
        <v>2446058980000</v>
      </c>
      <c r="N577">
        <v>2446058980000</v>
      </c>
      <c r="O577">
        <v>3057568410000</v>
      </c>
      <c r="P577">
        <v>3057568410000</v>
      </c>
      <c r="Q577">
        <v>3057568410000</v>
      </c>
      <c r="R577">
        <v>3057568410000</v>
      </c>
    </row>
    <row r="578" spans="1:18" x14ac:dyDescent="0.35">
      <c r="A578" t="s">
        <v>1940</v>
      </c>
      <c r="B578" t="s">
        <v>100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8" x14ac:dyDescent="0.35">
      <c r="A579" t="s">
        <v>1940</v>
      </c>
      <c r="B579" t="s">
        <v>101</v>
      </c>
      <c r="C579">
        <v>-171550000</v>
      </c>
      <c r="D579">
        <v>387992000</v>
      </c>
      <c r="E579">
        <v>387992000</v>
      </c>
      <c r="F579">
        <v>387992000</v>
      </c>
      <c r="G579">
        <v>229106864127</v>
      </c>
      <c r="H579">
        <v>229106864127</v>
      </c>
      <c r="I579">
        <v>374867728679</v>
      </c>
      <c r="J579">
        <v>374867728679</v>
      </c>
      <c r="K579">
        <v>374867728679</v>
      </c>
      <c r="L579">
        <v>374867728679</v>
      </c>
      <c r="M579">
        <v>374867728679</v>
      </c>
      <c r="N579">
        <v>374867728679</v>
      </c>
      <c r="O579">
        <v>374867728679</v>
      </c>
      <c r="P579">
        <v>374867728679</v>
      </c>
      <c r="Q579">
        <v>374867728679</v>
      </c>
      <c r="R579">
        <v>374867728679</v>
      </c>
    </row>
    <row r="580" spans="1:18" x14ac:dyDescent="0.35">
      <c r="A580" t="s">
        <v>1940</v>
      </c>
      <c r="B580" t="s">
        <v>102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8" x14ac:dyDescent="0.35">
      <c r="A581" t="s">
        <v>1940</v>
      </c>
      <c r="B581" t="s">
        <v>103</v>
      </c>
      <c r="C581">
        <v>96397029364</v>
      </c>
      <c r="D581">
        <v>161573739364</v>
      </c>
      <c r="E581">
        <v>161570844814</v>
      </c>
      <c r="F581">
        <v>151434954814</v>
      </c>
      <c r="G581">
        <v>230397934814</v>
      </c>
      <c r="H581">
        <v>230397934814</v>
      </c>
      <c r="I581">
        <v>230397934814</v>
      </c>
      <c r="J581">
        <v>230397934814</v>
      </c>
      <c r="K581">
        <v>287862064814</v>
      </c>
      <c r="L581">
        <v>287862064814</v>
      </c>
      <c r="M581">
        <v>287862064814</v>
      </c>
      <c r="N581">
        <v>287862064814</v>
      </c>
      <c r="O581">
        <v>351072617129</v>
      </c>
      <c r="P581">
        <v>351072617129</v>
      </c>
      <c r="Q581">
        <v>287862064814</v>
      </c>
      <c r="R581">
        <v>287862064814</v>
      </c>
    </row>
    <row r="582" spans="1:18" x14ac:dyDescent="0.35">
      <c r="A582" t="s">
        <v>1940</v>
      </c>
      <c r="B582" t="s">
        <v>104</v>
      </c>
      <c r="C582">
        <v>-326270000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8" x14ac:dyDescent="0.35">
      <c r="A583" t="s">
        <v>1940</v>
      </c>
      <c r="B583" t="s">
        <v>105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8" x14ac:dyDescent="0.35">
      <c r="A584" t="s">
        <v>1940</v>
      </c>
      <c r="B584" t="s">
        <v>106</v>
      </c>
      <c r="C584">
        <v>-29377238044</v>
      </c>
      <c r="D584">
        <v>-39818876122</v>
      </c>
      <c r="E584">
        <v>-39818876122</v>
      </c>
      <c r="F584">
        <v>-39818876122</v>
      </c>
      <c r="G584">
        <v>-73696440785</v>
      </c>
      <c r="H584">
        <v>-74164653352</v>
      </c>
      <c r="I584">
        <v>-74164653352</v>
      </c>
      <c r="J584">
        <v>-74164653352</v>
      </c>
      <c r="K584">
        <v>-74164653352</v>
      </c>
      <c r="L584">
        <v>-74164653352</v>
      </c>
      <c r="M584">
        <v>-163791048418</v>
      </c>
      <c r="N584">
        <v>-163791048417</v>
      </c>
      <c r="O584">
        <v>-163791048417</v>
      </c>
      <c r="P584">
        <v>-174717531560</v>
      </c>
      <c r="Q584">
        <v>-221042249018</v>
      </c>
      <c r="R584">
        <v>-221042249018</v>
      </c>
    </row>
    <row r="585" spans="1:18" x14ac:dyDescent="0.35">
      <c r="A585" t="s">
        <v>1940</v>
      </c>
      <c r="B585" t="s">
        <v>107</v>
      </c>
      <c r="C585">
        <v>51211243573</v>
      </c>
      <c r="D585">
        <v>51211243573</v>
      </c>
      <c r="E585">
        <v>51211243573</v>
      </c>
      <c r="F585">
        <v>51211243573</v>
      </c>
      <c r="G585">
        <v>51211243573</v>
      </c>
      <c r="H585">
        <v>51211243573</v>
      </c>
      <c r="I585">
        <v>51211243573</v>
      </c>
      <c r="J585">
        <v>22159243573</v>
      </c>
      <c r="K585">
        <v>17595337214</v>
      </c>
      <c r="L585">
        <v>17595337214</v>
      </c>
      <c r="M585">
        <v>17595337214</v>
      </c>
      <c r="N585">
        <v>17595337214</v>
      </c>
      <c r="O585">
        <v>17595337214</v>
      </c>
      <c r="P585">
        <v>17595337214</v>
      </c>
      <c r="Q585">
        <v>23516835886</v>
      </c>
      <c r="R585">
        <v>23516835886</v>
      </c>
    </row>
    <row r="586" spans="1:18" x14ac:dyDescent="0.35">
      <c r="A586" t="s">
        <v>1940</v>
      </c>
      <c r="B586" t="s">
        <v>108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8" x14ac:dyDescent="0.35">
      <c r="A587" t="s">
        <v>1940</v>
      </c>
      <c r="B587" t="s">
        <v>109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8" x14ac:dyDescent="0.35">
      <c r="A588" t="s">
        <v>1940</v>
      </c>
      <c r="B588" t="s">
        <v>110</v>
      </c>
      <c r="C588">
        <v>1315231763174</v>
      </c>
      <c r="D588">
        <v>1459741394426</v>
      </c>
      <c r="E588">
        <v>1622865641409</v>
      </c>
      <c r="F588">
        <v>1614369161209</v>
      </c>
      <c r="G588">
        <v>1739834687106</v>
      </c>
      <c r="H588">
        <v>1933425464112</v>
      </c>
      <c r="I588">
        <v>1973959355555</v>
      </c>
      <c r="J588">
        <v>2306449162055</v>
      </c>
      <c r="K588">
        <v>2244557469680</v>
      </c>
      <c r="L588">
        <v>2490970134163</v>
      </c>
      <c r="M588">
        <v>2643251728369</v>
      </c>
      <c r="N588">
        <v>2730612917066</v>
      </c>
      <c r="O588">
        <v>2088300890908</v>
      </c>
      <c r="P588">
        <v>2377056051975</v>
      </c>
      <c r="Q588">
        <v>2615560249327</v>
      </c>
      <c r="R588">
        <v>2537047027600</v>
      </c>
    </row>
    <row r="589" spans="1:18" x14ac:dyDescent="0.35">
      <c r="A589" t="s">
        <v>1940</v>
      </c>
      <c r="B589" t="s">
        <v>111</v>
      </c>
      <c r="C589">
        <v>764428842099</v>
      </c>
      <c r="D589">
        <v>968253163131</v>
      </c>
      <c r="E589">
        <v>322147811470</v>
      </c>
      <c r="F589">
        <v>354702766000</v>
      </c>
      <c r="G589">
        <v>569807376162</v>
      </c>
      <c r="H589">
        <v>1090016436792</v>
      </c>
      <c r="I589">
        <v>244259464802</v>
      </c>
      <c r="J589">
        <v>605828640276</v>
      </c>
      <c r="K589">
        <v>872765690971</v>
      </c>
      <c r="L589">
        <v>1369878801525</v>
      </c>
      <c r="M589">
        <v>2340518275792</v>
      </c>
      <c r="N589">
        <v>2382957053045</v>
      </c>
      <c r="O589">
        <v>1665748954870</v>
      </c>
      <c r="P589">
        <v>1665553038497</v>
      </c>
      <c r="Q589">
        <v>2394212376883</v>
      </c>
      <c r="R589">
        <v>2241333956383</v>
      </c>
    </row>
    <row r="590" spans="1:18" x14ac:dyDescent="0.35">
      <c r="A590" t="s">
        <v>1940</v>
      </c>
      <c r="B590" t="s">
        <v>112</v>
      </c>
      <c r="C590">
        <v>550802921075</v>
      </c>
      <c r="D590">
        <v>491488231295</v>
      </c>
      <c r="E590">
        <v>1300717829939</v>
      </c>
      <c r="F590">
        <v>1259666395209</v>
      </c>
      <c r="G590">
        <v>1170027310944</v>
      </c>
      <c r="H590">
        <v>843409027320</v>
      </c>
      <c r="I590">
        <v>1729699890753</v>
      </c>
      <c r="J590">
        <v>1700620521779</v>
      </c>
      <c r="K590">
        <v>1371791778709</v>
      </c>
      <c r="L590">
        <v>1121091332638</v>
      </c>
      <c r="M590">
        <v>302733452577</v>
      </c>
      <c r="N590">
        <v>347655864021</v>
      </c>
      <c r="O590">
        <v>422551936038</v>
      </c>
      <c r="P590">
        <v>711503013478</v>
      </c>
      <c r="Q590">
        <v>221347872444</v>
      </c>
      <c r="R590">
        <v>295713071217</v>
      </c>
    </row>
    <row r="591" spans="1:18" x14ac:dyDescent="0.35">
      <c r="A591" t="s">
        <v>1940</v>
      </c>
      <c r="B591" t="s">
        <v>113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8" x14ac:dyDescent="0.35">
      <c r="A592" t="s">
        <v>1940</v>
      </c>
      <c r="B592" t="s">
        <v>114</v>
      </c>
      <c r="C592">
        <v>940943922231</v>
      </c>
      <c r="D592">
        <v>988680495952</v>
      </c>
      <c r="E592">
        <v>1015233058307</v>
      </c>
      <c r="F592">
        <v>996668924222</v>
      </c>
      <c r="G592">
        <v>984733377615</v>
      </c>
      <c r="H592">
        <v>1047424619763</v>
      </c>
      <c r="I592">
        <v>1109916445733</v>
      </c>
      <c r="J592">
        <v>1165780697704</v>
      </c>
      <c r="K592">
        <v>1168040795867</v>
      </c>
      <c r="L592">
        <v>1195593263859</v>
      </c>
      <c r="M592">
        <v>1299317962192</v>
      </c>
      <c r="N592">
        <v>1273944930755</v>
      </c>
      <c r="O592">
        <v>1296173447386</v>
      </c>
      <c r="P592">
        <v>1311251631149</v>
      </c>
      <c r="Q592">
        <v>1354757774715</v>
      </c>
      <c r="R592">
        <v>1391690879965</v>
      </c>
    </row>
    <row r="593" spans="1:18" x14ac:dyDescent="0.35">
      <c r="A593" t="s">
        <v>1940</v>
      </c>
      <c r="B593" t="s">
        <v>115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8" x14ac:dyDescent="0.35">
      <c r="A594" t="s">
        <v>1940</v>
      </c>
      <c r="B594" t="s">
        <v>116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8" x14ac:dyDescent="0.35">
      <c r="A595" t="s">
        <v>1940</v>
      </c>
      <c r="B595" t="s">
        <v>117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8" x14ac:dyDescent="0.35">
      <c r="A596" t="s">
        <v>1940</v>
      </c>
      <c r="B596" t="s">
        <v>118</v>
      </c>
      <c r="C596">
        <v>13622518938533</v>
      </c>
      <c r="D596">
        <v>14000984932081</v>
      </c>
      <c r="E596">
        <v>14053353355532</v>
      </c>
      <c r="F596">
        <v>14774222757289</v>
      </c>
      <c r="G596">
        <v>15266200495532</v>
      </c>
      <c r="H596">
        <v>15974614312250</v>
      </c>
      <c r="I596">
        <v>15985827492730</v>
      </c>
      <c r="J596">
        <v>15742391386822</v>
      </c>
      <c r="K596">
        <v>15869874299898</v>
      </c>
      <c r="L596">
        <v>15374833250223</v>
      </c>
      <c r="M596">
        <v>14748739543279</v>
      </c>
      <c r="N596">
        <v>14376970806543</v>
      </c>
      <c r="O596">
        <v>14528798201868</v>
      </c>
      <c r="P596">
        <v>14606806381044</v>
      </c>
      <c r="Q596">
        <v>14259782424700</v>
      </c>
      <c r="R596">
        <v>14051888960299</v>
      </c>
    </row>
    <row r="597" spans="1:18" x14ac:dyDescent="0.35">
      <c r="A597" t="s">
        <v>1941</v>
      </c>
      <c r="B597" t="s">
        <v>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8" x14ac:dyDescent="0.35">
      <c r="A598" t="s">
        <v>1941</v>
      </c>
      <c r="B598" t="s">
        <v>7</v>
      </c>
      <c r="C598">
        <v>4051857413032</v>
      </c>
      <c r="D598">
        <v>3920370313044</v>
      </c>
      <c r="E598">
        <v>3630422963338</v>
      </c>
      <c r="F598">
        <v>4221908049638</v>
      </c>
      <c r="G598">
        <v>3957269606980</v>
      </c>
      <c r="H598">
        <v>3690906362752</v>
      </c>
      <c r="I598">
        <v>3810049244962</v>
      </c>
      <c r="J598">
        <v>3745991400881</v>
      </c>
      <c r="K598">
        <v>3703256989563</v>
      </c>
      <c r="L598">
        <v>3794260294196</v>
      </c>
      <c r="M598">
        <v>4131967784097</v>
      </c>
      <c r="N598">
        <v>4032525893247</v>
      </c>
      <c r="O598">
        <v>4031704404348</v>
      </c>
      <c r="P598">
        <v>4852757474390</v>
      </c>
      <c r="Q598">
        <v>4543145732534</v>
      </c>
      <c r="R598">
        <v>4633543317344</v>
      </c>
    </row>
    <row r="599" spans="1:18" x14ac:dyDescent="0.35">
      <c r="A599" t="s">
        <v>1941</v>
      </c>
      <c r="B599" t="s">
        <v>8</v>
      </c>
      <c r="C599">
        <v>347823793622</v>
      </c>
      <c r="D599">
        <v>340926305697</v>
      </c>
      <c r="E599">
        <v>214039446589</v>
      </c>
      <c r="F599">
        <v>221070491100</v>
      </c>
      <c r="G599">
        <v>297699566779</v>
      </c>
      <c r="H599">
        <v>256136123821</v>
      </c>
      <c r="I599">
        <v>334344838179</v>
      </c>
      <c r="J599">
        <v>271131757792</v>
      </c>
      <c r="K599">
        <v>116485264538</v>
      </c>
      <c r="L599">
        <v>94855677019</v>
      </c>
      <c r="M599">
        <v>390074800566</v>
      </c>
      <c r="N599">
        <v>32717473081</v>
      </c>
      <c r="O599">
        <v>78155847314</v>
      </c>
      <c r="P599">
        <v>670938407866</v>
      </c>
      <c r="Q599">
        <v>451601867239</v>
      </c>
      <c r="R599">
        <v>341170454817</v>
      </c>
    </row>
    <row r="600" spans="1:18" x14ac:dyDescent="0.35">
      <c r="A600" t="s">
        <v>1941</v>
      </c>
      <c r="B600" t="s">
        <v>9</v>
      </c>
      <c r="C600">
        <v>177563793622</v>
      </c>
      <c r="D600">
        <v>242181305697</v>
      </c>
      <c r="E600">
        <v>214039446589</v>
      </c>
      <c r="F600">
        <v>221070491100</v>
      </c>
      <c r="G600">
        <v>254094566779</v>
      </c>
      <c r="H600">
        <v>244536123821</v>
      </c>
      <c r="I600">
        <v>317744838179</v>
      </c>
      <c r="J600">
        <v>235031757792</v>
      </c>
      <c r="K600">
        <v>23865264538</v>
      </c>
      <c r="L600">
        <v>32005677019</v>
      </c>
      <c r="M600">
        <v>304054800566</v>
      </c>
      <c r="N600">
        <v>27217473081</v>
      </c>
      <c r="O600">
        <v>28155847314</v>
      </c>
      <c r="P600">
        <v>484938407866</v>
      </c>
      <c r="Q600">
        <v>368868663939</v>
      </c>
      <c r="R600">
        <v>288421405917</v>
      </c>
    </row>
    <row r="601" spans="1:18" x14ac:dyDescent="0.35">
      <c r="A601" t="s">
        <v>1941</v>
      </c>
      <c r="B601" t="s">
        <v>10</v>
      </c>
      <c r="C601">
        <v>170260000000</v>
      </c>
      <c r="D601">
        <v>98745000000</v>
      </c>
      <c r="E601">
        <v>0</v>
      </c>
      <c r="F601">
        <v>0</v>
      </c>
      <c r="G601">
        <v>43605000000</v>
      </c>
      <c r="H601">
        <v>11600000000</v>
      </c>
      <c r="I601">
        <v>16600000000</v>
      </c>
      <c r="J601">
        <v>36100000000</v>
      </c>
      <c r="K601">
        <v>92620000000</v>
      </c>
      <c r="L601">
        <v>62850000000</v>
      </c>
      <c r="M601">
        <v>86020000000</v>
      </c>
      <c r="N601">
        <v>5500000000</v>
      </c>
      <c r="O601">
        <v>50000000000</v>
      </c>
      <c r="P601">
        <v>186000000000</v>
      </c>
      <c r="Q601">
        <v>82733203300</v>
      </c>
      <c r="R601">
        <v>52749048900</v>
      </c>
    </row>
    <row r="602" spans="1:18" x14ac:dyDescent="0.35">
      <c r="A602" t="s">
        <v>1941</v>
      </c>
      <c r="B602" t="s">
        <v>11</v>
      </c>
      <c r="C602">
        <v>4430000000</v>
      </c>
      <c r="D602">
        <v>0</v>
      </c>
      <c r="E602">
        <v>38745000000</v>
      </c>
      <c r="F602">
        <v>45350000000</v>
      </c>
      <c r="G602">
        <v>25032451700</v>
      </c>
      <c r="H602">
        <v>259432451700</v>
      </c>
      <c r="I602">
        <v>113432451700</v>
      </c>
      <c r="J602">
        <v>13432451700</v>
      </c>
      <c r="K602">
        <v>96375842809</v>
      </c>
      <c r="L602">
        <v>51995842809</v>
      </c>
      <c r="M602">
        <v>21075842809</v>
      </c>
      <c r="N602">
        <v>208405103109</v>
      </c>
      <c r="O602">
        <v>67020477309</v>
      </c>
      <c r="P602">
        <v>64580996609</v>
      </c>
      <c r="Q602">
        <v>26495980109</v>
      </c>
      <c r="R602">
        <v>16516170809</v>
      </c>
    </row>
    <row r="603" spans="1:18" x14ac:dyDescent="0.35">
      <c r="A603" t="s">
        <v>1941</v>
      </c>
      <c r="B603" t="s">
        <v>12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8" x14ac:dyDescent="0.35">
      <c r="A604" t="s">
        <v>1941</v>
      </c>
      <c r="B604" t="s">
        <v>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8" x14ac:dyDescent="0.35">
      <c r="A605" t="s">
        <v>1941</v>
      </c>
      <c r="B605" t="s">
        <v>14</v>
      </c>
      <c r="C605">
        <v>4430000000</v>
      </c>
      <c r="D605">
        <v>0</v>
      </c>
      <c r="E605">
        <v>38745000000</v>
      </c>
      <c r="F605">
        <v>45350000000</v>
      </c>
      <c r="G605">
        <v>25032451700</v>
      </c>
      <c r="H605">
        <v>259432451700</v>
      </c>
      <c r="I605">
        <v>113432451700</v>
      </c>
      <c r="J605">
        <v>13432451700</v>
      </c>
      <c r="K605">
        <v>96375842809</v>
      </c>
      <c r="L605">
        <v>51995842809</v>
      </c>
      <c r="M605">
        <v>21075842809</v>
      </c>
      <c r="N605">
        <v>208405103109</v>
      </c>
      <c r="O605">
        <v>67020477309</v>
      </c>
      <c r="P605">
        <v>64580996609</v>
      </c>
      <c r="Q605">
        <v>26495980109</v>
      </c>
      <c r="R605">
        <v>16516170809</v>
      </c>
    </row>
    <row r="606" spans="1:18" x14ac:dyDescent="0.35">
      <c r="A606" t="s">
        <v>1941</v>
      </c>
      <c r="B606" t="s">
        <v>15</v>
      </c>
      <c r="C606">
        <v>2720985798127</v>
      </c>
      <c r="D606">
        <v>2799827668816</v>
      </c>
      <c r="E606">
        <v>2714915908892</v>
      </c>
      <c r="F606">
        <v>3291933120232</v>
      </c>
      <c r="G606">
        <v>2817478183546</v>
      </c>
      <c r="H606">
        <v>2248794850295</v>
      </c>
      <c r="I606">
        <v>2243968510216</v>
      </c>
      <c r="J606">
        <v>2252951138195</v>
      </c>
      <c r="K606">
        <v>2168926879599</v>
      </c>
      <c r="L606">
        <v>2351646812389</v>
      </c>
      <c r="M606">
        <v>2395799962433</v>
      </c>
      <c r="N606">
        <v>2577108125229</v>
      </c>
      <c r="O606">
        <v>2501078419280</v>
      </c>
      <c r="P606">
        <v>2749855067549</v>
      </c>
      <c r="Q606">
        <v>2284593801022</v>
      </c>
      <c r="R606">
        <v>2367831256652</v>
      </c>
    </row>
    <row r="607" spans="1:18" x14ac:dyDescent="0.35">
      <c r="A607" t="s">
        <v>1941</v>
      </c>
      <c r="B607" t="s">
        <v>16</v>
      </c>
      <c r="C607">
        <v>1727051973203</v>
      </c>
      <c r="D607">
        <v>2088857408292</v>
      </c>
      <c r="E607">
        <v>2087200610646</v>
      </c>
      <c r="F607">
        <v>2664141424948</v>
      </c>
      <c r="G607">
        <v>2152225598078</v>
      </c>
      <c r="H607">
        <v>1659450227672</v>
      </c>
      <c r="I607">
        <v>1566421883179</v>
      </c>
      <c r="J607">
        <v>1641860576892</v>
      </c>
      <c r="K607">
        <v>1590164713842</v>
      </c>
      <c r="L607">
        <v>1627190816068</v>
      </c>
      <c r="M607">
        <v>1822885045284</v>
      </c>
      <c r="N607">
        <v>1955214274526</v>
      </c>
      <c r="O607">
        <v>1835275087689</v>
      </c>
      <c r="P607">
        <v>2028462776023</v>
      </c>
      <c r="Q607">
        <v>1529723468793</v>
      </c>
      <c r="R607">
        <v>1525331156639</v>
      </c>
    </row>
    <row r="608" spans="1:18" x14ac:dyDescent="0.35">
      <c r="A608" t="s">
        <v>1941</v>
      </c>
      <c r="B608" t="s">
        <v>17</v>
      </c>
      <c r="C608">
        <v>389826170085</v>
      </c>
      <c r="D608">
        <v>301125846826</v>
      </c>
      <c r="E608">
        <v>284067013995</v>
      </c>
      <c r="F608">
        <v>345955622067</v>
      </c>
      <c r="G608">
        <v>361298280330</v>
      </c>
      <c r="H608">
        <v>334085040566</v>
      </c>
      <c r="I608">
        <v>364813341737</v>
      </c>
      <c r="J608">
        <v>285266196706</v>
      </c>
      <c r="K608">
        <v>253560211656</v>
      </c>
      <c r="L608">
        <v>235546880004</v>
      </c>
      <c r="M608">
        <v>259360463476</v>
      </c>
      <c r="N608">
        <v>413629028147</v>
      </c>
      <c r="O608">
        <v>445262137517</v>
      </c>
      <c r="P608">
        <v>517436209163</v>
      </c>
      <c r="Q608">
        <v>430204158498</v>
      </c>
      <c r="R608">
        <v>514963978022</v>
      </c>
    </row>
    <row r="609" spans="1:18" x14ac:dyDescent="0.35">
      <c r="A609" t="s">
        <v>1941</v>
      </c>
      <c r="B609" t="s">
        <v>18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8" x14ac:dyDescent="0.35">
      <c r="A610" t="s">
        <v>1941</v>
      </c>
      <c r="B610" t="s">
        <v>19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8" x14ac:dyDescent="0.35">
      <c r="A611" t="s">
        <v>1941</v>
      </c>
      <c r="B611" t="s">
        <v>20</v>
      </c>
      <c r="C611">
        <v>23071418391</v>
      </c>
      <c r="D611">
        <v>25771418391</v>
      </c>
      <c r="E611">
        <v>53271418391</v>
      </c>
      <c r="F611">
        <v>58771418390</v>
      </c>
      <c r="G611">
        <v>59271418390</v>
      </c>
      <c r="H611">
        <v>59971418391</v>
      </c>
      <c r="I611">
        <v>60871418391</v>
      </c>
      <c r="J611">
        <v>62957268341</v>
      </c>
      <c r="K611">
        <v>63257268341</v>
      </c>
      <c r="L611">
        <v>62971418391</v>
      </c>
      <c r="M611">
        <v>66937385693</v>
      </c>
      <c r="N611">
        <v>70727385693</v>
      </c>
      <c r="O611">
        <v>69927385693</v>
      </c>
      <c r="P611">
        <v>69927385693</v>
      </c>
      <c r="Q611">
        <v>78558385693</v>
      </c>
      <c r="R611">
        <v>81078385693</v>
      </c>
    </row>
    <row r="612" spans="1:18" x14ac:dyDescent="0.35">
      <c r="A612" t="s">
        <v>1941</v>
      </c>
      <c r="B612" t="s">
        <v>21</v>
      </c>
      <c r="C612">
        <v>609546436215</v>
      </c>
      <c r="D612">
        <v>409733195074</v>
      </c>
      <c r="E612">
        <v>396203658628</v>
      </c>
      <c r="F612">
        <v>328891447595</v>
      </c>
      <c r="G612">
        <v>352207551793</v>
      </c>
      <c r="H612">
        <v>305430634307</v>
      </c>
      <c r="I612">
        <v>361692402703</v>
      </c>
      <c r="J612">
        <v>373851252050</v>
      </c>
      <c r="K612">
        <v>374308239624</v>
      </c>
      <c r="L612">
        <v>543636294183</v>
      </c>
      <c r="M612">
        <v>367780732504</v>
      </c>
      <c r="N612">
        <v>259141359851</v>
      </c>
      <c r="O612">
        <v>272217731369</v>
      </c>
      <c r="P612">
        <v>312713523233</v>
      </c>
      <c r="Q612">
        <v>400003370918</v>
      </c>
      <c r="R612">
        <v>402790825899</v>
      </c>
    </row>
    <row r="613" spans="1:18" x14ac:dyDescent="0.35">
      <c r="A613" t="s">
        <v>1941</v>
      </c>
      <c r="B613" t="s">
        <v>22</v>
      </c>
      <c r="C613">
        <v>-28510199767</v>
      </c>
      <c r="D613">
        <v>-25660199767</v>
      </c>
      <c r="E613">
        <v>-105826792768</v>
      </c>
      <c r="F613">
        <v>-105826792768</v>
      </c>
      <c r="G613">
        <v>-107524665045</v>
      </c>
      <c r="H613">
        <v>-110142470641</v>
      </c>
      <c r="I613">
        <v>-109830535794</v>
      </c>
      <c r="J613">
        <v>-110984155794</v>
      </c>
      <c r="K613">
        <v>-112363553864</v>
      </c>
      <c r="L613">
        <v>-117698596257</v>
      </c>
      <c r="M613">
        <v>-121163664524</v>
      </c>
      <c r="N613">
        <v>-121603922988</v>
      </c>
      <c r="O613">
        <v>-121603922988</v>
      </c>
      <c r="P613">
        <v>-178684826563</v>
      </c>
      <c r="Q613">
        <v>-153895582880</v>
      </c>
      <c r="R613">
        <v>-156333089601</v>
      </c>
    </row>
    <row r="614" spans="1:18" x14ac:dyDescent="0.35">
      <c r="A614" t="s">
        <v>1941</v>
      </c>
      <c r="B614" t="s">
        <v>23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8" x14ac:dyDescent="0.35">
      <c r="A615" t="s">
        <v>1941</v>
      </c>
      <c r="B615" t="s">
        <v>24</v>
      </c>
      <c r="C615">
        <v>934862333348</v>
      </c>
      <c r="D615">
        <v>727334514953</v>
      </c>
      <c r="E615">
        <v>604119768820</v>
      </c>
      <c r="F615">
        <v>590457528376</v>
      </c>
      <c r="G615">
        <v>747190613722</v>
      </c>
      <c r="H615">
        <v>844442956069</v>
      </c>
      <c r="I615">
        <v>1001252947268</v>
      </c>
      <c r="J615">
        <v>1083487290828</v>
      </c>
      <c r="K615">
        <v>1177450870592</v>
      </c>
      <c r="L615">
        <v>1153912077678</v>
      </c>
      <c r="M615">
        <v>1182204789906</v>
      </c>
      <c r="N615">
        <v>1059255852186</v>
      </c>
      <c r="O615">
        <v>1222617580105</v>
      </c>
      <c r="P615">
        <v>1303372912030</v>
      </c>
      <c r="Q615">
        <v>1720683722647</v>
      </c>
      <c r="R615">
        <v>1847886469117</v>
      </c>
    </row>
    <row r="616" spans="1:18" x14ac:dyDescent="0.35">
      <c r="A616" t="s">
        <v>1941</v>
      </c>
      <c r="B616" t="s">
        <v>25</v>
      </c>
      <c r="C616">
        <v>934862333348</v>
      </c>
      <c r="D616">
        <v>727334514953</v>
      </c>
      <c r="E616">
        <v>604119768820</v>
      </c>
      <c r="F616">
        <v>590457528376</v>
      </c>
      <c r="G616">
        <v>747190613722</v>
      </c>
      <c r="H616">
        <v>844442956069</v>
      </c>
      <c r="I616">
        <v>1001252947268</v>
      </c>
      <c r="J616">
        <v>1083487290828</v>
      </c>
      <c r="K616">
        <v>1177450870592</v>
      </c>
      <c r="L616">
        <v>1153912077678</v>
      </c>
      <c r="M616">
        <v>1182204789906</v>
      </c>
      <c r="N616">
        <v>1059255852186</v>
      </c>
      <c r="O616">
        <v>1222617580105</v>
      </c>
      <c r="P616">
        <v>1303372912030</v>
      </c>
      <c r="Q616">
        <v>1744902141100</v>
      </c>
      <c r="R616">
        <v>1880305472681</v>
      </c>
    </row>
    <row r="617" spans="1:18" x14ac:dyDescent="0.35">
      <c r="A617" t="s">
        <v>1941</v>
      </c>
      <c r="B617" t="s">
        <v>26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Q617">
        <v>-24218418453</v>
      </c>
      <c r="R617">
        <v>-32419003564</v>
      </c>
    </row>
    <row r="618" spans="1:18" x14ac:dyDescent="0.35">
      <c r="A618" t="s">
        <v>1941</v>
      </c>
      <c r="B618" t="s">
        <v>27</v>
      </c>
      <c r="C618">
        <v>43755487935</v>
      </c>
      <c r="D618">
        <v>52281823578</v>
      </c>
      <c r="E618">
        <v>58602839037</v>
      </c>
      <c r="F618">
        <v>73096909930</v>
      </c>
      <c r="G618">
        <v>69868791233</v>
      </c>
      <c r="H618">
        <v>82099980867</v>
      </c>
      <c r="I618">
        <v>117050497599</v>
      </c>
      <c r="J618">
        <v>124988762366</v>
      </c>
      <c r="K618">
        <v>144018132025</v>
      </c>
      <c r="L618">
        <v>141849884301</v>
      </c>
      <c r="M618">
        <v>142812388383</v>
      </c>
      <c r="N618">
        <v>155039339642</v>
      </c>
      <c r="O618">
        <v>162832080340</v>
      </c>
      <c r="P618">
        <v>64010090336</v>
      </c>
      <c r="Q618">
        <v>59770361517</v>
      </c>
      <c r="R618">
        <v>60138965949</v>
      </c>
    </row>
    <row r="619" spans="1:18" x14ac:dyDescent="0.35">
      <c r="A619" t="s">
        <v>1941</v>
      </c>
      <c r="B619" t="s">
        <v>28</v>
      </c>
      <c r="C619">
        <v>2241597269</v>
      </c>
      <c r="D619">
        <v>1337340755</v>
      </c>
      <c r="E619">
        <v>1950927159</v>
      </c>
      <c r="F619">
        <v>992932195</v>
      </c>
      <c r="G619">
        <v>984678233</v>
      </c>
      <c r="H619">
        <v>508107407</v>
      </c>
      <c r="I619">
        <v>434816041</v>
      </c>
      <c r="J619">
        <v>1276382018</v>
      </c>
      <c r="K619">
        <v>1712914182</v>
      </c>
      <c r="L619">
        <v>127208712</v>
      </c>
      <c r="M619">
        <v>185346768</v>
      </c>
      <c r="N619">
        <v>96850356</v>
      </c>
      <c r="O619">
        <v>90952143</v>
      </c>
      <c r="P619">
        <v>1695494239</v>
      </c>
      <c r="Q619">
        <v>1671539171</v>
      </c>
      <c r="R619">
        <v>1659526046</v>
      </c>
    </row>
    <row r="620" spans="1:18" x14ac:dyDescent="0.35">
      <c r="A620" t="s">
        <v>1941</v>
      </c>
      <c r="B620" t="s">
        <v>29</v>
      </c>
      <c r="C620">
        <v>38676378057</v>
      </c>
      <c r="D620">
        <v>48117315786</v>
      </c>
      <c r="E620">
        <v>54612302546</v>
      </c>
      <c r="F620">
        <v>69311243817</v>
      </c>
      <c r="G620">
        <v>64954240087</v>
      </c>
      <c r="H620">
        <v>78649643281</v>
      </c>
      <c r="I620">
        <v>113044481156</v>
      </c>
      <c r="J620">
        <v>120159255359</v>
      </c>
      <c r="K620">
        <v>138409939307</v>
      </c>
      <c r="L620">
        <v>138153417052</v>
      </c>
      <c r="M620">
        <v>139238044524</v>
      </c>
      <c r="N620">
        <v>151835286051</v>
      </c>
      <c r="O620">
        <v>159733924962</v>
      </c>
      <c r="P620">
        <v>59454709514</v>
      </c>
      <c r="Q620">
        <v>55215449196</v>
      </c>
      <c r="R620">
        <v>55599066753</v>
      </c>
    </row>
    <row r="621" spans="1:18" x14ac:dyDescent="0.35">
      <c r="A621" t="s">
        <v>1941</v>
      </c>
      <c r="B621" t="s">
        <v>30</v>
      </c>
      <c r="C621">
        <v>2837512609</v>
      </c>
      <c r="D621">
        <v>2827167037</v>
      </c>
      <c r="E621">
        <v>2039609332</v>
      </c>
      <c r="F621">
        <v>2792733918</v>
      </c>
      <c r="G621">
        <v>3929872913</v>
      </c>
      <c r="H621">
        <v>2942230179</v>
      </c>
      <c r="I621">
        <v>3571200402</v>
      </c>
      <c r="J621">
        <v>3553124989</v>
      </c>
      <c r="K621">
        <v>3895278536</v>
      </c>
      <c r="L621">
        <v>3569258537</v>
      </c>
      <c r="M621">
        <v>3388997091</v>
      </c>
      <c r="N621">
        <v>3107203235</v>
      </c>
      <c r="O621">
        <v>3007203235</v>
      </c>
      <c r="P621">
        <v>2859886583</v>
      </c>
      <c r="Q621">
        <v>2883373150</v>
      </c>
      <c r="R621">
        <v>2880373150</v>
      </c>
    </row>
    <row r="622" spans="1:18" x14ac:dyDescent="0.35">
      <c r="A622" t="s">
        <v>1941</v>
      </c>
      <c r="B622" t="s">
        <v>31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8" x14ac:dyDescent="0.35">
      <c r="A623" t="s">
        <v>1941</v>
      </c>
      <c r="B623" t="s">
        <v>32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8" x14ac:dyDescent="0.35">
      <c r="A624" t="s">
        <v>1941</v>
      </c>
      <c r="B624" t="s">
        <v>33</v>
      </c>
      <c r="C624">
        <v>1822564328466</v>
      </c>
      <c r="D624">
        <v>2128118310226</v>
      </c>
      <c r="E624">
        <v>2184684894980</v>
      </c>
      <c r="F624">
        <v>2144383053825</v>
      </c>
      <c r="G624">
        <v>2150493565492</v>
      </c>
      <c r="H624">
        <v>2137674829936</v>
      </c>
      <c r="I624">
        <v>2100917585187</v>
      </c>
      <c r="J624">
        <v>1561530388466</v>
      </c>
      <c r="K624">
        <v>1471947910022</v>
      </c>
      <c r="L624">
        <v>1153598960250</v>
      </c>
      <c r="M624">
        <v>1157438332206</v>
      </c>
      <c r="N624">
        <v>1120554511766</v>
      </c>
      <c r="O624">
        <v>1158382329289</v>
      </c>
      <c r="P624">
        <v>1201828070727</v>
      </c>
      <c r="Q624">
        <v>1341838169756</v>
      </c>
      <c r="R624">
        <v>1409399413915</v>
      </c>
    </row>
    <row r="625" spans="1:18" x14ac:dyDescent="0.35">
      <c r="A625" t="s">
        <v>1941</v>
      </c>
      <c r="B625" t="s">
        <v>34</v>
      </c>
      <c r="C625">
        <v>6367569001</v>
      </c>
      <c r="D625">
        <v>6367569000</v>
      </c>
      <c r="E625">
        <v>6367569000</v>
      </c>
      <c r="F625">
        <v>6412569000</v>
      </c>
      <c r="G625">
        <v>27566391711</v>
      </c>
      <c r="H625">
        <v>36144880554</v>
      </c>
      <c r="I625">
        <v>36144880554</v>
      </c>
      <c r="J625">
        <v>40026757554</v>
      </c>
      <c r="K625">
        <v>36521310948</v>
      </c>
      <c r="L625">
        <v>38474454948</v>
      </c>
      <c r="M625">
        <v>36574664948</v>
      </c>
      <c r="N625">
        <v>42666947560</v>
      </c>
      <c r="O625">
        <v>49750015917</v>
      </c>
      <c r="P625">
        <v>52998570086</v>
      </c>
      <c r="Q625">
        <v>59355955198</v>
      </c>
      <c r="R625">
        <v>68438889198</v>
      </c>
    </row>
    <row r="626" spans="1:18" x14ac:dyDescent="0.35">
      <c r="A626" t="s">
        <v>1941</v>
      </c>
      <c r="B626" t="s">
        <v>35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8" x14ac:dyDescent="0.35">
      <c r="A627" t="s">
        <v>1941</v>
      </c>
      <c r="B627" t="s">
        <v>36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8" x14ac:dyDescent="0.35">
      <c r="A628" t="s">
        <v>1941</v>
      </c>
      <c r="B628" t="s">
        <v>37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8" x14ac:dyDescent="0.35">
      <c r="A629" t="s">
        <v>1941</v>
      </c>
      <c r="B629" t="s">
        <v>38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8" x14ac:dyDescent="0.35">
      <c r="A630" t="s">
        <v>1941</v>
      </c>
      <c r="B630" t="s">
        <v>39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8" x14ac:dyDescent="0.35">
      <c r="A631" t="s">
        <v>1941</v>
      </c>
      <c r="B631" t="s">
        <v>40</v>
      </c>
      <c r="C631">
        <v>6367569001</v>
      </c>
      <c r="D631">
        <v>6367569000</v>
      </c>
      <c r="E631">
        <v>6367569000</v>
      </c>
      <c r="F631">
        <v>6412569000</v>
      </c>
      <c r="G631">
        <v>27566391711</v>
      </c>
      <c r="H631">
        <v>36144880554</v>
      </c>
      <c r="I631">
        <v>36144880554</v>
      </c>
      <c r="J631">
        <v>40026757554</v>
      </c>
      <c r="K631">
        <v>36521310948</v>
      </c>
      <c r="L631">
        <v>38474454948</v>
      </c>
      <c r="M631">
        <v>36574664948</v>
      </c>
      <c r="N631">
        <v>42666947560</v>
      </c>
      <c r="O631">
        <v>49750015917</v>
      </c>
      <c r="P631">
        <v>52998570086</v>
      </c>
      <c r="Q631">
        <v>59355955198</v>
      </c>
      <c r="R631">
        <v>68438889198</v>
      </c>
    </row>
    <row r="632" spans="1:18" x14ac:dyDescent="0.35">
      <c r="A632" t="s">
        <v>1941</v>
      </c>
      <c r="B632" t="s">
        <v>41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8" x14ac:dyDescent="0.35">
      <c r="A633" t="s">
        <v>1941</v>
      </c>
      <c r="B633" t="s">
        <v>42</v>
      </c>
      <c r="C633">
        <v>1012527562423</v>
      </c>
      <c r="D633">
        <v>1282996371700</v>
      </c>
      <c r="E633">
        <v>1311789467628</v>
      </c>
      <c r="F633">
        <v>1273297239985</v>
      </c>
      <c r="G633">
        <v>1264734981088</v>
      </c>
      <c r="H633">
        <v>1247878982995</v>
      </c>
      <c r="I633">
        <v>1213178550610</v>
      </c>
      <c r="J633">
        <v>576933977353</v>
      </c>
      <c r="K633">
        <v>551922924887</v>
      </c>
      <c r="L633">
        <v>270583913275</v>
      </c>
      <c r="M633">
        <v>252270269165</v>
      </c>
      <c r="N633">
        <v>345907951235</v>
      </c>
      <c r="O633">
        <v>370865216478</v>
      </c>
      <c r="P633">
        <v>387393580722</v>
      </c>
      <c r="Q633">
        <v>445158680713</v>
      </c>
      <c r="R633">
        <v>477288703079</v>
      </c>
    </row>
    <row r="634" spans="1:18" x14ac:dyDescent="0.35">
      <c r="A634" t="s">
        <v>1941</v>
      </c>
      <c r="B634" t="s">
        <v>43</v>
      </c>
      <c r="C634">
        <v>981045022577</v>
      </c>
      <c r="D634">
        <v>1254529098974</v>
      </c>
      <c r="E634">
        <v>1238567877888</v>
      </c>
      <c r="F634">
        <v>1201039656242</v>
      </c>
      <c r="G634">
        <v>1173473735909</v>
      </c>
      <c r="H634">
        <v>1146859917914</v>
      </c>
      <c r="I634">
        <v>1120365196848</v>
      </c>
      <c r="J634">
        <v>463295813747</v>
      </c>
      <c r="K634">
        <v>447724656728</v>
      </c>
      <c r="L634">
        <v>165439125041</v>
      </c>
      <c r="M634">
        <v>151547187874</v>
      </c>
      <c r="N634">
        <v>138132861065</v>
      </c>
      <c r="O634">
        <v>128217942244</v>
      </c>
      <c r="P634">
        <v>130598375532</v>
      </c>
      <c r="Q634">
        <v>121710919172</v>
      </c>
      <c r="R634">
        <v>112298659956</v>
      </c>
    </row>
    <row r="635" spans="1:18" x14ac:dyDescent="0.35">
      <c r="A635" t="s">
        <v>1941</v>
      </c>
      <c r="B635" t="s">
        <v>44</v>
      </c>
      <c r="C635">
        <v>1187851273128</v>
      </c>
      <c r="D635">
        <v>1507527351576</v>
      </c>
      <c r="E635">
        <v>1508367366667</v>
      </c>
      <c r="F635">
        <v>1507403034685</v>
      </c>
      <c r="G635">
        <v>1506933752867</v>
      </c>
      <c r="H635">
        <v>1513806076169</v>
      </c>
      <c r="I635">
        <v>1514269705231</v>
      </c>
      <c r="J635">
        <v>807158598100</v>
      </c>
      <c r="K635">
        <v>822337461316</v>
      </c>
      <c r="L635">
        <v>507830357010</v>
      </c>
      <c r="M635">
        <v>515270164483</v>
      </c>
      <c r="N635">
        <v>515779714483</v>
      </c>
      <c r="O635">
        <v>524532263085</v>
      </c>
      <c r="P635">
        <v>550976832692</v>
      </c>
      <c r="Q635">
        <v>555616758619</v>
      </c>
      <c r="R635">
        <v>559456555757</v>
      </c>
    </row>
    <row r="636" spans="1:18" x14ac:dyDescent="0.35">
      <c r="A636" t="s">
        <v>1941</v>
      </c>
      <c r="B636" t="s">
        <v>45</v>
      </c>
      <c r="C636">
        <v>-206806250551</v>
      </c>
      <c r="D636">
        <v>-252998252602</v>
      </c>
      <c r="E636">
        <v>-269799488779</v>
      </c>
      <c r="F636">
        <v>-306363378443</v>
      </c>
      <c r="G636">
        <v>-333460016958</v>
      </c>
      <c r="H636">
        <v>-366946158255</v>
      </c>
      <c r="I636">
        <v>-393904508383</v>
      </c>
      <c r="J636">
        <v>-343862784353</v>
      </c>
      <c r="K636">
        <v>-374612804588</v>
      </c>
      <c r="L636">
        <v>-342391231969</v>
      </c>
      <c r="M636">
        <v>-363722976609</v>
      </c>
      <c r="N636">
        <v>-377646853418</v>
      </c>
      <c r="O636">
        <v>-396314320841</v>
      </c>
      <c r="P636">
        <v>-420378457160</v>
      </c>
      <c r="Q636">
        <v>-433905839447</v>
      </c>
      <c r="R636">
        <v>-447157895801</v>
      </c>
    </row>
    <row r="637" spans="1:18" x14ac:dyDescent="0.35">
      <c r="A637" t="s">
        <v>1941</v>
      </c>
      <c r="B637" t="s">
        <v>46</v>
      </c>
      <c r="C637">
        <v>30747560397</v>
      </c>
      <c r="D637">
        <v>28073001829</v>
      </c>
      <c r="E637">
        <v>72913287439</v>
      </c>
      <c r="F637">
        <v>71986004305</v>
      </c>
      <c r="G637">
        <v>91026792152</v>
      </c>
      <c r="H637">
        <v>100821738465</v>
      </c>
      <c r="I637">
        <v>92652346461</v>
      </c>
      <c r="J637">
        <v>113513879168</v>
      </c>
      <c r="K637">
        <v>104111110132</v>
      </c>
      <c r="L637">
        <v>105094756618</v>
      </c>
      <c r="M637">
        <v>100706178114</v>
      </c>
      <c r="N637">
        <v>207775090170</v>
      </c>
      <c r="O637">
        <v>242647274234</v>
      </c>
      <c r="P637">
        <v>256795205190</v>
      </c>
      <c r="Q637">
        <v>323447761541</v>
      </c>
      <c r="R637">
        <v>364990043123</v>
      </c>
    </row>
    <row r="638" spans="1:18" x14ac:dyDescent="0.35">
      <c r="A638" t="s">
        <v>1941</v>
      </c>
      <c r="B638" t="s">
        <v>44</v>
      </c>
      <c r="C638">
        <v>51959740014</v>
      </c>
      <c r="D638">
        <v>51959740014</v>
      </c>
      <c r="E638">
        <v>99599740014</v>
      </c>
      <c r="F638">
        <v>104359740014</v>
      </c>
      <c r="G638">
        <v>130375740014</v>
      </c>
      <c r="H638">
        <v>141925065640</v>
      </c>
      <c r="I638">
        <v>141925065640</v>
      </c>
      <c r="J638">
        <v>171218274152</v>
      </c>
      <c r="K638">
        <v>158306939973</v>
      </c>
      <c r="L638">
        <v>168766939973</v>
      </c>
      <c r="M638">
        <v>165991539973</v>
      </c>
      <c r="N638">
        <v>284831510352</v>
      </c>
      <c r="O638">
        <v>329108089038</v>
      </c>
      <c r="P638">
        <v>347089146333</v>
      </c>
      <c r="Q638">
        <v>430084846533</v>
      </c>
      <c r="R638">
        <v>489865085081</v>
      </c>
    </row>
    <row r="639" spans="1:18" x14ac:dyDescent="0.35">
      <c r="A639" t="s">
        <v>1941</v>
      </c>
      <c r="B639" t="s">
        <v>45</v>
      </c>
      <c r="C639">
        <v>-21212179617</v>
      </c>
      <c r="D639">
        <v>-23886738185</v>
      </c>
      <c r="E639">
        <v>-26686452575</v>
      </c>
      <c r="F639">
        <v>-32373735709</v>
      </c>
      <c r="G639">
        <v>-39348947862</v>
      </c>
      <c r="H639">
        <v>-41103327175</v>
      </c>
      <c r="I639">
        <v>-49272719179</v>
      </c>
      <c r="J639">
        <v>-57704394984</v>
      </c>
      <c r="K639">
        <v>-54195829841</v>
      </c>
      <c r="L639">
        <v>-63672183355</v>
      </c>
      <c r="M639">
        <v>-65285361859</v>
      </c>
      <c r="N639">
        <v>-77056420182</v>
      </c>
      <c r="O639">
        <v>-86460814804</v>
      </c>
      <c r="P639">
        <v>-90293941143</v>
      </c>
      <c r="Q639">
        <v>-106637084992</v>
      </c>
      <c r="R639">
        <v>-124875041958</v>
      </c>
    </row>
    <row r="640" spans="1:18" x14ac:dyDescent="0.35">
      <c r="A640" t="s">
        <v>1941</v>
      </c>
      <c r="B640" t="s">
        <v>47</v>
      </c>
      <c r="C640">
        <v>734979449</v>
      </c>
      <c r="D640">
        <v>394270897</v>
      </c>
      <c r="E640">
        <v>308302301</v>
      </c>
      <c r="F640">
        <v>271579438</v>
      </c>
      <c r="G640">
        <v>234453027</v>
      </c>
      <c r="H640">
        <v>197326616</v>
      </c>
      <c r="I640">
        <v>161007301</v>
      </c>
      <c r="J640">
        <v>124284438</v>
      </c>
      <c r="K640">
        <v>87158027</v>
      </c>
      <c r="L640">
        <v>50031616</v>
      </c>
      <c r="M640">
        <v>16903177</v>
      </c>
      <c r="N640">
        <v>0</v>
      </c>
    </row>
    <row r="641" spans="1:18" x14ac:dyDescent="0.35">
      <c r="A641" t="s">
        <v>1941</v>
      </c>
      <c r="B641" t="s">
        <v>44</v>
      </c>
      <c r="C641">
        <v>10254240000</v>
      </c>
      <c r="D641">
        <v>10254240000</v>
      </c>
      <c r="E641">
        <v>10254240000</v>
      </c>
      <c r="F641">
        <v>10254240000</v>
      </c>
      <c r="G641">
        <v>10254240000</v>
      </c>
      <c r="H641">
        <v>10254240000</v>
      </c>
      <c r="I641">
        <v>10254240000</v>
      </c>
      <c r="J641">
        <v>10254240000</v>
      </c>
      <c r="K641">
        <v>10254240000</v>
      </c>
      <c r="L641">
        <v>10254240000</v>
      </c>
      <c r="M641">
        <v>10254240000</v>
      </c>
      <c r="N641">
        <v>10254240000</v>
      </c>
      <c r="O641">
        <v>10254240000</v>
      </c>
      <c r="P641">
        <v>10254240000</v>
      </c>
      <c r="Q641">
        <v>10254240000</v>
      </c>
      <c r="R641">
        <v>10254240000</v>
      </c>
    </row>
    <row r="642" spans="1:18" x14ac:dyDescent="0.35">
      <c r="A642" t="s">
        <v>1941</v>
      </c>
      <c r="B642" t="s">
        <v>45</v>
      </c>
      <c r="C642">
        <v>-9519260551</v>
      </c>
      <c r="D642">
        <v>-9859969103</v>
      </c>
      <c r="E642">
        <v>-9945937699</v>
      </c>
      <c r="F642">
        <v>-9982660562</v>
      </c>
      <c r="G642">
        <v>-10019786973</v>
      </c>
      <c r="H642">
        <v>-10056913384</v>
      </c>
      <c r="I642">
        <v>-10093232699</v>
      </c>
      <c r="J642">
        <v>-10129955562</v>
      </c>
      <c r="K642">
        <v>-10167081973</v>
      </c>
      <c r="L642">
        <v>-10204208384</v>
      </c>
      <c r="M642">
        <v>-10237336823</v>
      </c>
      <c r="N642">
        <v>-10254240000</v>
      </c>
      <c r="O642">
        <v>-10254240000</v>
      </c>
      <c r="P642">
        <v>-10254240000</v>
      </c>
      <c r="Q642">
        <v>-10254240000</v>
      </c>
      <c r="R642">
        <v>-10254240000</v>
      </c>
    </row>
    <row r="643" spans="1:18" x14ac:dyDescent="0.35">
      <c r="A643" t="s">
        <v>1941</v>
      </c>
      <c r="B643" t="s">
        <v>48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8" x14ac:dyDescent="0.35">
      <c r="A644" t="s">
        <v>1941</v>
      </c>
      <c r="B644" t="s">
        <v>44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8" x14ac:dyDescent="0.35">
      <c r="A645" t="s">
        <v>1941</v>
      </c>
      <c r="B645" t="s">
        <v>45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8" x14ac:dyDescent="0.35">
      <c r="A646" t="s">
        <v>1941</v>
      </c>
      <c r="B646" t="s">
        <v>49</v>
      </c>
      <c r="C646">
        <v>73891750740</v>
      </c>
      <c r="D646">
        <v>77424207031</v>
      </c>
      <c r="E646">
        <v>83323199101</v>
      </c>
      <c r="F646">
        <v>77038273291</v>
      </c>
      <c r="G646">
        <v>77084020555</v>
      </c>
      <c r="H646">
        <v>74416366894</v>
      </c>
      <c r="I646">
        <v>74438283230</v>
      </c>
      <c r="J646">
        <v>77279557925</v>
      </c>
      <c r="K646">
        <v>77327390074</v>
      </c>
      <c r="L646">
        <v>77341480074</v>
      </c>
      <c r="M646">
        <v>76501448399</v>
      </c>
      <c r="N646">
        <v>76420054880</v>
      </c>
      <c r="O646">
        <v>76420054880</v>
      </c>
      <c r="P646">
        <v>76421371547</v>
      </c>
      <c r="Q646">
        <v>76424591547</v>
      </c>
      <c r="R646">
        <v>76427747911</v>
      </c>
    </row>
    <row r="647" spans="1:18" x14ac:dyDescent="0.35">
      <c r="A647" t="s">
        <v>1941</v>
      </c>
      <c r="B647" t="s">
        <v>50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8" x14ac:dyDescent="0.35">
      <c r="A648" t="s">
        <v>1941</v>
      </c>
      <c r="B648" t="s">
        <v>51</v>
      </c>
      <c r="C648">
        <v>73891750740</v>
      </c>
      <c r="D648">
        <v>77424207031</v>
      </c>
      <c r="E648">
        <v>83323199101</v>
      </c>
      <c r="F648">
        <v>77038273291</v>
      </c>
      <c r="G648">
        <v>77084020555</v>
      </c>
      <c r="H648">
        <v>74416366894</v>
      </c>
      <c r="I648">
        <v>74438283230</v>
      </c>
      <c r="J648">
        <v>77279557925</v>
      </c>
      <c r="K648">
        <v>77327390074</v>
      </c>
      <c r="L648">
        <v>77341480074</v>
      </c>
      <c r="M648">
        <v>76501448399</v>
      </c>
      <c r="N648">
        <v>76420054880</v>
      </c>
      <c r="O648">
        <v>76420054880</v>
      </c>
      <c r="P648">
        <v>76421371547</v>
      </c>
      <c r="Q648">
        <v>76424591547</v>
      </c>
      <c r="R648">
        <v>76427747911</v>
      </c>
    </row>
    <row r="649" spans="1:18" x14ac:dyDescent="0.35">
      <c r="A649" t="s">
        <v>1941</v>
      </c>
      <c r="B649" t="s">
        <v>52</v>
      </c>
      <c r="C649">
        <v>709529283033</v>
      </c>
      <c r="D649">
        <v>703541584636</v>
      </c>
      <c r="E649">
        <v>702563557251</v>
      </c>
      <c r="F649">
        <v>709737018085</v>
      </c>
      <c r="G649">
        <v>702751218261</v>
      </c>
      <c r="H649">
        <v>702751218261</v>
      </c>
      <c r="I649">
        <v>702755946682</v>
      </c>
      <c r="J649">
        <v>797872479157</v>
      </c>
      <c r="K649">
        <v>738055926682</v>
      </c>
      <c r="L649">
        <v>734360794682</v>
      </c>
      <c r="M649">
        <v>759655946682</v>
      </c>
      <c r="N649">
        <v>608505290000</v>
      </c>
      <c r="O649">
        <v>611888790000</v>
      </c>
      <c r="P649">
        <v>615272290000</v>
      </c>
      <c r="Q649">
        <v>700226383042</v>
      </c>
      <c r="R649">
        <v>726775246013</v>
      </c>
    </row>
    <row r="650" spans="1:18" x14ac:dyDescent="0.35">
      <c r="A650" t="s">
        <v>1941</v>
      </c>
      <c r="B650" t="s">
        <v>53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8" x14ac:dyDescent="0.35">
      <c r="A651" t="s">
        <v>1941</v>
      </c>
      <c r="B651" t="s">
        <v>54</v>
      </c>
      <c r="C651">
        <v>215487153033</v>
      </c>
      <c r="D651">
        <v>216082794636</v>
      </c>
      <c r="E651">
        <v>215104767251</v>
      </c>
      <c r="F651">
        <v>215578078085</v>
      </c>
      <c r="G651">
        <v>215292428261</v>
      </c>
      <c r="H651">
        <v>215292428261</v>
      </c>
      <c r="I651">
        <v>215297156682</v>
      </c>
      <c r="J651">
        <v>310413689157</v>
      </c>
      <c r="K651">
        <v>250597156682</v>
      </c>
      <c r="L651">
        <v>250597156682</v>
      </c>
      <c r="M651">
        <v>250597156682</v>
      </c>
      <c r="N651">
        <v>96810000000</v>
      </c>
      <c r="O651">
        <v>96810000000</v>
      </c>
      <c r="P651">
        <v>96810000000</v>
      </c>
      <c r="Q651">
        <v>96321963939</v>
      </c>
      <c r="R651">
        <v>96321963939</v>
      </c>
    </row>
    <row r="652" spans="1:18" x14ac:dyDescent="0.35">
      <c r="A652" t="s">
        <v>1941</v>
      </c>
      <c r="B652" t="s">
        <v>55</v>
      </c>
      <c r="C652">
        <v>492142130000</v>
      </c>
      <c r="D652">
        <v>485558790000</v>
      </c>
      <c r="E652">
        <v>485558790000</v>
      </c>
      <c r="F652">
        <v>485558790000</v>
      </c>
      <c r="G652">
        <v>485558790000</v>
      </c>
      <c r="H652">
        <v>485558790000</v>
      </c>
      <c r="I652">
        <v>485558790000</v>
      </c>
      <c r="J652">
        <v>485558790000</v>
      </c>
      <c r="K652">
        <v>485558770000</v>
      </c>
      <c r="L652">
        <v>481863638000</v>
      </c>
      <c r="M652">
        <v>485558790000</v>
      </c>
      <c r="N652">
        <v>482175290000</v>
      </c>
      <c r="O652">
        <v>485558790000</v>
      </c>
      <c r="P652">
        <v>488942290000</v>
      </c>
      <c r="Q652">
        <v>608151927029</v>
      </c>
      <c r="R652">
        <v>634700790000</v>
      </c>
    </row>
    <row r="653" spans="1:18" x14ac:dyDescent="0.35">
      <c r="A653" t="s">
        <v>1941</v>
      </c>
      <c r="B653" t="s">
        <v>56</v>
      </c>
      <c r="C653">
        <v>0</v>
      </c>
      <c r="D653">
        <v>0</v>
      </c>
      <c r="E653">
        <v>0</v>
      </c>
      <c r="F653">
        <v>6700150000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Q653">
        <v>-6147507926</v>
      </c>
      <c r="R653">
        <v>-6147507926</v>
      </c>
    </row>
    <row r="654" spans="1:18" x14ac:dyDescent="0.35">
      <c r="A654" t="s">
        <v>1941</v>
      </c>
      <c r="B654" t="s">
        <v>57</v>
      </c>
      <c r="C654">
        <v>1900000000</v>
      </c>
      <c r="D654">
        <v>1900000000</v>
      </c>
      <c r="E654">
        <v>1900000000</v>
      </c>
      <c r="F654">
        <v>1900000000</v>
      </c>
      <c r="G654">
        <v>1900000000</v>
      </c>
      <c r="H654">
        <v>1900000000</v>
      </c>
      <c r="I654">
        <v>1900000000</v>
      </c>
      <c r="J654">
        <v>1900000000</v>
      </c>
      <c r="K654">
        <v>1900000000</v>
      </c>
      <c r="L654">
        <v>1900000000</v>
      </c>
      <c r="M654">
        <v>23500000000</v>
      </c>
      <c r="N654">
        <v>29520000000</v>
      </c>
      <c r="O654">
        <v>29520000000</v>
      </c>
      <c r="P654">
        <v>29520000000</v>
      </c>
      <c r="Q654">
        <v>1900000000</v>
      </c>
      <c r="R654">
        <v>1900000000</v>
      </c>
    </row>
    <row r="655" spans="1:18" x14ac:dyDescent="0.35">
      <c r="A655" t="s">
        <v>1941</v>
      </c>
      <c r="B655" t="s">
        <v>58</v>
      </c>
      <c r="C655">
        <v>20248163269</v>
      </c>
      <c r="D655">
        <v>57788577859</v>
      </c>
      <c r="E655">
        <v>80641102000</v>
      </c>
      <c r="F655">
        <v>77897953464</v>
      </c>
      <c r="G655">
        <v>78356953877</v>
      </c>
      <c r="H655">
        <v>76483381232</v>
      </c>
      <c r="I655">
        <v>74399924111</v>
      </c>
      <c r="J655">
        <v>69417616477</v>
      </c>
      <c r="K655">
        <v>68120357431</v>
      </c>
      <c r="L655">
        <v>32838317271</v>
      </c>
      <c r="M655">
        <v>32436003012</v>
      </c>
      <c r="N655">
        <v>47054268091</v>
      </c>
      <c r="O655">
        <v>49458252014</v>
      </c>
      <c r="P655">
        <v>69742258372</v>
      </c>
      <c r="Q655">
        <v>60672559256</v>
      </c>
      <c r="R655">
        <v>60468827714</v>
      </c>
    </row>
    <row r="656" spans="1:18" x14ac:dyDescent="0.35">
      <c r="A656" t="s">
        <v>1941</v>
      </c>
      <c r="B656" t="s">
        <v>59</v>
      </c>
      <c r="C656">
        <v>438454692</v>
      </c>
      <c r="D656">
        <v>389703564</v>
      </c>
      <c r="E656">
        <v>362563697</v>
      </c>
      <c r="F656">
        <v>470454866</v>
      </c>
      <c r="G656">
        <v>442556460</v>
      </c>
      <c r="H656">
        <v>382070250</v>
      </c>
      <c r="I656">
        <v>351680517</v>
      </c>
      <c r="J656">
        <v>324340343</v>
      </c>
      <c r="K656">
        <v>295690672</v>
      </c>
      <c r="L656">
        <v>258176215</v>
      </c>
      <c r="M656">
        <v>212013516</v>
      </c>
      <c r="N656">
        <v>15110988018</v>
      </c>
      <c r="O656">
        <v>16774616574</v>
      </c>
      <c r="P656">
        <v>30434290522</v>
      </c>
      <c r="Q656">
        <v>22254285593</v>
      </c>
      <c r="R656">
        <v>22421365768</v>
      </c>
    </row>
    <row r="657" spans="1:18" x14ac:dyDescent="0.35">
      <c r="A657" t="s">
        <v>1941</v>
      </c>
      <c r="B657" t="s">
        <v>60</v>
      </c>
      <c r="C657">
        <v>9419909894</v>
      </c>
      <c r="D657">
        <v>6207482055</v>
      </c>
      <c r="E657">
        <v>27506579030</v>
      </c>
      <c r="F657">
        <v>27701335487</v>
      </c>
      <c r="G657">
        <v>29711132386</v>
      </c>
      <c r="H657">
        <v>29420944032</v>
      </c>
      <c r="I657">
        <v>28890774725</v>
      </c>
      <c r="J657">
        <v>25458705346</v>
      </c>
      <c r="K657">
        <v>25712994051</v>
      </c>
      <c r="L657">
        <v>26615475651</v>
      </c>
      <c r="M657">
        <v>26628085198</v>
      </c>
      <c r="N657">
        <v>26716136881</v>
      </c>
      <c r="O657">
        <v>27825253355</v>
      </c>
      <c r="P657">
        <v>35080524108</v>
      </c>
      <c r="Q657">
        <v>34590435408</v>
      </c>
      <c r="R657">
        <v>34572962608</v>
      </c>
    </row>
    <row r="658" spans="1:18" x14ac:dyDescent="0.35">
      <c r="A658" t="s">
        <v>1941</v>
      </c>
      <c r="B658" t="s">
        <v>61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8" x14ac:dyDescent="0.35">
      <c r="A659" t="s">
        <v>1941</v>
      </c>
      <c r="B659" t="s">
        <v>62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8" x14ac:dyDescent="0.35">
      <c r="A660" t="s">
        <v>1941</v>
      </c>
      <c r="B660" t="s">
        <v>63</v>
      </c>
      <c r="C660">
        <v>10389798683</v>
      </c>
      <c r="D660">
        <v>51191392240</v>
      </c>
      <c r="E660">
        <v>52771959273</v>
      </c>
      <c r="F660">
        <v>49726163111</v>
      </c>
      <c r="G660">
        <v>48203265031</v>
      </c>
      <c r="H660">
        <v>46680366950</v>
      </c>
      <c r="I660">
        <v>45157468869</v>
      </c>
      <c r="J660">
        <v>43634570788</v>
      </c>
      <c r="K660">
        <v>42111672708</v>
      </c>
      <c r="L660">
        <v>5964665405</v>
      </c>
      <c r="M660">
        <v>5595904298</v>
      </c>
      <c r="N660">
        <v>5227143192</v>
      </c>
      <c r="O660">
        <v>4858382085</v>
      </c>
      <c r="P660">
        <v>4227443742</v>
      </c>
      <c r="Q660">
        <v>3827838255</v>
      </c>
      <c r="R660">
        <v>3474499338</v>
      </c>
    </row>
    <row r="661" spans="1:18" x14ac:dyDescent="0.35">
      <c r="A661" t="s">
        <v>1941</v>
      </c>
      <c r="B661" t="s">
        <v>64</v>
      </c>
      <c r="C661">
        <v>5874421741498</v>
      </c>
      <c r="D661">
        <v>6048488623270</v>
      </c>
      <c r="E661">
        <v>5815107858318</v>
      </c>
      <c r="F661">
        <v>6366291103463</v>
      </c>
      <c r="G661">
        <v>6107763172472</v>
      </c>
      <c r="H661">
        <v>5828581192688</v>
      </c>
      <c r="I661">
        <v>5910966830149</v>
      </c>
      <c r="J661">
        <v>5307521789347</v>
      </c>
      <c r="K661">
        <v>5175204899585</v>
      </c>
      <c r="L661">
        <v>4947859254446</v>
      </c>
      <c r="M661">
        <v>5289406116303</v>
      </c>
      <c r="N661">
        <v>5153080405013</v>
      </c>
      <c r="O661">
        <v>5190086733637</v>
      </c>
      <c r="P661">
        <v>6054585545117</v>
      </c>
      <c r="Q661">
        <v>5884983902290</v>
      </c>
      <c r="R661">
        <v>6042942731259</v>
      </c>
    </row>
    <row r="662" spans="1:18" x14ac:dyDescent="0.35">
      <c r="A662" t="s">
        <v>1941</v>
      </c>
      <c r="B662" t="s">
        <v>65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8" x14ac:dyDescent="0.35">
      <c r="A663" t="s">
        <v>1941</v>
      </c>
      <c r="B663" t="s">
        <v>66</v>
      </c>
      <c r="C663">
        <v>4133212514766</v>
      </c>
      <c r="D663">
        <v>4121568620181</v>
      </c>
      <c r="E663">
        <v>3911275647655</v>
      </c>
      <c r="F663">
        <v>4500200380533</v>
      </c>
      <c r="G663">
        <v>4214682521223</v>
      </c>
      <c r="H663">
        <v>3437679362657</v>
      </c>
      <c r="I663">
        <v>3365009078799</v>
      </c>
      <c r="J663">
        <v>2785010976230</v>
      </c>
      <c r="K663">
        <v>2622522754738</v>
      </c>
      <c r="L663">
        <v>2367584786389</v>
      </c>
      <c r="M663">
        <v>2699470782636</v>
      </c>
      <c r="N663">
        <v>2685334867549</v>
      </c>
      <c r="O663">
        <v>2694369207577</v>
      </c>
      <c r="P663">
        <v>3499562006053</v>
      </c>
      <c r="Q663">
        <v>3332262412277</v>
      </c>
      <c r="R663">
        <v>3416617078315</v>
      </c>
    </row>
    <row r="664" spans="1:18" x14ac:dyDescent="0.35">
      <c r="A664" t="s">
        <v>1941</v>
      </c>
      <c r="B664" t="s">
        <v>67</v>
      </c>
      <c r="C664">
        <v>3485933476173</v>
      </c>
      <c r="D664">
        <v>3280471828972</v>
      </c>
      <c r="E664">
        <v>3041858202364</v>
      </c>
      <c r="F664">
        <v>3653097344868</v>
      </c>
      <c r="G664">
        <v>3337857609043</v>
      </c>
      <c r="H664">
        <v>2586807252457</v>
      </c>
      <c r="I664">
        <v>2523282106550</v>
      </c>
      <c r="J664">
        <v>2461073731445</v>
      </c>
      <c r="K664">
        <v>2307594495850</v>
      </c>
      <c r="L664">
        <v>2184731076421</v>
      </c>
      <c r="M664">
        <v>2516925443471</v>
      </c>
      <c r="N664">
        <v>2478934727986</v>
      </c>
      <c r="O664">
        <v>2440699391061</v>
      </c>
      <c r="P664">
        <v>3265821680608</v>
      </c>
      <c r="Q664">
        <v>3146297003886</v>
      </c>
      <c r="R664">
        <v>3214505019399</v>
      </c>
    </row>
    <row r="665" spans="1:18" x14ac:dyDescent="0.35">
      <c r="A665" t="s">
        <v>1941</v>
      </c>
      <c r="B665" t="s">
        <v>68</v>
      </c>
      <c r="C665">
        <v>1214148855139</v>
      </c>
      <c r="D665">
        <v>1515163895847</v>
      </c>
      <c r="E665">
        <v>1239613102431</v>
      </c>
      <c r="F665">
        <v>1476172397384</v>
      </c>
      <c r="G665">
        <v>1222195998190</v>
      </c>
      <c r="H665">
        <v>763633161909</v>
      </c>
      <c r="I665">
        <v>595128361097</v>
      </c>
      <c r="J665">
        <v>573147206226</v>
      </c>
      <c r="K665">
        <v>490605654129</v>
      </c>
      <c r="L665">
        <v>548852697933</v>
      </c>
      <c r="M665">
        <v>531618297638</v>
      </c>
      <c r="N665">
        <v>584448806491</v>
      </c>
      <c r="O665">
        <v>570989245784</v>
      </c>
      <c r="P665">
        <v>640672744202</v>
      </c>
      <c r="Q665">
        <v>669800068758</v>
      </c>
      <c r="R665">
        <v>742957083292</v>
      </c>
    </row>
    <row r="666" spans="1:18" x14ac:dyDescent="0.35">
      <c r="A666" t="s">
        <v>1941</v>
      </c>
      <c r="B666" t="s">
        <v>69</v>
      </c>
      <c r="C666">
        <v>865663490120</v>
      </c>
      <c r="D666">
        <v>567871893761</v>
      </c>
      <c r="E666">
        <v>460056919814</v>
      </c>
      <c r="F666">
        <v>632544841629</v>
      </c>
      <c r="G666">
        <v>570671333125</v>
      </c>
      <c r="H666">
        <v>600491052054</v>
      </c>
      <c r="I666">
        <v>471685866905</v>
      </c>
      <c r="J666">
        <v>370211244969</v>
      </c>
      <c r="K666">
        <v>342511252185</v>
      </c>
      <c r="L666">
        <v>316287728622</v>
      </c>
      <c r="M666">
        <v>674437012829</v>
      </c>
      <c r="N666">
        <v>648615249861</v>
      </c>
      <c r="O666">
        <v>621402957677</v>
      </c>
      <c r="P666">
        <v>1343182390802</v>
      </c>
      <c r="Q666">
        <v>1267400951409</v>
      </c>
      <c r="R666">
        <v>1124495668536</v>
      </c>
    </row>
    <row r="667" spans="1:18" x14ac:dyDescent="0.35">
      <c r="A667" t="s">
        <v>1941</v>
      </c>
      <c r="B667" t="s">
        <v>70</v>
      </c>
      <c r="C667">
        <v>74259644260</v>
      </c>
      <c r="D667">
        <v>73064897937</v>
      </c>
      <c r="E667">
        <v>103566167087</v>
      </c>
      <c r="F667">
        <v>139364674067</v>
      </c>
      <c r="G667">
        <v>124520676975</v>
      </c>
      <c r="H667">
        <v>135042715143</v>
      </c>
      <c r="I667">
        <v>175532528955</v>
      </c>
      <c r="J667">
        <v>76585056477</v>
      </c>
      <c r="K667">
        <v>85010868100</v>
      </c>
      <c r="L667">
        <v>99035797687</v>
      </c>
      <c r="M667">
        <v>96476942843</v>
      </c>
      <c r="N667">
        <v>112699690182</v>
      </c>
      <c r="O667">
        <v>97617299492</v>
      </c>
      <c r="P667">
        <v>115752752828</v>
      </c>
      <c r="Q667">
        <v>47991303665</v>
      </c>
      <c r="R667">
        <v>58583776544</v>
      </c>
    </row>
    <row r="668" spans="1:18" x14ac:dyDescent="0.35">
      <c r="A668" t="s">
        <v>1941</v>
      </c>
      <c r="B668" t="s">
        <v>71</v>
      </c>
      <c r="C668">
        <v>5973307932</v>
      </c>
      <c r="D668">
        <v>4896646698</v>
      </c>
      <c r="E668">
        <v>6916016106</v>
      </c>
      <c r="F668">
        <v>9191775176</v>
      </c>
      <c r="G668">
        <v>10446625444</v>
      </c>
      <c r="H668">
        <v>16535590272</v>
      </c>
      <c r="I668">
        <v>11219643188</v>
      </c>
      <c r="J668">
        <v>10533376661</v>
      </c>
      <c r="K668">
        <v>10750999796</v>
      </c>
      <c r="L668">
        <v>11992483855</v>
      </c>
      <c r="M668">
        <v>13202704489</v>
      </c>
      <c r="N668">
        <v>14924696668</v>
      </c>
      <c r="O668">
        <v>16440024241</v>
      </c>
      <c r="P668">
        <v>19699053128</v>
      </c>
      <c r="Q668">
        <v>18366958564</v>
      </c>
      <c r="R668">
        <v>18439392671</v>
      </c>
    </row>
    <row r="669" spans="1:18" x14ac:dyDescent="0.35">
      <c r="A669" t="s">
        <v>1941</v>
      </c>
      <c r="B669" t="s">
        <v>72</v>
      </c>
      <c r="C669">
        <v>500787457518</v>
      </c>
      <c r="D669">
        <v>301029615319</v>
      </c>
      <c r="E669">
        <v>549414623165</v>
      </c>
      <c r="F669">
        <v>798602094397</v>
      </c>
      <c r="G669">
        <v>923332247894</v>
      </c>
      <c r="H669">
        <v>660404601511</v>
      </c>
      <c r="I669">
        <v>713896026551</v>
      </c>
      <c r="J669">
        <v>772010082756</v>
      </c>
      <c r="K669">
        <v>780674083150</v>
      </c>
      <c r="L669">
        <v>660335434720</v>
      </c>
      <c r="M669">
        <v>627164455812</v>
      </c>
      <c r="N669">
        <v>376429856531</v>
      </c>
      <c r="O669">
        <v>412386423137</v>
      </c>
      <c r="P669">
        <v>435952575656</v>
      </c>
      <c r="Q669">
        <v>303552677283</v>
      </c>
      <c r="R669">
        <v>294846236044</v>
      </c>
    </row>
    <row r="670" spans="1:18" x14ac:dyDescent="0.35">
      <c r="A670" t="s">
        <v>1941</v>
      </c>
      <c r="B670" t="s">
        <v>73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8" x14ac:dyDescent="0.35">
      <c r="A671" t="s">
        <v>1941</v>
      </c>
      <c r="B671" t="s">
        <v>74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8" x14ac:dyDescent="0.35">
      <c r="A672" t="s">
        <v>1941</v>
      </c>
      <c r="B672" t="s">
        <v>75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8" x14ac:dyDescent="0.35">
      <c r="A673" t="s">
        <v>1941</v>
      </c>
      <c r="B673" t="s">
        <v>76</v>
      </c>
      <c r="C673">
        <v>142795795066</v>
      </c>
      <c r="D673">
        <v>156497450356</v>
      </c>
      <c r="E673">
        <v>161818099477</v>
      </c>
      <c r="F673">
        <v>161406239184</v>
      </c>
      <c r="G673">
        <v>130060716586</v>
      </c>
      <c r="H673">
        <v>128030086936</v>
      </c>
      <c r="I673">
        <v>125899920340</v>
      </c>
      <c r="J673">
        <v>155386731694</v>
      </c>
      <c r="K673">
        <v>140411161613</v>
      </c>
      <c r="L673">
        <v>137973776702</v>
      </c>
      <c r="M673">
        <v>153350965107</v>
      </c>
      <c r="N673">
        <v>142048547042</v>
      </c>
      <c r="O673">
        <v>142739861738</v>
      </c>
      <c r="P673">
        <v>131923238825</v>
      </c>
      <c r="Q673">
        <v>199247546733</v>
      </c>
      <c r="R673">
        <v>197712234585</v>
      </c>
    </row>
    <row r="674" spans="1:18" x14ac:dyDescent="0.35">
      <c r="A674" t="s">
        <v>1941</v>
      </c>
      <c r="B674" t="s">
        <v>77</v>
      </c>
      <c r="C674">
        <v>640351560633</v>
      </c>
      <c r="D674">
        <v>620364750749</v>
      </c>
      <c r="E674">
        <v>489595626156</v>
      </c>
      <c r="F674">
        <v>374257914116</v>
      </c>
      <c r="G674">
        <v>292074934835</v>
      </c>
      <c r="H674">
        <v>229285338841</v>
      </c>
      <c r="I674">
        <v>376929775716</v>
      </c>
      <c r="J674">
        <v>450480548864</v>
      </c>
      <c r="K674">
        <v>405751012578</v>
      </c>
      <c r="L674">
        <v>358373692603</v>
      </c>
      <c r="M674">
        <v>369219222447</v>
      </c>
      <c r="N674">
        <v>539044877786</v>
      </c>
      <c r="O674">
        <v>518964375567</v>
      </c>
      <c r="P674">
        <v>519757921742</v>
      </c>
      <c r="Q674">
        <v>582133272056</v>
      </c>
      <c r="R674">
        <v>718534851247</v>
      </c>
    </row>
    <row r="675" spans="1:18" x14ac:dyDescent="0.35">
      <c r="A675" t="s">
        <v>1941</v>
      </c>
      <c r="B675" t="s">
        <v>78</v>
      </c>
      <c r="C675">
        <v>19580137082</v>
      </c>
      <c r="D675">
        <v>19551549882</v>
      </c>
      <c r="E675">
        <v>10906819699</v>
      </c>
      <c r="F675">
        <v>10906819699</v>
      </c>
      <c r="G675">
        <v>10906819699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8" x14ac:dyDescent="0.35">
      <c r="A676" t="s">
        <v>1941</v>
      </c>
      <c r="B676" t="s">
        <v>79</v>
      </c>
      <c r="C676">
        <v>22373228423</v>
      </c>
      <c r="D676">
        <v>22031128423</v>
      </c>
      <c r="E676">
        <v>19970828429</v>
      </c>
      <c r="F676">
        <v>50650589216</v>
      </c>
      <c r="G676">
        <v>53648256295</v>
      </c>
      <c r="H676">
        <v>53384705791</v>
      </c>
      <c r="I676">
        <v>52989983798</v>
      </c>
      <c r="J676">
        <v>52719483798</v>
      </c>
      <c r="K676">
        <v>51879464299</v>
      </c>
      <c r="L676">
        <v>51879464299</v>
      </c>
      <c r="M676">
        <v>51455842306</v>
      </c>
      <c r="N676">
        <v>60723003425</v>
      </c>
      <c r="O676">
        <v>60159203425</v>
      </c>
      <c r="P676">
        <v>58881003425</v>
      </c>
      <c r="Q676">
        <v>57804225418</v>
      </c>
      <c r="R676">
        <v>58935776480</v>
      </c>
    </row>
    <row r="677" spans="1:18" x14ac:dyDescent="0.35">
      <c r="A677" t="s">
        <v>1941</v>
      </c>
      <c r="B677" t="s">
        <v>80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8" x14ac:dyDescent="0.35">
      <c r="A678" t="s">
        <v>1941</v>
      </c>
      <c r="B678" t="s">
        <v>81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8" x14ac:dyDescent="0.35">
      <c r="A679" t="s">
        <v>1941</v>
      </c>
      <c r="B679" t="s">
        <v>82</v>
      </c>
      <c r="C679">
        <v>647279038593</v>
      </c>
      <c r="D679">
        <v>841096791209</v>
      </c>
      <c r="E679">
        <v>869417445291</v>
      </c>
      <c r="F679">
        <v>847103035665</v>
      </c>
      <c r="G679">
        <v>876824912180</v>
      </c>
      <c r="H679">
        <v>850872110200</v>
      </c>
      <c r="I679">
        <v>841726972249</v>
      </c>
      <c r="J679">
        <v>323937244785</v>
      </c>
      <c r="K679">
        <v>314928258888</v>
      </c>
      <c r="L679">
        <v>182853709968</v>
      </c>
      <c r="M679">
        <v>182545339165</v>
      </c>
      <c r="N679">
        <v>206400139563</v>
      </c>
      <c r="O679">
        <v>253669816516</v>
      </c>
      <c r="P679">
        <v>233740325445</v>
      </c>
      <c r="Q679">
        <v>185965408391</v>
      </c>
      <c r="R679">
        <v>202112058916</v>
      </c>
    </row>
    <row r="680" spans="1:18" x14ac:dyDescent="0.35">
      <c r="A680" t="s">
        <v>1941</v>
      </c>
      <c r="B680" t="s">
        <v>83</v>
      </c>
      <c r="C680">
        <v>89414653881</v>
      </c>
      <c r="D680">
        <v>89414653881</v>
      </c>
      <c r="E680">
        <v>89414653881</v>
      </c>
      <c r="F680">
        <v>89414653881</v>
      </c>
      <c r="G680">
        <v>89414653881</v>
      </c>
      <c r="H680">
        <v>89414653881</v>
      </c>
      <c r="I680">
        <v>89414653881</v>
      </c>
      <c r="J680">
        <v>63587175345</v>
      </c>
      <c r="K680">
        <v>66513045374</v>
      </c>
      <c r="L680">
        <v>89414653881</v>
      </c>
      <c r="M680">
        <v>89414653881</v>
      </c>
      <c r="N680">
        <v>63620392925</v>
      </c>
      <c r="O680">
        <v>80470307544</v>
      </c>
      <c r="P680">
        <v>80470307544</v>
      </c>
    </row>
    <row r="681" spans="1:18" x14ac:dyDescent="0.35">
      <c r="A681" t="s">
        <v>1941</v>
      </c>
      <c r="B681" t="s">
        <v>84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8" x14ac:dyDescent="0.35">
      <c r="A682" t="s">
        <v>1941</v>
      </c>
      <c r="B682" t="s">
        <v>85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8" x14ac:dyDescent="0.35">
      <c r="A683" t="s">
        <v>1941</v>
      </c>
      <c r="B683" t="s">
        <v>86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8" x14ac:dyDescent="0.35">
      <c r="A684" t="s">
        <v>1941</v>
      </c>
      <c r="B684" t="s">
        <v>87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8" x14ac:dyDescent="0.35">
      <c r="A685" t="s">
        <v>1941</v>
      </c>
      <c r="B685" t="s">
        <v>88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8" x14ac:dyDescent="0.35">
      <c r="A686" t="s">
        <v>1941</v>
      </c>
      <c r="B686" t="s">
        <v>89</v>
      </c>
      <c r="C686">
        <v>18017618553</v>
      </c>
      <c r="D686">
        <v>18261524032</v>
      </c>
      <c r="E686">
        <v>15538840000</v>
      </c>
      <c r="F686">
        <v>18165828037</v>
      </c>
      <c r="G686">
        <v>18315059818</v>
      </c>
      <c r="H686">
        <v>18482171051</v>
      </c>
      <c r="I686">
        <v>18646518996</v>
      </c>
      <c r="J686">
        <v>18971610778</v>
      </c>
      <c r="K686">
        <v>19000692421</v>
      </c>
      <c r="L686">
        <v>19912163341</v>
      </c>
      <c r="M686">
        <v>19560561463</v>
      </c>
      <c r="N686">
        <v>4404063929</v>
      </c>
      <c r="O686">
        <v>4805337902</v>
      </c>
      <c r="P686">
        <v>1123000000</v>
      </c>
      <c r="Q686">
        <v>1123000000</v>
      </c>
      <c r="R686">
        <v>883000000</v>
      </c>
    </row>
    <row r="687" spans="1:18" x14ac:dyDescent="0.35">
      <c r="A687" t="s">
        <v>1941</v>
      </c>
      <c r="B687" t="s">
        <v>90</v>
      </c>
      <c r="C687">
        <v>539347090659</v>
      </c>
      <c r="D687">
        <v>732920937796</v>
      </c>
      <c r="E687">
        <v>763964275910</v>
      </c>
      <c r="F687">
        <v>739022878247</v>
      </c>
      <c r="G687">
        <v>768595522981</v>
      </c>
      <c r="H687">
        <v>742678341768</v>
      </c>
      <c r="I687">
        <v>733368855872</v>
      </c>
      <c r="J687">
        <v>241135838662</v>
      </c>
      <c r="K687">
        <v>229171901093</v>
      </c>
      <c r="L687">
        <v>73284272746</v>
      </c>
      <c r="M687">
        <v>73327503821</v>
      </c>
      <c r="N687">
        <v>138133062709</v>
      </c>
      <c r="O687">
        <v>168151551070</v>
      </c>
      <c r="P687">
        <v>151904397901</v>
      </c>
      <c r="Q687">
        <v>184599788391</v>
      </c>
      <c r="R687">
        <v>201022754416</v>
      </c>
    </row>
    <row r="688" spans="1:18" x14ac:dyDescent="0.35">
      <c r="A688" t="s">
        <v>1941</v>
      </c>
      <c r="B688" t="s">
        <v>91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8" x14ac:dyDescent="0.35">
      <c r="A689" t="s">
        <v>1941</v>
      </c>
      <c r="B689" t="s">
        <v>92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8" x14ac:dyDescent="0.35">
      <c r="A690" t="s">
        <v>1941</v>
      </c>
      <c r="B690" t="s">
        <v>93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8" x14ac:dyDescent="0.35">
      <c r="A691" t="s">
        <v>1941</v>
      </c>
      <c r="B691" t="s">
        <v>94</v>
      </c>
      <c r="C691">
        <v>499675500</v>
      </c>
      <c r="D691">
        <v>499675500</v>
      </c>
      <c r="E691">
        <v>499675500</v>
      </c>
      <c r="F691">
        <v>499675500</v>
      </c>
      <c r="G691">
        <v>499675500</v>
      </c>
      <c r="H691">
        <v>296943500</v>
      </c>
      <c r="I691">
        <v>296943500</v>
      </c>
      <c r="J691">
        <v>242620000</v>
      </c>
      <c r="K691">
        <v>242620000</v>
      </c>
      <c r="L691">
        <v>242620000</v>
      </c>
      <c r="M691">
        <v>242620000</v>
      </c>
      <c r="N691">
        <v>242620000</v>
      </c>
      <c r="O691">
        <v>242620000</v>
      </c>
      <c r="P691">
        <v>242620000</v>
      </c>
      <c r="Q691">
        <v>242620000</v>
      </c>
      <c r="R691">
        <v>206304500</v>
      </c>
    </row>
    <row r="692" spans="1:18" x14ac:dyDescent="0.35">
      <c r="A692" t="s">
        <v>1941</v>
      </c>
      <c r="B692" t="s">
        <v>95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8" x14ac:dyDescent="0.35">
      <c r="A693" t="s">
        <v>1941</v>
      </c>
      <c r="B693" t="s">
        <v>96</v>
      </c>
      <c r="C693">
        <v>1741209226732</v>
      </c>
      <c r="D693">
        <v>1926920003089</v>
      </c>
      <c r="E693">
        <v>1903832210663</v>
      </c>
      <c r="F693">
        <v>1866090722930</v>
      </c>
      <c r="G693">
        <v>1893080651249</v>
      </c>
      <c r="H693">
        <v>2390901830031</v>
      </c>
      <c r="I693">
        <v>2545957751350</v>
      </c>
      <c r="J693">
        <v>2522510813117</v>
      </c>
      <c r="K693">
        <v>2552682144847</v>
      </c>
      <c r="L693">
        <v>2580274468057</v>
      </c>
      <c r="M693">
        <v>2589935333667</v>
      </c>
      <c r="N693">
        <v>2467745537464</v>
      </c>
      <c r="O693">
        <v>2495717526060</v>
      </c>
      <c r="P693">
        <v>2555023539064</v>
      </c>
      <c r="Q693">
        <v>2552721490013</v>
      </c>
      <c r="R693">
        <v>2626325652944</v>
      </c>
    </row>
    <row r="694" spans="1:18" x14ac:dyDescent="0.35">
      <c r="A694" t="s">
        <v>1941</v>
      </c>
      <c r="B694" t="s">
        <v>97</v>
      </c>
      <c r="C694">
        <v>1741209226732</v>
      </c>
      <c r="D694">
        <v>1926920003089</v>
      </c>
      <c r="E694">
        <v>1903832210663</v>
      </c>
      <c r="F694">
        <v>1866090722930</v>
      </c>
      <c r="G694">
        <v>1893080651249</v>
      </c>
      <c r="H694">
        <v>2390901830031</v>
      </c>
      <c r="I694">
        <v>2545957751350</v>
      </c>
      <c r="J694">
        <v>2522510813117</v>
      </c>
      <c r="K694">
        <v>2552682144847</v>
      </c>
      <c r="L694">
        <v>2580274468057</v>
      </c>
      <c r="M694">
        <v>2589935333667</v>
      </c>
      <c r="N694">
        <v>2467745537464</v>
      </c>
      <c r="O694">
        <v>2495717526060</v>
      </c>
      <c r="P694">
        <v>2555023539064</v>
      </c>
      <c r="Q694">
        <v>2552721490013</v>
      </c>
      <c r="R694">
        <v>2626325652944</v>
      </c>
    </row>
    <row r="695" spans="1:18" x14ac:dyDescent="0.35">
      <c r="A695" t="s">
        <v>1941</v>
      </c>
      <c r="B695" t="s">
        <v>98</v>
      </c>
      <c r="C695">
        <v>1049017000000</v>
      </c>
      <c r="D695">
        <v>1172485100000</v>
      </c>
      <c r="E695">
        <v>1172485100000</v>
      </c>
      <c r="F695">
        <v>1172485100000</v>
      </c>
      <c r="G695">
        <v>1172485100000</v>
      </c>
      <c r="H695">
        <v>1744048240000</v>
      </c>
      <c r="I695">
        <v>1744048240000</v>
      </c>
      <c r="J695">
        <v>1744048240000</v>
      </c>
      <c r="K695">
        <v>1916411700000</v>
      </c>
      <c r="L695">
        <v>1916411700000</v>
      </c>
      <c r="M695">
        <v>1916411700000</v>
      </c>
      <c r="N695">
        <v>1916411700000</v>
      </c>
      <c r="O695">
        <v>1916411700000</v>
      </c>
      <c r="P695">
        <v>1916411700000</v>
      </c>
      <c r="Q695">
        <v>1916411700000</v>
      </c>
      <c r="R695">
        <v>1950911700000</v>
      </c>
    </row>
    <row r="696" spans="1:18" x14ac:dyDescent="0.35">
      <c r="A696" t="s">
        <v>1941</v>
      </c>
      <c r="B696" t="s">
        <v>99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1744048240000</v>
      </c>
      <c r="J696">
        <v>0</v>
      </c>
      <c r="K696">
        <v>0</v>
      </c>
      <c r="L696">
        <v>0</v>
      </c>
      <c r="M696">
        <v>0</v>
      </c>
      <c r="N696">
        <v>1916411700000</v>
      </c>
      <c r="O696">
        <v>1916411700000</v>
      </c>
      <c r="P696">
        <v>1916411700000</v>
      </c>
      <c r="Q696">
        <v>1916411700000</v>
      </c>
      <c r="R696">
        <v>1950911700000</v>
      </c>
    </row>
    <row r="697" spans="1:18" x14ac:dyDescent="0.35">
      <c r="A697" t="s">
        <v>1941</v>
      </c>
      <c r="B697" t="s">
        <v>100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8" x14ac:dyDescent="0.35">
      <c r="A698" t="s">
        <v>1941</v>
      </c>
      <c r="B698" t="s">
        <v>101</v>
      </c>
      <c r="C698">
        <v>93686603495</v>
      </c>
      <c r="D698">
        <v>93686603494</v>
      </c>
      <c r="E698">
        <v>93686603494</v>
      </c>
      <c r="F698">
        <v>93686603494</v>
      </c>
      <c r="G698">
        <v>93686603494</v>
      </c>
      <c r="H698">
        <v>93686603494</v>
      </c>
      <c r="I698">
        <v>93686603494</v>
      </c>
      <c r="J698">
        <v>93686603494</v>
      </c>
      <c r="K698">
        <v>93686603494</v>
      </c>
      <c r="L698">
        <v>93686603494</v>
      </c>
      <c r="M698">
        <v>93686603494</v>
      </c>
      <c r="N698">
        <v>93686603494</v>
      </c>
      <c r="O698">
        <v>93686603494</v>
      </c>
      <c r="P698">
        <v>93686603494</v>
      </c>
      <c r="Q698">
        <v>93686603494</v>
      </c>
      <c r="R698">
        <v>93475603494</v>
      </c>
    </row>
    <row r="699" spans="1:18" x14ac:dyDescent="0.35">
      <c r="A699" t="s">
        <v>1941</v>
      </c>
      <c r="B699" t="s">
        <v>102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8" x14ac:dyDescent="0.35">
      <c r="A700" t="s">
        <v>1941</v>
      </c>
      <c r="B700" t="s">
        <v>103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8" x14ac:dyDescent="0.35">
      <c r="A701" t="s">
        <v>1941</v>
      </c>
      <c r="B701" t="s">
        <v>104</v>
      </c>
      <c r="C701">
        <v>-18771380000</v>
      </c>
      <c r="D701">
        <v>-18771380000</v>
      </c>
      <c r="E701">
        <v>-18771380000</v>
      </c>
      <c r="F701">
        <v>-18771380000</v>
      </c>
      <c r="G701">
        <v>-18771380000</v>
      </c>
      <c r="H701">
        <v>-18771380000</v>
      </c>
      <c r="I701">
        <v>-18771380000</v>
      </c>
      <c r="J701">
        <v>-18771380000</v>
      </c>
      <c r="K701">
        <v>-18771380000</v>
      </c>
      <c r="L701">
        <v>-18771380000</v>
      </c>
      <c r="M701">
        <v>-18771380000</v>
      </c>
      <c r="N701">
        <v>-18771380000</v>
      </c>
      <c r="O701">
        <v>-18771380000</v>
      </c>
      <c r="P701">
        <v>-18771380000</v>
      </c>
      <c r="Q701">
        <v>-18771380000</v>
      </c>
      <c r="R701">
        <v>-18771380000</v>
      </c>
    </row>
    <row r="702" spans="1:18" x14ac:dyDescent="0.35">
      <c r="A702" t="s">
        <v>1941</v>
      </c>
      <c r="B702" t="s">
        <v>105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8" x14ac:dyDescent="0.35">
      <c r="A703" t="s">
        <v>1941</v>
      </c>
      <c r="B703" t="s">
        <v>106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8" x14ac:dyDescent="0.35">
      <c r="A704" t="s">
        <v>1941</v>
      </c>
      <c r="B704" t="s">
        <v>107</v>
      </c>
      <c r="C704">
        <v>119204302363</v>
      </c>
      <c r="D704">
        <v>119204302363</v>
      </c>
      <c r="E704">
        <v>119204302363</v>
      </c>
      <c r="F704">
        <v>119204302363</v>
      </c>
      <c r="G704">
        <v>119204302363</v>
      </c>
      <c r="H704">
        <v>119204302363</v>
      </c>
      <c r="I704">
        <v>119204302363</v>
      </c>
      <c r="J704">
        <v>119204302363</v>
      </c>
      <c r="K704">
        <v>119204302363</v>
      </c>
      <c r="L704">
        <v>119204302363</v>
      </c>
      <c r="M704">
        <v>119204302363</v>
      </c>
      <c r="N704">
        <v>119204302363</v>
      </c>
      <c r="O704">
        <v>119204302363</v>
      </c>
      <c r="P704">
        <v>119204302363</v>
      </c>
      <c r="Q704">
        <v>119204302363</v>
      </c>
      <c r="R704">
        <v>119204302363</v>
      </c>
    </row>
    <row r="705" spans="1:18" x14ac:dyDescent="0.35">
      <c r="A705" t="s">
        <v>1941</v>
      </c>
      <c r="B705" t="s">
        <v>108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8" x14ac:dyDescent="0.35">
      <c r="A706" t="s">
        <v>1941</v>
      </c>
      <c r="B706" t="s">
        <v>109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8" x14ac:dyDescent="0.35">
      <c r="A707" t="s">
        <v>1941</v>
      </c>
      <c r="B707" t="s">
        <v>110</v>
      </c>
      <c r="C707">
        <v>411328772886</v>
      </c>
      <c r="D707">
        <v>416916989685</v>
      </c>
      <c r="E707">
        <v>473488703433</v>
      </c>
      <c r="F707">
        <v>434377946678</v>
      </c>
      <c r="G707">
        <v>462204234133</v>
      </c>
      <c r="H707">
        <v>392992843964</v>
      </c>
      <c r="I707">
        <v>442003682026</v>
      </c>
      <c r="J707">
        <v>520864736474</v>
      </c>
      <c r="K707">
        <v>380539292062</v>
      </c>
      <c r="L707">
        <v>411342253737</v>
      </c>
      <c r="M707">
        <v>437526925968</v>
      </c>
      <c r="N707">
        <v>315336146970</v>
      </c>
      <c r="O707">
        <v>340081272394</v>
      </c>
      <c r="P707">
        <v>404867170739</v>
      </c>
      <c r="Q707">
        <v>402346033514</v>
      </c>
      <c r="R707">
        <v>441628732789</v>
      </c>
    </row>
    <row r="708" spans="1:18" x14ac:dyDescent="0.35">
      <c r="A708" t="s">
        <v>1941</v>
      </c>
      <c r="B708" t="s">
        <v>111</v>
      </c>
      <c r="C708">
        <v>182726442509</v>
      </c>
      <c r="D708">
        <v>311782759308</v>
      </c>
      <c r="E708">
        <v>57177765185</v>
      </c>
      <c r="F708">
        <v>130171150121</v>
      </c>
      <c r="G708">
        <v>161109204655</v>
      </c>
      <c r="H708">
        <v>184083184486</v>
      </c>
      <c r="I708">
        <v>51500124401</v>
      </c>
      <c r="J708">
        <v>130361178849</v>
      </c>
      <c r="K708">
        <v>162399194437</v>
      </c>
      <c r="L708">
        <v>218140097624</v>
      </c>
      <c r="M708">
        <v>426809791886</v>
      </c>
      <c r="N708">
        <v>284459473367</v>
      </c>
      <c r="O708">
        <v>284459473366</v>
      </c>
      <c r="P708">
        <v>284459473366</v>
      </c>
      <c r="Q708">
        <v>387832217838</v>
      </c>
      <c r="R708">
        <v>382651486776</v>
      </c>
    </row>
    <row r="709" spans="1:18" x14ac:dyDescent="0.35">
      <c r="A709" t="s">
        <v>1941</v>
      </c>
      <c r="B709" t="s">
        <v>112</v>
      </c>
      <c r="C709">
        <v>228602330377</v>
      </c>
      <c r="D709">
        <v>105134230377</v>
      </c>
      <c r="E709">
        <v>416310938248</v>
      </c>
      <c r="F709">
        <v>304206796557</v>
      </c>
      <c r="G709">
        <v>301095029478</v>
      </c>
      <c r="H709">
        <v>208909659478</v>
      </c>
      <c r="I709">
        <v>390503557625</v>
      </c>
      <c r="J709">
        <v>390503557625</v>
      </c>
      <c r="K709">
        <v>218140097625</v>
      </c>
      <c r="L709">
        <v>193202156113</v>
      </c>
      <c r="M709">
        <v>10717134082</v>
      </c>
      <c r="N709">
        <v>30876673603</v>
      </c>
      <c r="O709">
        <v>55621799028</v>
      </c>
      <c r="P709">
        <v>120407697373</v>
      </c>
      <c r="Q709">
        <v>14513815676</v>
      </c>
      <c r="R709">
        <v>58977246013</v>
      </c>
    </row>
    <row r="710" spans="1:18" x14ac:dyDescent="0.35">
      <c r="A710" t="s">
        <v>1941</v>
      </c>
      <c r="B710" t="s">
        <v>113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8" x14ac:dyDescent="0.35">
      <c r="A711" t="s">
        <v>1941</v>
      </c>
      <c r="B711" t="s">
        <v>114</v>
      </c>
      <c r="C711">
        <v>86743927988</v>
      </c>
      <c r="D711">
        <v>143398387547</v>
      </c>
      <c r="E711">
        <v>63738881373</v>
      </c>
      <c r="F711">
        <v>65108150395</v>
      </c>
      <c r="G711">
        <v>64271791259</v>
      </c>
      <c r="H711">
        <v>59741220210</v>
      </c>
      <c r="I711">
        <v>165786303467</v>
      </c>
      <c r="J711">
        <v>63478310786</v>
      </c>
      <c r="K711">
        <v>61611626928</v>
      </c>
      <c r="L711">
        <v>58400988463</v>
      </c>
      <c r="M711">
        <v>41877181842</v>
      </c>
      <c r="N711">
        <v>41878164637</v>
      </c>
      <c r="O711">
        <v>45105027809</v>
      </c>
      <c r="P711">
        <v>39625142468</v>
      </c>
      <c r="Q711">
        <v>39844230642</v>
      </c>
      <c r="R711">
        <v>39876694298</v>
      </c>
    </row>
    <row r="712" spans="1:18" x14ac:dyDescent="0.35">
      <c r="A712" t="s">
        <v>1941</v>
      </c>
      <c r="B712" t="s">
        <v>115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8" x14ac:dyDescent="0.35">
      <c r="A713" t="s">
        <v>1941</v>
      </c>
      <c r="B713" t="s">
        <v>116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8" x14ac:dyDescent="0.35">
      <c r="A714" t="s">
        <v>1941</v>
      </c>
      <c r="B714" t="s">
        <v>117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8" x14ac:dyDescent="0.35">
      <c r="A715" t="s">
        <v>1941</v>
      </c>
      <c r="B715" t="s">
        <v>118</v>
      </c>
      <c r="C715">
        <v>5874421741498</v>
      </c>
      <c r="D715">
        <v>6048488623270</v>
      </c>
      <c r="E715">
        <v>5815107858318</v>
      </c>
      <c r="F715">
        <v>6366291103463</v>
      </c>
      <c r="G715">
        <v>6107763172472</v>
      </c>
      <c r="H715">
        <v>5828581192688</v>
      </c>
      <c r="I715">
        <v>5910966830149</v>
      </c>
      <c r="J715">
        <v>5307521789347</v>
      </c>
      <c r="K715">
        <v>5175204899585</v>
      </c>
      <c r="L715">
        <v>4947859254446</v>
      </c>
      <c r="M715">
        <v>5289406116303</v>
      </c>
      <c r="N715">
        <v>5153080405013</v>
      </c>
      <c r="O715">
        <v>5190086733637</v>
      </c>
      <c r="P715">
        <v>6054585545117</v>
      </c>
      <c r="Q715">
        <v>5884983902290</v>
      </c>
      <c r="R715">
        <v>6042942731259</v>
      </c>
    </row>
    <row r="716" spans="1:18" x14ac:dyDescent="0.35">
      <c r="A716" t="s">
        <v>1942</v>
      </c>
      <c r="B716" t="s">
        <v>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8" x14ac:dyDescent="0.35">
      <c r="A717" t="s">
        <v>1942</v>
      </c>
      <c r="B717" t="s">
        <v>7</v>
      </c>
      <c r="C717">
        <v>5394073970978</v>
      </c>
      <c r="D717">
        <v>5766431717644</v>
      </c>
      <c r="E717">
        <v>5657825679968</v>
      </c>
      <c r="F717">
        <v>6265322363173</v>
      </c>
      <c r="G717">
        <v>6838345460694</v>
      </c>
      <c r="H717">
        <v>6605455318547</v>
      </c>
      <c r="I717">
        <v>6426933603484</v>
      </c>
      <c r="J717">
        <v>6644748950308</v>
      </c>
      <c r="K717">
        <v>8228503068288</v>
      </c>
      <c r="L717">
        <v>7916934681480</v>
      </c>
      <c r="M717">
        <v>6900915265225</v>
      </c>
      <c r="N717">
        <v>5969806517310</v>
      </c>
      <c r="O717">
        <v>6237185671004</v>
      </c>
      <c r="P717">
        <v>6845022483422</v>
      </c>
      <c r="Q717">
        <v>7156771114381</v>
      </c>
      <c r="R717">
        <v>8314469117526</v>
      </c>
    </row>
    <row r="718" spans="1:18" x14ac:dyDescent="0.35">
      <c r="A718" t="s">
        <v>1942</v>
      </c>
      <c r="B718" t="s">
        <v>8</v>
      </c>
      <c r="C718">
        <v>1028099151518</v>
      </c>
      <c r="D718">
        <v>1475767070027</v>
      </c>
      <c r="E718">
        <v>1331632504751</v>
      </c>
      <c r="F718">
        <v>937599774413</v>
      </c>
      <c r="G718">
        <v>1782832964955</v>
      </c>
      <c r="H718">
        <v>2291969173159</v>
      </c>
      <c r="I718">
        <v>2237410420646</v>
      </c>
      <c r="J718">
        <v>2615317116457</v>
      </c>
      <c r="K718">
        <v>3349116893795</v>
      </c>
      <c r="L718">
        <v>2937188907228</v>
      </c>
      <c r="M718">
        <v>1669779886362</v>
      </c>
      <c r="N718">
        <v>949358509779</v>
      </c>
      <c r="O718">
        <v>1020979457766</v>
      </c>
      <c r="P718">
        <v>2111874597274</v>
      </c>
      <c r="Q718">
        <v>1563353490025</v>
      </c>
      <c r="R718">
        <v>2180689467494</v>
      </c>
    </row>
    <row r="719" spans="1:18" x14ac:dyDescent="0.35">
      <c r="A719" t="s">
        <v>1942</v>
      </c>
      <c r="B719" t="s">
        <v>9</v>
      </c>
      <c r="C719">
        <v>326232499002</v>
      </c>
      <c r="D719">
        <v>262767070027</v>
      </c>
      <c r="E719">
        <v>196012504751</v>
      </c>
      <c r="F719">
        <v>148699774413</v>
      </c>
      <c r="G719">
        <v>414332964955</v>
      </c>
      <c r="H719">
        <v>794969173159</v>
      </c>
      <c r="I719">
        <v>670920420646</v>
      </c>
      <c r="J719">
        <v>846107116457</v>
      </c>
      <c r="K719">
        <v>709516893795</v>
      </c>
      <c r="L719">
        <v>833033288050</v>
      </c>
      <c r="M719">
        <v>467744886362</v>
      </c>
      <c r="N719">
        <v>401823509779</v>
      </c>
      <c r="O719">
        <v>430727589177</v>
      </c>
      <c r="P719">
        <v>472109742832</v>
      </c>
      <c r="Q719">
        <v>631318490025</v>
      </c>
      <c r="R719">
        <v>651094467494</v>
      </c>
    </row>
    <row r="720" spans="1:18" x14ac:dyDescent="0.35">
      <c r="A720" t="s">
        <v>1942</v>
      </c>
      <c r="B720" t="s">
        <v>10</v>
      </c>
      <c r="C720">
        <v>701866652516</v>
      </c>
      <c r="D720">
        <v>1213000000000</v>
      </c>
      <c r="E720">
        <v>1135620000000</v>
      </c>
      <c r="F720">
        <v>788900000000</v>
      </c>
      <c r="G720">
        <v>1368500000000</v>
      </c>
      <c r="H720">
        <v>1497000000000</v>
      </c>
      <c r="I720">
        <v>1566490000000</v>
      </c>
      <c r="J720">
        <v>1769210000000</v>
      </c>
      <c r="K720">
        <v>2639600000000</v>
      </c>
      <c r="L720">
        <v>2104155619178</v>
      </c>
      <c r="M720">
        <v>1202035000000</v>
      </c>
      <c r="N720">
        <v>547535000000</v>
      </c>
      <c r="O720">
        <v>590251868589</v>
      </c>
      <c r="P720">
        <v>1639764854442</v>
      </c>
      <c r="Q720">
        <v>932035000000</v>
      </c>
      <c r="R720">
        <v>1529595000000</v>
      </c>
    </row>
    <row r="721" spans="1:18" x14ac:dyDescent="0.35">
      <c r="A721" t="s">
        <v>1942</v>
      </c>
      <c r="B721" t="s">
        <v>11</v>
      </c>
      <c r="C721">
        <v>99782484051</v>
      </c>
      <c r="D721">
        <v>62891072771</v>
      </c>
      <c r="E721">
        <v>66542102771</v>
      </c>
      <c r="F721">
        <v>61155607771</v>
      </c>
      <c r="G721">
        <v>83240509185</v>
      </c>
      <c r="H721">
        <v>144291658746</v>
      </c>
      <c r="I721">
        <v>139930906799</v>
      </c>
      <c r="J721">
        <v>152773887163</v>
      </c>
      <c r="K721">
        <v>176951607567</v>
      </c>
      <c r="L721">
        <v>655264910051</v>
      </c>
      <c r="M721">
        <v>1077654180446</v>
      </c>
      <c r="N721">
        <v>1086077094723</v>
      </c>
      <c r="O721">
        <v>1159183238741</v>
      </c>
      <c r="P721">
        <v>769176749710</v>
      </c>
      <c r="Q721">
        <v>1159827549834</v>
      </c>
      <c r="R721">
        <v>1149585820958</v>
      </c>
    </row>
    <row r="722" spans="1:18" x14ac:dyDescent="0.35">
      <c r="A722" t="s">
        <v>1942</v>
      </c>
      <c r="B722" t="s">
        <v>12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8" x14ac:dyDescent="0.35">
      <c r="A723" t="s">
        <v>1942</v>
      </c>
      <c r="B723" t="s">
        <v>13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8" x14ac:dyDescent="0.35">
      <c r="A724" t="s">
        <v>1942</v>
      </c>
      <c r="B724" t="s">
        <v>14</v>
      </c>
      <c r="C724">
        <v>99782484051</v>
      </c>
      <c r="D724">
        <v>62891072771</v>
      </c>
      <c r="E724">
        <v>66542102771</v>
      </c>
      <c r="F724">
        <v>61155607771</v>
      </c>
      <c r="G724">
        <v>83240509185</v>
      </c>
      <c r="H724">
        <v>144291658746</v>
      </c>
      <c r="I724">
        <v>139930906799</v>
      </c>
      <c r="J724">
        <v>152773887163</v>
      </c>
      <c r="K724">
        <v>176951607567</v>
      </c>
      <c r="L724">
        <v>655264910051</v>
      </c>
      <c r="M724">
        <v>1077654180446</v>
      </c>
      <c r="N724">
        <v>1086077094723</v>
      </c>
      <c r="O724">
        <v>1159183238741</v>
      </c>
      <c r="P724">
        <v>769176749710</v>
      </c>
      <c r="Q724">
        <v>1159827549834</v>
      </c>
      <c r="R724">
        <v>1149585820958</v>
      </c>
    </row>
    <row r="725" spans="1:18" x14ac:dyDescent="0.35">
      <c r="A725" t="s">
        <v>1942</v>
      </c>
      <c r="B725" t="s">
        <v>15</v>
      </c>
      <c r="C725">
        <v>3170006777102</v>
      </c>
      <c r="D725">
        <v>3420893012028</v>
      </c>
      <c r="E725">
        <v>3033796489643</v>
      </c>
      <c r="F725">
        <v>3601308209457</v>
      </c>
      <c r="G725">
        <v>3640096424953</v>
      </c>
      <c r="H725">
        <v>3139741954219</v>
      </c>
      <c r="I725">
        <v>3169896635316</v>
      </c>
      <c r="J725">
        <v>2778908471986</v>
      </c>
      <c r="K725">
        <v>3541849746055</v>
      </c>
      <c r="L725">
        <v>3172289572301</v>
      </c>
      <c r="M725">
        <v>2990464913736</v>
      </c>
      <c r="N725">
        <v>2675906942671</v>
      </c>
      <c r="O725">
        <v>2945081160045</v>
      </c>
      <c r="P725">
        <v>2802528522776</v>
      </c>
      <c r="Q725">
        <v>3052433068077</v>
      </c>
      <c r="R725">
        <v>3357449233991</v>
      </c>
    </row>
    <row r="726" spans="1:18" x14ac:dyDescent="0.35">
      <c r="A726" t="s">
        <v>1942</v>
      </c>
      <c r="B726" t="s">
        <v>16</v>
      </c>
      <c r="C726">
        <v>1617734886272</v>
      </c>
      <c r="D726">
        <v>1634964030338</v>
      </c>
      <c r="E726">
        <v>1434714963390</v>
      </c>
      <c r="F726">
        <v>2263991665170</v>
      </c>
      <c r="G726">
        <v>2666649801379</v>
      </c>
      <c r="H726">
        <v>2288629212748</v>
      </c>
      <c r="I726">
        <v>2110004788657</v>
      </c>
      <c r="J726">
        <v>1454127236464</v>
      </c>
      <c r="K726">
        <v>2402733071616</v>
      </c>
      <c r="L726">
        <v>2261808930681</v>
      </c>
      <c r="M726">
        <v>1912916699575</v>
      </c>
      <c r="N726">
        <v>1607444732483</v>
      </c>
      <c r="O726">
        <v>1911882117653</v>
      </c>
      <c r="P726">
        <v>1928827362111</v>
      </c>
      <c r="Q726">
        <v>2019232785155</v>
      </c>
      <c r="R726">
        <v>2127982160878</v>
      </c>
    </row>
    <row r="727" spans="1:18" x14ac:dyDescent="0.35">
      <c r="A727" t="s">
        <v>1942</v>
      </c>
      <c r="B727" t="s">
        <v>17</v>
      </c>
      <c r="C727">
        <v>1110012702819</v>
      </c>
      <c r="D727">
        <v>1259107086290</v>
      </c>
      <c r="E727">
        <v>820425362039</v>
      </c>
      <c r="F727">
        <v>538156166306</v>
      </c>
      <c r="G727">
        <v>323704101242</v>
      </c>
      <c r="H727">
        <v>371169141499</v>
      </c>
      <c r="I727">
        <v>610115278343</v>
      </c>
      <c r="J727">
        <v>795345633045</v>
      </c>
      <c r="K727">
        <v>385908814535</v>
      </c>
      <c r="L727">
        <v>223852149455</v>
      </c>
      <c r="M727">
        <v>299771989296</v>
      </c>
      <c r="N727">
        <v>312877784754</v>
      </c>
      <c r="O727">
        <v>292994519653</v>
      </c>
      <c r="P727">
        <v>217729310846</v>
      </c>
      <c r="Q727">
        <v>285832541521</v>
      </c>
      <c r="R727">
        <v>295954712324</v>
      </c>
    </row>
    <row r="728" spans="1:18" x14ac:dyDescent="0.35">
      <c r="A728" t="s">
        <v>1942</v>
      </c>
      <c r="B728" t="s">
        <v>18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8" x14ac:dyDescent="0.35">
      <c r="A729" t="s">
        <v>1942</v>
      </c>
      <c r="B729" t="s">
        <v>19</v>
      </c>
      <c r="C729">
        <v>0</v>
      </c>
      <c r="D729">
        <v>35869686608</v>
      </c>
      <c r="E729">
        <v>101418625109</v>
      </c>
      <c r="F729">
        <v>139348244644</v>
      </c>
      <c r="G729">
        <v>23299675691</v>
      </c>
      <c r="H729">
        <v>15502374676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R729">
        <v>26901294927</v>
      </c>
    </row>
    <row r="730" spans="1:18" x14ac:dyDescent="0.35">
      <c r="A730" t="s">
        <v>1942</v>
      </c>
      <c r="B730" t="s">
        <v>20</v>
      </c>
      <c r="C730">
        <v>1350000000</v>
      </c>
      <c r="D730">
        <v>0</v>
      </c>
      <c r="E730">
        <v>3500000000</v>
      </c>
      <c r="F730">
        <v>2100000000</v>
      </c>
      <c r="G730">
        <v>3386249280</v>
      </c>
      <c r="H730">
        <v>2886249280</v>
      </c>
      <c r="I730">
        <v>6886249280</v>
      </c>
      <c r="J730">
        <v>64399905076</v>
      </c>
      <c r="K730">
        <v>194386249280</v>
      </c>
      <c r="L730">
        <v>219725632842</v>
      </c>
      <c r="M730">
        <v>295079539716</v>
      </c>
      <c r="N730">
        <v>295121177280</v>
      </c>
      <c r="O730">
        <v>296224410051</v>
      </c>
      <c r="P730">
        <v>288724410051</v>
      </c>
      <c r="Q730">
        <v>278724410051</v>
      </c>
      <c r="R730">
        <v>413724410051</v>
      </c>
    </row>
    <row r="731" spans="1:18" x14ac:dyDescent="0.35">
      <c r="A731" t="s">
        <v>1942</v>
      </c>
      <c r="B731" t="s">
        <v>21</v>
      </c>
      <c r="C731">
        <v>444404144884</v>
      </c>
      <c r="D731">
        <v>494447165665</v>
      </c>
      <c r="E731">
        <v>680673060339</v>
      </c>
      <c r="F731">
        <v>661319596999</v>
      </c>
      <c r="G731">
        <v>626794140696</v>
      </c>
      <c r="H731">
        <v>469418722932</v>
      </c>
      <c r="I731">
        <v>450812272416</v>
      </c>
      <c r="J731">
        <v>474838189334</v>
      </c>
      <c r="K731">
        <v>569047452617</v>
      </c>
      <c r="L731">
        <v>474101340377</v>
      </c>
      <c r="M731">
        <v>489362257456</v>
      </c>
      <c r="N731">
        <v>467135007885</v>
      </c>
      <c r="O731">
        <v>453612509703</v>
      </c>
      <c r="P731">
        <v>379643177351</v>
      </c>
      <c r="Q731">
        <v>481014189336</v>
      </c>
      <c r="R731">
        <v>505344933783</v>
      </c>
    </row>
    <row r="732" spans="1:18" x14ac:dyDescent="0.35">
      <c r="A732" t="s">
        <v>1942</v>
      </c>
      <c r="B732" t="s">
        <v>22</v>
      </c>
      <c r="C732">
        <v>-3494956873</v>
      </c>
      <c r="D732">
        <v>-3494956873</v>
      </c>
      <c r="E732">
        <v>-6935521234</v>
      </c>
      <c r="F732">
        <v>-3607463662</v>
      </c>
      <c r="G732">
        <v>-3737543335</v>
      </c>
      <c r="H732">
        <v>-7863746916</v>
      </c>
      <c r="I732">
        <v>-7921953380</v>
      </c>
      <c r="J732">
        <v>-9802491933</v>
      </c>
      <c r="K732">
        <v>-10225841993</v>
      </c>
      <c r="L732">
        <v>-7198481054</v>
      </c>
      <c r="M732">
        <v>-6665572307</v>
      </c>
      <c r="N732">
        <v>-6671759731</v>
      </c>
      <c r="O732">
        <v>-9632397015</v>
      </c>
      <c r="P732">
        <v>-12395737583</v>
      </c>
      <c r="Q732">
        <v>-12370857986</v>
      </c>
      <c r="R732">
        <v>-12458277972</v>
      </c>
    </row>
    <row r="733" spans="1:18" x14ac:dyDescent="0.35">
      <c r="A733" t="s">
        <v>1942</v>
      </c>
      <c r="B733" t="s">
        <v>23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8" x14ac:dyDescent="0.35">
      <c r="A734" t="s">
        <v>1942</v>
      </c>
      <c r="B734" t="s">
        <v>24</v>
      </c>
      <c r="C734">
        <v>1069889656244</v>
      </c>
      <c r="D734">
        <v>749710917349</v>
      </c>
      <c r="E734">
        <v>976872843586</v>
      </c>
      <c r="F734">
        <v>1261034500675</v>
      </c>
      <c r="G734">
        <v>1073664640489</v>
      </c>
      <c r="H734">
        <v>901608339178</v>
      </c>
      <c r="I734">
        <v>765664417121</v>
      </c>
      <c r="J734">
        <v>950771074340</v>
      </c>
      <c r="K734">
        <v>998869094689</v>
      </c>
      <c r="L734">
        <v>890495289770</v>
      </c>
      <c r="M734">
        <v>920837925136</v>
      </c>
      <c r="N734">
        <v>1010398390576</v>
      </c>
      <c r="O734">
        <v>871861777255</v>
      </c>
      <c r="P734">
        <v>921076797582</v>
      </c>
      <c r="Q734">
        <v>1113062360593</v>
      </c>
      <c r="R734">
        <v>1540210174963</v>
      </c>
    </row>
    <row r="735" spans="1:18" x14ac:dyDescent="0.35">
      <c r="A735" t="s">
        <v>1942</v>
      </c>
      <c r="B735" t="s">
        <v>25</v>
      </c>
      <c r="C735">
        <v>1071800495263</v>
      </c>
      <c r="D735">
        <v>751196790756</v>
      </c>
      <c r="E735">
        <v>978358716993</v>
      </c>
      <c r="F735">
        <v>1262520374082</v>
      </c>
      <c r="G735">
        <v>1075067053977</v>
      </c>
      <c r="H735">
        <v>902937249328</v>
      </c>
      <c r="I735">
        <v>766993327271</v>
      </c>
      <c r="J735">
        <v>952099984490</v>
      </c>
      <c r="K735">
        <v>1000198004839</v>
      </c>
      <c r="L735">
        <v>898911793381</v>
      </c>
      <c r="M735">
        <v>924879924864</v>
      </c>
      <c r="N735">
        <v>1012302876210</v>
      </c>
      <c r="O735">
        <v>873079816803</v>
      </c>
      <c r="P735">
        <v>921782817700</v>
      </c>
      <c r="Q735">
        <v>1113614089781</v>
      </c>
      <c r="R735">
        <v>1540342208789</v>
      </c>
    </row>
    <row r="736" spans="1:18" x14ac:dyDescent="0.35">
      <c r="A736" t="s">
        <v>1942</v>
      </c>
      <c r="B736" t="s">
        <v>26</v>
      </c>
      <c r="C736">
        <v>-1910839019</v>
      </c>
      <c r="D736">
        <v>-1485873407</v>
      </c>
      <c r="E736">
        <v>-1485873407</v>
      </c>
      <c r="F736">
        <v>-1485873407</v>
      </c>
      <c r="G736">
        <v>-1402413488</v>
      </c>
      <c r="H736">
        <v>-1328910150</v>
      </c>
      <c r="I736">
        <v>-1328910150</v>
      </c>
      <c r="J736">
        <v>-1328910150</v>
      </c>
      <c r="K736">
        <v>-1328910150</v>
      </c>
      <c r="L736">
        <v>-8416503611</v>
      </c>
      <c r="M736">
        <v>-4041999728</v>
      </c>
      <c r="N736">
        <v>-1904485634</v>
      </c>
      <c r="O736">
        <v>-1218039548</v>
      </c>
      <c r="P736">
        <v>-706020118</v>
      </c>
      <c r="Q736">
        <v>-551729188</v>
      </c>
      <c r="R736">
        <v>-132033826</v>
      </c>
    </row>
    <row r="737" spans="1:18" x14ac:dyDescent="0.35">
      <c r="A737" t="s">
        <v>1942</v>
      </c>
      <c r="B737" t="s">
        <v>27</v>
      </c>
      <c r="C737">
        <v>26295902063</v>
      </c>
      <c r="D737">
        <v>57169645469</v>
      </c>
      <c r="E737">
        <v>248981739217</v>
      </c>
      <c r="F737">
        <v>404224270857</v>
      </c>
      <c r="G737">
        <v>258510921112</v>
      </c>
      <c r="H737">
        <v>127844193245</v>
      </c>
      <c r="I737">
        <v>114031223602</v>
      </c>
      <c r="J737">
        <v>146978400362</v>
      </c>
      <c r="K737">
        <v>161715726182</v>
      </c>
      <c r="L737">
        <v>261696002130</v>
      </c>
      <c r="M737">
        <v>242178359545</v>
      </c>
      <c r="N737">
        <v>248065579561</v>
      </c>
      <c r="O737">
        <v>240080037197</v>
      </c>
      <c r="P737">
        <v>240365816080</v>
      </c>
      <c r="Q737">
        <v>268094645852</v>
      </c>
      <c r="R737">
        <v>86534420120</v>
      </c>
    </row>
    <row r="738" spans="1:18" x14ac:dyDescent="0.35">
      <c r="A738" t="s">
        <v>1942</v>
      </c>
      <c r="B738" t="s">
        <v>28</v>
      </c>
      <c r="C738">
        <v>2293342639</v>
      </c>
      <c r="D738">
        <v>2910633370</v>
      </c>
      <c r="E738">
        <v>3945722610</v>
      </c>
      <c r="F738">
        <v>4728132653</v>
      </c>
      <c r="G738">
        <v>2666686771</v>
      </c>
      <c r="H738">
        <v>10233949430</v>
      </c>
      <c r="I738">
        <v>7990715090</v>
      </c>
      <c r="J738">
        <v>9245744581</v>
      </c>
      <c r="K738">
        <v>5873003939</v>
      </c>
      <c r="L738">
        <v>11872382106</v>
      </c>
      <c r="M738">
        <v>9336307442</v>
      </c>
      <c r="N738">
        <v>23169334754</v>
      </c>
      <c r="O738">
        <v>11045770558</v>
      </c>
      <c r="P738">
        <v>12612635564</v>
      </c>
      <c r="Q738">
        <v>13999583850</v>
      </c>
      <c r="R738">
        <v>19741451488</v>
      </c>
    </row>
    <row r="739" spans="1:18" x14ac:dyDescent="0.35">
      <c r="A739" t="s">
        <v>1942</v>
      </c>
      <c r="B739" t="s">
        <v>29</v>
      </c>
      <c r="C739">
        <v>23601641729</v>
      </c>
      <c r="D739">
        <v>53816333286</v>
      </c>
      <c r="E739">
        <v>244607179953</v>
      </c>
      <c r="F739">
        <v>399079709415</v>
      </c>
      <c r="G739">
        <v>255016685888</v>
      </c>
      <c r="H739">
        <v>113323149766</v>
      </c>
      <c r="I739">
        <v>104020190704</v>
      </c>
      <c r="J739">
        <v>136017145123</v>
      </c>
      <c r="K739">
        <v>155046959437</v>
      </c>
      <c r="L739">
        <v>248543545246</v>
      </c>
      <c r="M739">
        <v>229968619671</v>
      </c>
      <c r="N739">
        <v>222515199848</v>
      </c>
      <c r="O739">
        <v>227630197794</v>
      </c>
      <c r="P739">
        <v>226423506112</v>
      </c>
      <c r="Q739">
        <v>251996077938</v>
      </c>
      <c r="R739">
        <v>65362264291</v>
      </c>
    </row>
    <row r="740" spans="1:18" x14ac:dyDescent="0.35">
      <c r="A740" t="s">
        <v>1942</v>
      </c>
      <c r="B740" t="s">
        <v>30</v>
      </c>
      <c r="C740">
        <v>400917695</v>
      </c>
      <c r="D740">
        <v>442678813</v>
      </c>
      <c r="E740">
        <v>428836654</v>
      </c>
      <c r="F740">
        <v>416428789</v>
      </c>
      <c r="G740">
        <v>827548453</v>
      </c>
      <c r="H740">
        <v>4287094049</v>
      </c>
      <c r="I740">
        <v>2020317808</v>
      </c>
      <c r="J740">
        <v>1715510658</v>
      </c>
      <c r="K740">
        <v>795762806</v>
      </c>
      <c r="L740">
        <v>1280074778</v>
      </c>
      <c r="M740">
        <v>2873432432</v>
      </c>
      <c r="N740">
        <v>2381044959</v>
      </c>
      <c r="O740">
        <v>1404068845</v>
      </c>
      <c r="P740">
        <v>1329674404</v>
      </c>
      <c r="Q740">
        <v>2098984064</v>
      </c>
      <c r="R740">
        <v>1430704341</v>
      </c>
    </row>
    <row r="741" spans="1:18" x14ac:dyDescent="0.35">
      <c r="A741" t="s">
        <v>1942</v>
      </c>
      <c r="B741" t="s">
        <v>31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8" x14ac:dyDescent="0.35">
      <c r="A742" t="s">
        <v>1942</v>
      </c>
      <c r="B742" t="s">
        <v>32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8" x14ac:dyDescent="0.35">
      <c r="A743" t="s">
        <v>1942</v>
      </c>
      <c r="B743" t="s">
        <v>33</v>
      </c>
      <c r="C743">
        <v>4760029634148</v>
      </c>
      <c r="D743">
        <v>4957404138061</v>
      </c>
      <c r="E743">
        <v>6919301141793</v>
      </c>
      <c r="F743">
        <v>8771418256302</v>
      </c>
      <c r="G743">
        <v>10959548265648</v>
      </c>
      <c r="H743">
        <v>12190990658396</v>
      </c>
      <c r="I743">
        <v>12742583023965</v>
      </c>
      <c r="J743">
        <v>13041913338140</v>
      </c>
      <c r="K743">
        <v>13048302117352</v>
      </c>
      <c r="L743">
        <v>13687534030793</v>
      </c>
      <c r="M743">
        <v>13817039827628</v>
      </c>
      <c r="N743">
        <v>13746949345594</v>
      </c>
      <c r="O743">
        <v>13568453141818</v>
      </c>
      <c r="P743">
        <v>13379881377556</v>
      </c>
      <c r="Q743">
        <v>13257783329219</v>
      </c>
      <c r="R743">
        <v>13137096656793</v>
      </c>
    </row>
    <row r="744" spans="1:18" x14ac:dyDescent="0.35">
      <c r="A744" t="s">
        <v>1942</v>
      </c>
      <c r="B744" t="s">
        <v>34</v>
      </c>
      <c r="C744">
        <v>697333500</v>
      </c>
      <c r="D744">
        <v>37437472500</v>
      </c>
      <c r="E744">
        <v>8295573500</v>
      </c>
      <c r="F744">
        <v>210573500</v>
      </c>
      <c r="G744">
        <v>8345573500</v>
      </c>
      <c r="H744">
        <v>160573500</v>
      </c>
      <c r="I744">
        <v>12744000</v>
      </c>
      <c r="J744">
        <v>8405710807</v>
      </c>
      <c r="K744">
        <v>8299807451</v>
      </c>
      <c r="L744">
        <v>160573500</v>
      </c>
      <c r="M744">
        <v>8966710043</v>
      </c>
      <c r="N744">
        <v>8560509260</v>
      </c>
      <c r="O744">
        <v>9387390760</v>
      </c>
      <c r="P744">
        <v>14779136760</v>
      </c>
      <c r="Q744">
        <v>20919356572</v>
      </c>
      <c r="R744">
        <v>27508332760</v>
      </c>
    </row>
    <row r="745" spans="1:18" x14ac:dyDescent="0.35">
      <c r="A745" t="s">
        <v>1942</v>
      </c>
      <c r="B745" t="s">
        <v>35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8" x14ac:dyDescent="0.35">
      <c r="A746" t="s">
        <v>1942</v>
      </c>
      <c r="B746" t="s">
        <v>36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8" x14ac:dyDescent="0.35">
      <c r="A747" t="s">
        <v>1942</v>
      </c>
      <c r="B747" t="s">
        <v>37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8" x14ac:dyDescent="0.35">
      <c r="A748" t="s">
        <v>1942</v>
      </c>
      <c r="B748" t="s">
        <v>38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8" x14ac:dyDescent="0.35">
      <c r="A749" t="s">
        <v>1942</v>
      </c>
      <c r="B749" t="s">
        <v>39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8" x14ac:dyDescent="0.35">
      <c r="A750" t="s">
        <v>1942</v>
      </c>
      <c r="B750" t="s">
        <v>40</v>
      </c>
      <c r="C750">
        <v>697333500</v>
      </c>
      <c r="D750">
        <v>37437472500</v>
      </c>
      <c r="E750">
        <v>8295573500</v>
      </c>
      <c r="F750">
        <v>210573500</v>
      </c>
      <c r="G750">
        <v>8345573500</v>
      </c>
      <c r="H750">
        <v>160573500</v>
      </c>
      <c r="I750">
        <v>12744000</v>
      </c>
      <c r="J750">
        <v>8405710807</v>
      </c>
      <c r="K750">
        <v>8299807451</v>
      </c>
      <c r="L750">
        <v>160573500</v>
      </c>
      <c r="M750">
        <v>8966710043</v>
      </c>
      <c r="N750">
        <v>8560509260</v>
      </c>
      <c r="O750">
        <v>9387390760</v>
      </c>
      <c r="P750">
        <v>14779136760</v>
      </c>
      <c r="Q750">
        <v>20919356572</v>
      </c>
      <c r="R750">
        <v>27508332760</v>
      </c>
    </row>
    <row r="751" spans="1:18" x14ac:dyDescent="0.35">
      <c r="A751" t="s">
        <v>1942</v>
      </c>
      <c r="B751" t="s">
        <v>41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8" x14ac:dyDescent="0.35">
      <c r="A752" t="s">
        <v>1942</v>
      </c>
      <c r="B752" t="s">
        <v>42</v>
      </c>
      <c r="C752">
        <v>3853535688443</v>
      </c>
      <c r="D752">
        <v>3803798094396</v>
      </c>
      <c r="E752">
        <v>3768055111534</v>
      </c>
      <c r="F752">
        <v>3838807239211</v>
      </c>
      <c r="G752">
        <v>4762532928576</v>
      </c>
      <c r="H752">
        <v>10256956958819</v>
      </c>
      <c r="I752">
        <v>10021016408473</v>
      </c>
      <c r="J752">
        <v>9893380192303</v>
      </c>
      <c r="K752">
        <v>9638603196882</v>
      </c>
      <c r="L752">
        <v>9520703165074</v>
      </c>
      <c r="M752">
        <v>9759420431251</v>
      </c>
      <c r="N752">
        <v>11112857103714</v>
      </c>
      <c r="O752">
        <v>10937931796144</v>
      </c>
      <c r="P752">
        <v>10744897146469</v>
      </c>
      <c r="Q752">
        <v>10588556000770</v>
      </c>
      <c r="R752">
        <v>10464350588586</v>
      </c>
    </row>
    <row r="753" spans="1:18" x14ac:dyDescent="0.35">
      <c r="A753" t="s">
        <v>1942</v>
      </c>
      <c r="B753" t="s">
        <v>43</v>
      </c>
      <c r="C753">
        <v>3851617864377</v>
      </c>
      <c r="D753">
        <v>3801905695526</v>
      </c>
      <c r="E753">
        <v>3765563750105</v>
      </c>
      <c r="F753">
        <v>3836485996848</v>
      </c>
      <c r="G753">
        <v>3793884699947</v>
      </c>
      <c r="H753">
        <v>9301866127035</v>
      </c>
      <c r="I753">
        <v>9076348613127</v>
      </c>
      <c r="J753">
        <v>8959305927305</v>
      </c>
      <c r="K753">
        <v>8715433293455</v>
      </c>
      <c r="L753">
        <v>8597351991643</v>
      </c>
      <c r="M753">
        <v>8467992321760</v>
      </c>
      <c r="N753">
        <v>9838759394049</v>
      </c>
      <c r="O753">
        <v>9681141943268</v>
      </c>
      <c r="P753">
        <v>9503810775012</v>
      </c>
      <c r="Q753">
        <v>9363865760797</v>
      </c>
      <c r="R753">
        <v>9255618845908</v>
      </c>
    </row>
    <row r="754" spans="1:18" x14ac:dyDescent="0.35">
      <c r="A754" t="s">
        <v>1942</v>
      </c>
      <c r="B754" t="s">
        <v>44</v>
      </c>
      <c r="C754">
        <v>4542366376866</v>
      </c>
      <c r="D754">
        <v>4547948423492</v>
      </c>
      <c r="E754">
        <v>4546304205880</v>
      </c>
      <c r="F754">
        <v>4663099087559</v>
      </c>
      <c r="G754">
        <v>4698925604873</v>
      </c>
      <c r="H754">
        <v>10324615439338</v>
      </c>
      <c r="I754">
        <v>10227468518413</v>
      </c>
      <c r="J754">
        <v>10242915293836</v>
      </c>
      <c r="K754">
        <v>10126518395559</v>
      </c>
      <c r="L754">
        <v>10864263105285</v>
      </c>
      <c r="M754">
        <v>10869795046924</v>
      </c>
      <c r="N754">
        <v>12388204907065</v>
      </c>
      <c r="O754">
        <v>12399096099229</v>
      </c>
      <c r="P754">
        <v>12403096707754</v>
      </c>
      <c r="Q754">
        <v>12439675430316</v>
      </c>
      <c r="R754">
        <v>12510659438002</v>
      </c>
    </row>
    <row r="755" spans="1:18" x14ac:dyDescent="0.35">
      <c r="A755" t="s">
        <v>1942</v>
      </c>
      <c r="B755" t="s">
        <v>45</v>
      </c>
      <c r="C755">
        <v>-690748512489</v>
      </c>
      <c r="D755">
        <v>-746042727966</v>
      </c>
      <c r="E755">
        <v>-780740455775</v>
      </c>
      <c r="F755">
        <v>-826613090711</v>
      </c>
      <c r="G755">
        <v>-905040904926</v>
      </c>
      <c r="H755">
        <v>-1022749312303</v>
      </c>
      <c r="I755">
        <v>-1151119905286</v>
      </c>
      <c r="J755">
        <v>-1283609366531</v>
      </c>
      <c r="K755">
        <v>-1411085102104</v>
      </c>
      <c r="L755">
        <v>-2266911113642</v>
      </c>
      <c r="M755">
        <v>-2401802725164</v>
      </c>
      <c r="N755">
        <v>-2549445513016</v>
      </c>
      <c r="O755">
        <v>-2717954155961</v>
      </c>
      <c r="P755">
        <v>-2899285932742</v>
      </c>
      <c r="Q755">
        <v>-3075809669519</v>
      </c>
      <c r="R755">
        <v>-3255040592094</v>
      </c>
    </row>
    <row r="756" spans="1:18" x14ac:dyDescent="0.35">
      <c r="A756" t="s">
        <v>1942</v>
      </c>
      <c r="B756" t="s">
        <v>46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2373341667</v>
      </c>
      <c r="L756">
        <v>5425503234</v>
      </c>
      <c r="M756">
        <v>5444388455</v>
      </c>
      <c r="N756">
        <v>5264629712</v>
      </c>
      <c r="O756">
        <v>5084870969</v>
      </c>
      <c r="P756">
        <v>4905112226</v>
      </c>
      <c r="Q756">
        <v>4725353483</v>
      </c>
      <c r="R756">
        <v>4545594740</v>
      </c>
    </row>
    <row r="757" spans="1:18" x14ac:dyDescent="0.35">
      <c r="A757" t="s">
        <v>1942</v>
      </c>
      <c r="B757" t="s">
        <v>44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2436800000</v>
      </c>
      <c r="L757">
        <v>5596800000</v>
      </c>
      <c r="M757">
        <v>5791150000</v>
      </c>
      <c r="N757">
        <v>5791150000</v>
      </c>
      <c r="O757">
        <v>5791150000</v>
      </c>
      <c r="P757">
        <v>5791150000</v>
      </c>
      <c r="Q757">
        <v>5791150000</v>
      </c>
      <c r="R757">
        <v>5791150000</v>
      </c>
    </row>
    <row r="758" spans="1:18" x14ac:dyDescent="0.35">
      <c r="A758" t="s">
        <v>1942</v>
      </c>
      <c r="B758" t="s">
        <v>45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-63458333</v>
      </c>
      <c r="L758">
        <v>-171296766</v>
      </c>
      <c r="M758">
        <v>-346761545</v>
      </c>
      <c r="N758">
        <v>-526520288</v>
      </c>
      <c r="O758">
        <v>-706279031</v>
      </c>
      <c r="P758">
        <v>-886037774</v>
      </c>
      <c r="Q758">
        <v>-1065796517</v>
      </c>
      <c r="R758">
        <v>-1245555260</v>
      </c>
    </row>
    <row r="759" spans="1:18" x14ac:dyDescent="0.35">
      <c r="A759" t="s">
        <v>1942</v>
      </c>
      <c r="B759" t="s">
        <v>47</v>
      </c>
      <c r="C759">
        <v>1917824066</v>
      </c>
      <c r="D759">
        <v>1892398870</v>
      </c>
      <c r="E759">
        <v>2491361429</v>
      </c>
      <c r="F759">
        <v>2321242363</v>
      </c>
      <c r="G759">
        <v>968648228629</v>
      </c>
      <c r="H759">
        <v>955090831784</v>
      </c>
      <c r="I759">
        <v>944667795346</v>
      </c>
      <c r="J759">
        <v>934074264998</v>
      </c>
      <c r="K759">
        <v>920796561760</v>
      </c>
      <c r="L759">
        <v>917925670197</v>
      </c>
      <c r="M759">
        <v>1285983721036</v>
      </c>
      <c r="N759">
        <v>1268833079953</v>
      </c>
      <c r="O759">
        <v>1251704981907</v>
      </c>
      <c r="P759">
        <v>1236181259231</v>
      </c>
      <c r="Q759">
        <v>1219964886490</v>
      </c>
      <c r="R759">
        <v>1204186147938</v>
      </c>
    </row>
    <row r="760" spans="1:18" x14ac:dyDescent="0.35">
      <c r="A760" t="s">
        <v>1942</v>
      </c>
      <c r="B760" t="s">
        <v>44</v>
      </c>
      <c r="C760">
        <v>2902207819</v>
      </c>
      <c r="D760">
        <v>2987207819</v>
      </c>
      <c r="E760">
        <v>3695707819</v>
      </c>
      <c r="F760">
        <v>3645707819</v>
      </c>
      <c r="G760">
        <v>981223899230</v>
      </c>
      <c r="H760">
        <v>981273899230</v>
      </c>
      <c r="I760">
        <v>982313899230</v>
      </c>
      <c r="J760">
        <v>983238899230</v>
      </c>
      <c r="K760">
        <v>981345563230</v>
      </c>
      <c r="L760">
        <v>999490427018</v>
      </c>
      <c r="M760">
        <v>1385960448543</v>
      </c>
      <c r="N760">
        <v>1383536413798</v>
      </c>
      <c r="O760">
        <v>1382313785252</v>
      </c>
      <c r="P760">
        <v>1382966065053</v>
      </c>
      <c r="Q760">
        <v>1382368621252</v>
      </c>
      <c r="R760">
        <v>1382480421252</v>
      </c>
    </row>
    <row r="761" spans="1:18" x14ac:dyDescent="0.35">
      <c r="A761" t="s">
        <v>1942</v>
      </c>
      <c r="B761" t="s">
        <v>45</v>
      </c>
      <c r="C761">
        <v>-984383753</v>
      </c>
      <c r="D761">
        <v>-1094808949</v>
      </c>
      <c r="E761">
        <v>-1204346390</v>
      </c>
      <c r="F761">
        <v>-1324465456</v>
      </c>
      <c r="G761">
        <v>-12575670601</v>
      </c>
      <c r="H761">
        <v>-26183067446</v>
      </c>
      <c r="I761">
        <v>-37646103884</v>
      </c>
      <c r="J761">
        <v>-49164634232</v>
      </c>
      <c r="K761">
        <v>-60549001470</v>
      </c>
      <c r="L761">
        <v>-81564756821</v>
      </c>
      <c r="M761">
        <v>-99976727507</v>
      </c>
      <c r="N761">
        <v>-114703333845</v>
      </c>
      <c r="O761">
        <v>-130608803345</v>
      </c>
      <c r="P761">
        <v>-146784805822</v>
      </c>
      <c r="Q761">
        <v>-162403734762</v>
      </c>
      <c r="R761">
        <v>-178294273314</v>
      </c>
    </row>
    <row r="762" spans="1:18" x14ac:dyDescent="0.35">
      <c r="A762" t="s">
        <v>1942</v>
      </c>
      <c r="B762" t="s">
        <v>48</v>
      </c>
      <c r="C762">
        <v>230387648554</v>
      </c>
      <c r="D762">
        <v>227486191580</v>
      </c>
      <c r="E762">
        <v>218448652019</v>
      </c>
      <c r="F762">
        <v>226990315428</v>
      </c>
      <c r="G762">
        <v>224038803343</v>
      </c>
      <c r="H762">
        <v>221087291258</v>
      </c>
      <c r="I762">
        <v>218167242456</v>
      </c>
      <c r="J762">
        <v>215231462012</v>
      </c>
      <c r="K762">
        <v>212279949928</v>
      </c>
      <c r="L762">
        <v>271049265804</v>
      </c>
      <c r="M762">
        <v>264827211437</v>
      </c>
      <c r="N762">
        <v>257829553857</v>
      </c>
      <c r="O762">
        <v>230851573208</v>
      </c>
      <c r="P762">
        <v>145675172322</v>
      </c>
      <c r="Q762">
        <v>131414584303</v>
      </c>
      <c r="R762">
        <v>126756823408</v>
      </c>
    </row>
    <row r="763" spans="1:18" x14ac:dyDescent="0.35">
      <c r="A763" t="s">
        <v>1942</v>
      </c>
      <c r="B763" t="s">
        <v>44</v>
      </c>
      <c r="C763">
        <v>271238483243</v>
      </c>
      <c r="D763">
        <v>271238483243</v>
      </c>
      <c r="E763">
        <v>264880188533</v>
      </c>
      <c r="F763">
        <v>276243994329</v>
      </c>
      <c r="G763">
        <v>276243994329</v>
      </c>
      <c r="H763">
        <v>276243994329</v>
      </c>
      <c r="I763">
        <v>276243994329</v>
      </c>
      <c r="J763">
        <v>276243994329</v>
      </c>
      <c r="K763">
        <v>276243994329</v>
      </c>
      <c r="L763">
        <v>681352966331</v>
      </c>
      <c r="M763">
        <v>681352966331</v>
      </c>
      <c r="N763">
        <v>680217755739</v>
      </c>
      <c r="O763">
        <v>654785254399</v>
      </c>
      <c r="P763">
        <v>558088029012</v>
      </c>
      <c r="Q763">
        <v>544806855120</v>
      </c>
      <c r="R763">
        <v>544806855120</v>
      </c>
    </row>
    <row r="764" spans="1:18" x14ac:dyDescent="0.35">
      <c r="A764" t="s">
        <v>1942</v>
      </c>
      <c r="B764" t="s">
        <v>45</v>
      </c>
      <c r="C764">
        <v>-40850834689</v>
      </c>
      <c r="D764">
        <v>-43752291663</v>
      </c>
      <c r="E764">
        <v>-46431536514</v>
      </c>
      <c r="F764">
        <v>-49253678901</v>
      </c>
      <c r="G764">
        <v>-52205190986</v>
      </c>
      <c r="H764">
        <v>-55156703071</v>
      </c>
      <c r="I764">
        <v>-58076751873</v>
      </c>
      <c r="J764">
        <v>-61012532317</v>
      </c>
      <c r="K764">
        <v>-63964044401</v>
      </c>
      <c r="L764">
        <v>-410303700527</v>
      </c>
      <c r="M764">
        <v>-416525754894</v>
      </c>
      <c r="N764">
        <v>-422388201882</v>
      </c>
      <c r="O764">
        <v>-423933681191</v>
      </c>
      <c r="P764">
        <v>-412412856690</v>
      </c>
      <c r="Q764">
        <v>-413392270817</v>
      </c>
      <c r="R764">
        <v>-418050031712</v>
      </c>
    </row>
    <row r="765" spans="1:18" x14ac:dyDescent="0.35">
      <c r="A765" t="s">
        <v>1942</v>
      </c>
      <c r="B765" t="s">
        <v>49</v>
      </c>
      <c r="C765">
        <v>154757359962</v>
      </c>
      <c r="D765">
        <v>377174306246</v>
      </c>
      <c r="E765">
        <v>2083197262840</v>
      </c>
      <c r="F765">
        <v>3640396082114</v>
      </c>
      <c r="G765">
        <v>4957883056485</v>
      </c>
      <c r="H765">
        <v>379409541773</v>
      </c>
      <c r="I765">
        <v>467823854184</v>
      </c>
      <c r="J765">
        <v>699746779109</v>
      </c>
      <c r="K765">
        <v>954461397960</v>
      </c>
      <c r="L765">
        <v>1385187360082</v>
      </c>
      <c r="M765">
        <v>1518010364508</v>
      </c>
      <c r="N765">
        <v>43974374707</v>
      </c>
      <c r="O765">
        <v>87317454215</v>
      </c>
      <c r="P765">
        <v>106504443925</v>
      </c>
      <c r="Q765">
        <v>140105499251</v>
      </c>
      <c r="R765">
        <v>132039977712</v>
      </c>
    </row>
    <row r="766" spans="1:18" x14ac:dyDescent="0.35">
      <c r="A766" t="s">
        <v>1942</v>
      </c>
      <c r="B766" t="s">
        <v>50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8" x14ac:dyDescent="0.35">
      <c r="A767" t="s">
        <v>1942</v>
      </c>
      <c r="B767" t="s">
        <v>51</v>
      </c>
      <c r="C767">
        <v>154757359962</v>
      </c>
      <c r="D767">
        <v>377174306246</v>
      </c>
      <c r="E767">
        <v>2083197262840</v>
      </c>
      <c r="F767">
        <v>3640396082114</v>
      </c>
      <c r="G767">
        <v>4957883056485</v>
      </c>
      <c r="H767">
        <v>379409541773</v>
      </c>
      <c r="I767">
        <v>467823854184</v>
      </c>
      <c r="J767">
        <v>699746779109</v>
      </c>
      <c r="K767">
        <v>954461397960</v>
      </c>
      <c r="L767">
        <v>1385187360082</v>
      </c>
      <c r="M767">
        <v>1518010364508</v>
      </c>
      <c r="N767">
        <v>43974374707</v>
      </c>
      <c r="O767">
        <v>87317454215</v>
      </c>
      <c r="P767">
        <v>106504443925</v>
      </c>
      <c r="Q767">
        <v>140105499251</v>
      </c>
      <c r="R767">
        <v>132039977712</v>
      </c>
    </row>
    <row r="768" spans="1:18" x14ac:dyDescent="0.35">
      <c r="A768" t="s">
        <v>1942</v>
      </c>
      <c r="B768" t="s">
        <v>52</v>
      </c>
      <c r="C768">
        <v>67804928747</v>
      </c>
      <c r="D768">
        <v>81545363640</v>
      </c>
      <c r="E768">
        <v>397038110064</v>
      </c>
      <c r="F768">
        <v>397225305440</v>
      </c>
      <c r="G768">
        <v>417309021083</v>
      </c>
      <c r="H768">
        <v>638822922462</v>
      </c>
      <c r="I768">
        <v>1345021736075</v>
      </c>
      <c r="J768">
        <v>1548889100772</v>
      </c>
      <c r="K768">
        <v>1545769861727</v>
      </c>
      <c r="L768">
        <v>1527029860981</v>
      </c>
      <c r="M768">
        <v>1541820750411</v>
      </c>
      <c r="N768">
        <v>1607521111811</v>
      </c>
      <c r="O768">
        <v>1603097526205</v>
      </c>
      <c r="P768">
        <v>1606569505763</v>
      </c>
      <c r="Q768">
        <v>1655673755241</v>
      </c>
      <c r="R768">
        <v>1645832792799</v>
      </c>
    </row>
    <row r="769" spans="1:18" x14ac:dyDescent="0.35">
      <c r="A769" t="s">
        <v>1942</v>
      </c>
      <c r="B769" t="s">
        <v>53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8" x14ac:dyDescent="0.35">
      <c r="A770" t="s">
        <v>1942</v>
      </c>
      <c r="B770" t="s">
        <v>54</v>
      </c>
      <c r="C770">
        <v>64636049812</v>
      </c>
      <c r="D770">
        <v>78376484705</v>
      </c>
      <c r="E770">
        <v>393869231129</v>
      </c>
      <c r="F770">
        <v>395001920401</v>
      </c>
      <c r="G770">
        <v>415085636044</v>
      </c>
      <c r="H770">
        <v>426599537423</v>
      </c>
      <c r="I770">
        <v>1342798351036</v>
      </c>
      <c r="J770">
        <v>1546665715733</v>
      </c>
      <c r="K770">
        <v>1543546476688</v>
      </c>
      <c r="L770">
        <v>1525593713271</v>
      </c>
      <c r="M770">
        <v>1540384602701</v>
      </c>
      <c r="N770">
        <v>1606084964101</v>
      </c>
      <c r="O770">
        <v>1601661378495</v>
      </c>
      <c r="P770">
        <v>1605353748672</v>
      </c>
      <c r="Q770">
        <v>1654457998150</v>
      </c>
      <c r="R770">
        <v>1644617035708</v>
      </c>
    </row>
    <row r="771" spans="1:18" x14ac:dyDescent="0.35">
      <c r="A771" t="s">
        <v>1942</v>
      </c>
      <c r="B771" t="s">
        <v>55</v>
      </c>
      <c r="C771">
        <v>4821770000</v>
      </c>
      <c r="D771">
        <v>4821770000</v>
      </c>
      <c r="E771">
        <v>4821770000</v>
      </c>
      <c r="F771">
        <v>4821770000</v>
      </c>
      <c r="G771">
        <v>4821770000</v>
      </c>
      <c r="H771">
        <v>214821770000</v>
      </c>
      <c r="I771">
        <v>4821770000</v>
      </c>
      <c r="J771">
        <v>4821770000</v>
      </c>
      <c r="K771">
        <v>4821770000</v>
      </c>
      <c r="L771">
        <v>4821770000</v>
      </c>
      <c r="M771">
        <v>4821770000</v>
      </c>
      <c r="N771">
        <v>4821770000</v>
      </c>
      <c r="O771">
        <v>4821770000</v>
      </c>
      <c r="P771">
        <v>4821770000</v>
      </c>
      <c r="Q771">
        <v>4821770000</v>
      </c>
      <c r="R771">
        <v>4821770000</v>
      </c>
    </row>
    <row r="772" spans="1:18" x14ac:dyDescent="0.35">
      <c r="A772" t="s">
        <v>1942</v>
      </c>
      <c r="B772" t="s">
        <v>56</v>
      </c>
      <c r="C772">
        <v>-1652891065</v>
      </c>
      <c r="D772">
        <v>-1652891065</v>
      </c>
      <c r="E772">
        <v>-1652891065</v>
      </c>
      <c r="F772">
        <v>-2598384961</v>
      </c>
      <c r="G772">
        <v>-2598384961</v>
      </c>
      <c r="H772">
        <v>-2598384961</v>
      </c>
      <c r="I772">
        <v>-2598384961</v>
      </c>
      <c r="J772">
        <v>-2598384961</v>
      </c>
      <c r="K772">
        <v>-2598384961</v>
      </c>
      <c r="L772">
        <v>-3385622290</v>
      </c>
      <c r="M772">
        <v>-3385622290</v>
      </c>
      <c r="N772">
        <v>-3385622290</v>
      </c>
      <c r="O772">
        <v>-3385622290</v>
      </c>
      <c r="P772">
        <v>-3606012909</v>
      </c>
      <c r="Q772">
        <v>-3606012909</v>
      </c>
      <c r="R772">
        <v>-3606012909</v>
      </c>
    </row>
    <row r="773" spans="1:18" x14ac:dyDescent="0.35">
      <c r="A773" t="s">
        <v>1942</v>
      </c>
      <c r="B773" t="s">
        <v>57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8" x14ac:dyDescent="0.35">
      <c r="A774" t="s">
        <v>1942</v>
      </c>
      <c r="B774" t="s">
        <v>58</v>
      </c>
      <c r="C774">
        <v>452846674942</v>
      </c>
      <c r="D774">
        <v>429962709699</v>
      </c>
      <c r="E774">
        <v>444266431836</v>
      </c>
      <c r="F774">
        <v>667788740609</v>
      </c>
      <c r="G774">
        <v>589438882661</v>
      </c>
      <c r="H774">
        <v>694553370584</v>
      </c>
      <c r="I774">
        <v>690541038777</v>
      </c>
      <c r="J774">
        <v>676260093137</v>
      </c>
      <c r="K774">
        <v>688887903404</v>
      </c>
      <c r="L774">
        <v>983403805352</v>
      </c>
      <c r="M774">
        <v>723994359978</v>
      </c>
      <c r="N774">
        <v>716206692245</v>
      </c>
      <c r="O774">
        <v>699867401286</v>
      </c>
      <c r="P774">
        <v>761455972317</v>
      </c>
      <c r="Q774">
        <v>721114133082</v>
      </c>
      <c r="R774">
        <v>740608141528</v>
      </c>
    </row>
    <row r="775" spans="1:18" x14ac:dyDescent="0.35">
      <c r="A775" t="s">
        <v>1942</v>
      </c>
      <c r="B775" t="s">
        <v>59</v>
      </c>
      <c r="C775">
        <v>133457131521</v>
      </c>
      <c r="D775">
        <v>136301379054</v>
      </c>
      <c r="E775">
        <v>139974374578</v>
      </c>
      <c r="F775">
        <v>141718609063</v>
      </c>
      <c r="G775">
        <v>140895635606</v>
      </c>
      <c r="H775">
        <v>404309153825</v>
      </c>
      <c r="I775">
        <v>430253492664</v>
      </c>
      <c r="J775">
        <v>423210709536</v>
      </c>
      <c r="K775">
        <v>445520657369</v>
      </c>
      <c r="L775">
        <v>448159355901</v>
      </c>
      <c r="M775">
        <v>439459957139</v>
      </c>
      <c r="N775">
        <v>439450528040</v>
      </c>
      <c r="O775">
        <v>434486114293</v>
      </c>
      <c r="P775">
        <v>508662036569</v>
      </c>
      <c r="Q775">
        <v>477545521358</v>
      </c>
      <c r="R775">
        <v>484308907938</v>
      </c>
    </row>
    <row r="776" spans="1:18" x14ac:dyDescent="0.35">
      <c r="A776" t="s">
        <v>1942</v>
      </c>
      <c r="B776" t="s">
        <v>60</v>
      </c>
      <c r="C776">
        <v>0</v>
      </c>
      <c r="D776">
        <v>9669732060</v>
      </c>
      <c r="E776">
        <v>32003239665</v>
      </c>
      <c r="F776">
        <v>52103821227</v>
      </c>
      <c r="G776">
        <v>23003623187</v>
      </c>
      <c r="H776">
        <v>25010180334</v>
      </c>
      <c r="I776">
        <v>3312551535</v>
      </c>
      <c r="J776">
        <v>4381798101</v>
      </c>
      <c r="K776">
        <v>2982885996</v>
      </c>
      <c r="L776">
        <v>42640527845</v>
      </c>
      <c r="M776">
        <v>39560944220</v>
      </c>
      <c r="N776">
        <v>40514016860</v>
      </c>
      <c r="O776">
        <v>37971486698</v>
      </c>
      <c r="P776">
        <v>34253282224</v>
      </c>
      <c r="Q776">
        <v>33768058634</v>
      </c>
      <c r="R776">
        <v>31494165799</v>
      </c>
    </row>
    <row r="777" spans="1:18" x14ac:dyDescent="0.35">
      <c r="A777" t="s">
        <v>1942</v>
      </c>
      <c r="B777" t="s">
        <v>61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3407937256</v>
      </c>
      <c r="M777">
        <v>2310640261</v>
      </c>
      <c r="N777">
        <v>2352922445</v>
      </c>
      <c r="O777">
        <v>2294168852</v>
      </c>
      <c r="P777">
        <v>2198615537</v>
      </c>
      <c r="Q777">
        <v>2232108564</v>
      </c>
      <c r="R777">
        <v>26010216723</v>
      </c>
    </row>
    <row r="778" spans="1:18" x14ac:dyDescent="0.35">
      <c r="A778" t="s">
        <v>1942</v>
      </c>
      <c r="B778" t="s">
        <v>62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8" x14ac:dyDescent="0.35">
      <c r="A779" t="s">
        <v>1942</v>
      </c>
      <c r="B779" t="s">
        <v>63</v>
      </c>
      <c r="C779">
        <v>319389543421</v>
      </c>
      <c r="D779">
        <v>283991598585</v>
      </c>
      <c r="E779">
        <v>272288817593</v>
      </c>
      <c r="F779">
        <v>473966310319</v>
      </c>
      <c r="G779">
        <v>425539623868</v>
      </c>
      <c r="H779">
        <v>265234036425</v>
      </c>
      <c r="I779">
        <v>256974994578</v>
      </c>
      <c r="J779">
        <v>248667585500</v>
      </c>
      <c r="K779">
        <v>240384360039</v>
      </c>
      <c r="L779">
        <v>489195984350</v>
      </c>
      <c r="M779">
        <v>242662818358</v>
      </c>
      <c r="N779">
        <v>233889224900</v>
      </c>
      <c r="O779">
        <v>225115631443</v>
      </c>
      <c r="P779">
        <v>216342037987</v>
      </c>
      <c r="Q779">
        <v>207568444526</v>
      </c>
      <c r="R779">
        <v>198794851068</v>
      </c>
    </row>
    <row r="780" spans="1:18" x14ac:dyDescent="0.35">
      <c r="A780" t="s">
        <v>1942</v>
      </c>
      <c r="B780" t="s">
        <v>64</v>
      </c>
      <c r="C780">
        <v>10154103605126</v>
      </c>
      <c r="D780">
        <v>10723835855705</v>
      </c>
      <c r="E780">
        <v>12577126821761</v>
      </c>
      <c r="F780">
        <v>15036740619475</v>
      </c>
      <c r="G780">
        <v>17797893726342</v>
      </c>
      <c r="H780">
        <v>18796445976943</v>
      </c>
      <c r="I780">
        <v>19169516627449</v>
      </c>
      <c r="J780">
        <v>19686662288448</v>
      </c>
      <c r="K780">
        <v>21276805185640</v>
      </c>
      <c r="L780">
        <v>21604468712273</v>
      </c>
      <c r="M780">
        <v>20717955092853</v>
      </c>
      <c r="N780">
        <v>19716755862904</v>
      </c>
      <c r="O780">
        <v>19805638812822</v>
      </c>
      <c r="P780">
        <v>20224903860978</v>
      </c>
      <c r="Q780">
        <v>20414554443600</v>
      </c>
      <c r="R780">
        <v>21451565774319</v>
      </c>
    </row>
    <row r="781" spans="1:18" x14ac:dyDescent="0.35">
      <c r="A781" t="s">
        <v>1942</v>
      </c>
      <c r="B781" t="s">
        <v>65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8" x14ac:dyDescent="0.35">
      <c r="A782" t="s">
        <v>1942</v>
      </c>
      <c r="B782" t="s">
        <v>66</v>
      </c>
      <c r="C782">
        <v>5491429611690</v>
      </c>
      <c r="D782">
        <v>5961210277344</v>
      </c>
      <c r="E782">
        <v>7425038081711</v>
      </c>
      <c r="F782">
        <v>9721479190029</v>
      </c>
      <c r="G782">
        <v>11762677215936</v>
      </c>
      <c r="H782">
        <v>12515687856235</v>
      </c>
      <c r="I782">
        <v>12735329332279</v>
      </c>
      <c r="J782">
        <v>13185979884032</v>
      </c>
      <c r="K782">
        <v>14726004557963</v>
      </c>
      <c r="L782">
        <v>14542563860516</v>
      </c>
      <c r="M782">
        <v>13481010757668</v>
      </c>
      <c r="N782">
        <v>12664696441877</v>
      </c>
      <c r="O782">
        <v>12669506268900</v>
      </c>
      <c r="P782">
        <v>12957496500100</v>
      </c>
      <c r="Q782">
        <v>13059873005138</v>
      </c>
      <c r="R782">
        <v>14037493904160</v>
      </c>
    </row>
    <row r="783" spans="1:18" x14ac:dyDescent="0.35">
      <c r="A783" t="s">
        <v>1942</v>
      </c>
      <c r="B783" t="s">
        <v>67</v>
      </c>
      <c r="C783">
        <v>3312696561700</v>
      </c>
      <c r="D783">
        <v>3743512625911</v>
      </c>
      <c r="E783">
        <v>5246179557649</v>
      </c>
      <c r="F783">
        <v>7506261641809</v>
      </c>
      <c r="G783">
        <v>6245793472187</v>
      </c>
      <c r="H783">
        <v>5885293582667</v>
      </c>
      <c r="I783">
        <v>5349126534709</v>
      </c>
      <c r="J783">
        <v>5002010444782</v>
      </c>
      <c r="K783">
        <v>6180404354469</v>
      </c>
      <c r="L783">
        <v>5953193801380</v>
      </c>
      <c r="M783">
        <v>4918369269466</v>
      </c>
      <c r="N783">
        <v>4192186346762</v>
      </c>
      <c r="O783">
        <v>4195775347830</v>
      </c>
      <c r="P783">
        <v>4708675052452</v>
      </c>
      <c r="Q783">
        <v>5014129605693</v>
      </c>
      <c r="R783">
        <v>5856004540987</v>
      </c>
    </row>
    <row r="784" spans="1:18" x14ac:dyDescent="0.35">
      <c r="A784" t="s">
        <v>1942</v>
      </c>
      <c r="B784" t="s">
        <v>68</v>
      </c>
      <c r="C784">
        <v>937390859452</v>
      </c>
      <c r="D784">
        <v>1099193887656</v>
      </c>
      <c r="E784">
        <v>1834011411710</v>
      </c>
      <c r="F784">
        <v>2436757912503</v>
      </c>
      <c r="G784">
        <v>2680145464119</v>
      </c>
      <c r="H784">
        <v>1758606033649</v>
      </c>
      <c r="I784">
        <v>1101948580527</v>
      </c>
      <c r="J784">
        <v>912545990325</v>
      </c>
      <c r="K784">
        <v>1721633527972</v>
      </c>
      <c r="L784">
        <v>1292787052176</v>
      </c>
      <c r="M784">
        <v>997546216785</v>
      </c>
      <c r="N784">
        <v>964516629962</v>
      </c>
      <c r="O784">
        <v>887394986242</v>
      </c>
      <c r="P784">
        <v>1048905214270</v>
      </c>
      <c r="Q784">
        <v>876311533561</v>
      </c>
      <c r="R784">
        <v>1043043150712</v>
      </c>
    </row>
    <row r="785" spans="1:18" x14ac:dyDescent="0.35">
      <c r="A785" t="s">
        <v>1942</v>
      </c>
      <c r="B785" t="s">
        <v>69</v>
      </c>
      <c r="C785">
        <v>259198912947</v>
      </c>
      <c r="D785">
        <v>485944936229</v>
      </c>
      <c r="E785">
        <v>431712568252</v>
      </c>
      <c r="F785">
        <v>150554026269</v>
      </c>
      <c r="G785">
        <v>77604128056</v>
      </c>
      <c r="H785">
        <v>61596793438</v>
      </c>
      <c r="I785">
        <v>158527870646</v>
      </c>
      <c r="J785">
        <v>261026918148</v>
      </c>
      <c r="K785">
        <v>372465624106</v>
      </c>
      <c r="L785">
        <v>319271782665</v>
      </c>
      <c r="M785">
        <v>270267270826</v>
      </c>
      <c r="N785">
        <v>231769724266</v>
      </c>
      <c r="O785">
        <v>269350342006</v>
      </c>
      <c r="P785">
        <v>137432377067</v>
      </c>
      <c r="Q785">
        <v>235766628758</v>
      </c>
      <c r="R785">
        <v>183585018855</v>
      </c>
    </row>
    <row r="786" spans="1:18" x14ac:dyDescent="0.35">
      <c r="A786" t="s">
        <v>1942</v>
      </c>
      <c r="B786" t="s">
        <v>70</v>
      </c>
      <c r="C786">
        <v>108023036336</v>
      </c>
      <c r="D786">
        <v>140384040345</v>
      </c>
      <c r="E786">
        <v>47258411707</v>
      </c>
      <c r="F786">
        <v>101092025730</v>
      </c>
      <c r="G786">
        <v>74200261882</v>
      </c>
      <c r="H786">
        <v>49300193422</v>
      </c>
      <c r="I786">
        <v>42026393396</v>
      </c>
      <c r="J786">
        <v>63262392676</v>
      </c>
      <c r="K786">
        <v>151298480977</v>
      </c>
      <c r="L786">
        <v>102862988046</v>
      </c>
      <c r="M786">
        <v>17866973497</v>
      </c>
      <c r="N786">
        <v>67207984111</v>
      </c>
      <c r="O786">
        <v>168151706582</v>
      </c>
      <c r="P786">
        <v>133636716454</v>
      </c>
      <c r="Q786">
        <v>138344731690</v>
      </c>
      <c r="R786">
        <v>659381559750</v>
      </c>
    </row>
    <row r="787" spans="1:18" x14ac:dyDescent="0.35">
      <c r="A787" t="s">
        <v>1942</v>
      </c>
      <c r="B787" t="s">
        <v>71</v>
      </c>
      <c r="C787">
        <v>46557391485</v>
      </c>
      <c r="D787">
        <v>80498530351</v>
      </c>
      <c r="E787">
        <v>54166598678</v>
      </c>
      <c r="F787">
        <v>81319359270</v>
      </c>
      <c r="G787">
        <v>69948162960</v>
      </c>
      <c r="H787">
        <v>74203905932</v>
      </c>
      <c r="I787">
        <v>26898843596</v>
      </c>
      <c r="J787">
        <v>45090967604</v>
      </c>
      <c r="K787">
        <v>37904858818</v>
      </c>
      <c r="L787">
        <v>51015180743</v>
      </c>
      <c r="M787">
        <v>25645051369</v>
      </c>
      <c r="N787">
        <v>28093273641</v>
      </c>
      <c r="O787">
        <v>31056115416</v>
      </c>
      <c r="P787">
        <v>60056591855</v>
      </c>
      <c r="Q787">
        <v>44254016818</v>
      </c>
      <c r="R787">
        <v>77924903039</v>
      </c>
    </row>
    <row r="788" spans="1:18" x14ac:dyDescent="0.35">
      <c r="A788" t="s">
        <v>1942</v>
      </c>
      <c r="B788" t="s">
        <v>72</v>
      </c>
      <c r="C788">
        <v>252106599685</v>
      </c>
      <c r="D788">
        <v>177091105618</v>
      </c>
      <c r="E788">
        <v>151121875808</v>
      </c>
      <c r="F788">
        <v>156702020214</v>
      </c>
      <c r="G788">
        <v>507039689112</v>
      </c>
      <c r="H788">
        <v>908093783654</v>
      </c>
      <c r="I788">
        <v>816486473937</v>
      </c>
      <c r="J788">
        <v>655531776563</v>
      </c>
      <c r="K788">
        <v>497206977953</v>
      </c>
      <c r="L788">
        <v>325091176983</v>
      </c>
      <c r="M788">
        <v>326338542159</v>
      </c>
      <c r="N788">
        <v>196543581732</v>
      </c>
      <c r="O788">
        <v>249256154803</v>
      </c>
      <c r="P788">
        <v>191532427985</v>
      </c>
      <c r="Q788">
        <v>266929441558</v>
      </c>
      <c r="R788">
        <v>114136702490</v>
      </c>
    </row>
    <row r="789" spans="1:18" x14ac:dyDescent="0.35">
      <c r="A789" t="s">
        <v>1942</v>
      </c>
      <c r="B789" t="s">
        <v>73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8" x14ac:dyDescent="0.35">
      <c r="A790" t="s">
        <v>1942</v>
      </c>
      <c r="B790" t="s">
        <v>74</v>
      </c>
      <c r="C790">
        <v>0</v>
      </c>
      <c r="D790">
        <v>0</v>
      </c>
      <c r="E790">
        <v>4374302604</v>
      </c>
      <c r="F790">
        <v>67723828591</v>
      </c>
      <c r="G790">
        <v>405017193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Q790">
        <v>9924784400</v>
      </c>
    </row>
    <row r="791" spans="1:18" x14ac:dyDescent="0.35">
      <c r="A791" t="s">
        <v>1942</v>
      </c>
      <c r="B791" t="s">
        <v>75</v>
      </c>
      <c r="C791">
        <v>820267142</v>
      </c>
      <c r="D791">
        <v>852893750</v>
      </c>
      <c r="E791">
        <v>1521886470</v>
      </c>
      <c r="F791">
        <v>1632222383</v>
      </c>
      <c r="G791">
        <v>13840544626</v>
      </c>
      <c r="H791">
        <v>1297510973</v>
      </c>
      <c r="I791">
        <v>926736309</v>
      </c>
      <c r="J791">
        <v>914812340</v>
      </c>
      <c r="K791">
        <v>1294103253</v>
      </c>
      <c r="L791">
        <v>2304080681</v>
      </c>
      <c r="M791">
        <v>2382839350</v>
      </c>
      <c r="N791">
        <v>3879808769</v>
      </c>
      <c r="O791">
        <v>3022190301</v>
      </c>
      <c r="P791">
        <v>5624130692</v>
      </c>
      <c r="Q791">
        <v>5491746024</v>
      </c>
      <c r="R791">
        <v>5331723243</v>
      </c>
    </row>
    <row r="792" spans="1:18" x14ac:dyDescent="0.35">
      <c r="A792" t="s">
        <v>1942</v>
      </c>
      <c r="B792" t="s">
        <v>76</v>
      </c>
      <c r="C792">
        <v>60449704436</v>
      </c>
      <c r="D792">
        <v>56943368664</v>
      </c>
      <c r="E792">
        <v>51408929409</v>
      </c>
      <c r="F792">
        <v>79505862621</v>
      </c>
      <c r="G792">
        <v>92810239375</v>
      </c>
      <c r="H792">
        <v>99136284520</v>
      </c>
      <c r="I792">
        <v>90954537831</v>
      </c>
      <c r="J792">
        <v>63625520434</v>
      </c>
      <c r="K792">
        <v>32690831298</v>
      </c>
      <c r="L792">
        <v>18852771176</v>
      </c>
      <c r="M792">
        <v>24585709918</v>
      </c>
      <c r="N792">
        <v>74965185336</v>
      </c>
      <c r="O792">
        <v>121595650809</v>
      </c>
      <c r="P792">
        <v>95792740514</v>
      </c>
      <c r="Q792">
        <v>119271018991</v>
      </c>
      <c r="R792">
        <v>59549543682</v>
      </c>
    </row>
    <row r="793" spans="1:18" x14ac:dyDescent="0.35">
      <c r="A793" t="s">
        <v>1942</v>
      </c>
      <c r="B793" t="s">
        <v>77</v>
      </c>
      <c r="C793">
        <v>1559505421800</v>
      </c>
      <c r="D793">
        <v>1586448058089</v>
      </c>
      <c r="E793">
        <v>2554337933840</v>
      </c>
      <c r="F793">
        <v>4278113758535</v>
      </c>
      <c r="G793">
        <v>2571993940846</v>
      </c>
      <c r="H793">
        <v>2781375221944</v>
      </c>
      <c r="I793">
        <v>2972426948517</v>
      </c>
      <c r="J793">
        <v>2823513432758</v>
      </c>
      <c r="K793">
        <v>3190015900516</v>
      </c>
      <c r="L793">
        <v>3676380682037</v>
      </c>
      <c r="M793">
        <v>3113029924809</v>
      </c>
      <c r="N793">
        <v>2415469159127</v>
      </c>
      <c r="O793">
        <v>2270677960431</v>
      </c>
      <c r="P793">
        <v>2838478333363</v>
      </c>
      <c r="Q793">
        <v>3131561779605</v>
      </c>
      <c r="R793">
        <v>3521425516552</v>
      </c>
    </row>
    <row r="794" spans="1:18" x14ac:dyDescent="0.35">
      <c r="A794" t="s">
        <v>1942</v>
      </c>
      <c r="B794" t="s">
        <v>78</v>
      </c>
      <c r="C794">
        <v>8133689568</v>
      </c>
      <c r="D794">
        <v>55448200</v>
      </c>
      <c r="E794">
        <v>880806452</v>
      </c>
      <c r="F794">
        <v>5651162421</v>
      </c>
      <c r="G794">
        <v>11481543784</v>
      </c>
      <c r="H794">
        <v>16854596736</v>
      </c>
      <c r="I794">
        <v>19892340633</v>
      </c>
      <c r="J794">
        <v>13602694910</v>
      </c>
      <c r="K794">
        <v>17710584323</v>
      </c>
      <c r="L794">
        <v>18270395918</v>
      </c>
      <c r="M794">
        <v>9225217217</v>
      </c>
      <c r="N794">
        <v>11849353874</v>
      </c>
      <c r="O794">
        <v>9591493129</v>
      </c>
      <c r="P794">
        <v>12523794502</v>
      </c>
      <c r="Q794">
        <v>12362335929</v>
      </c>
      <c r="R794">
        <v>9075283420</v>
      </c>
    </row>
    <row r="795" spans="1:18" x14ac:dyDescent="0.35">
      <c r="A795" t="s">
        <v>1942</v>
      </c>
      <c r="B795" t="s">
        <v>79</v>
      </c>
      <c r="C795">
        <v>80510678849</v>
      </c>
      <c r="D795">
        <v>116100357009</v>
      </c>
      <c r="E795">
        <v>115384832719</v>
      </c>
      <c r="F795">
        <v>147209463272</v>
      </c>
      <c r="G795">
        <v>146324480234</v>
      </c>
      <c r="H795">
        <v>134829258399</v>
      </c>
      <c r="I795">
        <v>119037809317</v>
      </c>
      <c r="J795">
        <v>162895939024</v>
      </c>
      <c r="K795">
        <v>158183465253</v>
      </c>
      <c r="L795">
        <v>146357690955</v>
      </c>
      <c r="M795">
        <v>131481523536</v>
      </c>
      <c r="N795">
        <v>197891645944</v>
      </c>
      <c r="O795">
        <v>185678748111</v>
      </c>
      <c r="P795">
        <v>184692725750</v>
      </c>
      <c r="Q795">
        <v>173911588359</v>
      </c>
      <c r="R795">
        <v>182551139244</v>
      </c>
    </row>
    <row r="796" spans="1:18" x14ac:dyDescent="0.35">
      <c r="A796" t="s">
        <v>1942</v>
      </c>
      <c r="B796" t="s">
        <v>80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8" x14ac:dyDescent="0.35">
      <c r="A797" t="s">
        <v>1942</v>
      </c>
      <c r="B797" t="s">
        <v>81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8" x14ac:dyDescent="0.35">
      <c r="A798" t="s">
        <v>1942</v>
      </c>
      <c r="B798" t="s">
        <v>82</v>
      </c>
      <c r="C798">
        <v>2178733049990</v>
      </c>
      <c r="D798">
        <v>2217697651433</v>
      </c>
      <c r="E798">
        <v>2178858524062</v>
      </c>
      <c r="F798">
        <v>2215217548220</v>
      </c>
      <c r="G798">
        <v>5516883743749</v>
      </c>
      <c r="H798">
        <v>6630394273568</v>
      </c>
      <c r="I798">
        <v>7386202797570</v>
      </c>
      <c r="J798">
        <v>8183969439250</v>
      </c>
      <c r="K798">
        <v>8545600203494</v>
      </c>
      <c r="L798">
        <v>8589370059136</v>
      </c>
      <c r="M798">
        <v>8562641488202</v>
      </c>
      <c r="N798">
        <v>8472510095115</v>
      </c>
      <c r="O798">
        <v>8473730921070</v>
      </c>
      <c r="P798">
        <v>8248821447648</v>
      </c>
      <c r="Q798">
        <v>8045743399445</v>
      </c>
      <c r="R798">
        <v>8181489363173</v>
      </c>
    </row>
    <row r="799" spans="1:18" x14ac:dyDescent="0.35">
      <c r="A799" t="s">
        <v>1942</v>
      </c>
      <c r="B799" t="s">
        <v>83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8" x14ac:dyDescent="0.35">
      <c r="A800" t="s">
        <v>1942</v>
      </c>
      <c r="B800" t="s">
        <v>84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8" x14ac:dyDescent="0.35">
      <c r="A801" t="s">
        <v>1942</v>
      </c>
      <c r="B801" t="s">
        <v>85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8" x14ac:dyDescent="0.35">
      <c r="A802" t="s">
        <v>1942</v>
      </c>
      <c r="B802" t="s">
        <v>86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8" x14ac:dyDescent="0.35">
      <c r="A803" t="s">
        <v>1942</v>
      </c>
      <c r="B803" t="s">
        <v>87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8" x14ac:dyDescent="0.35">
      <c r="A804" t="s">
        <v>1942</v>
      </c>
      <c r="B804" t="s">
        <v>88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459722104</v>
      </c>
      <c r="J804">
        <v>459722104</v>
      </c>
      <c r="K804">
        <v>0</v>
      </c>
      <c r="L804">
        <v>0</v>
      </c>
      <c r="M804">
        <v>0</v>
      </c>
      <c r="N804">
        <v>0</v>
      </c>
      <c r="O804">
        <v>1254038032</v>
      </c>
      <c r="Q804">
        <v>926919632</v>
      </c>
      <c r="R804">
        <v>807875560</v>
      </c>
    </row>
    <row r="805" spans="1:18" x14ac:dyDescent="0.35">
      <c r="A805" t="s">
        <v>1942</v>
      </c>
      <c r="B805" t="s">
        <v>89</v>
      </c>
      <c r="C805">
        <v>2938933172</v>
      </c>
      <c r="D805">
        <v>4062168223</v>
      </c>
      <c r="E805">
        <v>1295461443</v>
      </c>
      <c r="F805">
        <v>2742379012</v>
      </c>
      <c r="G805">
        <v>1420857318</v>
      </c>
      <c r="H805">
        <v>5193006735</v>
      </c>
      <c r="I805">
        <v>5025754030</v>
      </c>
      <c r="J805">
        <v>5678913621</v>
      </c>
      <c r="K805">
        <v>6285907812</v>
      </c>
      <c r="L805">
        <v>11393027088</v>
      </c>
      <c r="M805">
        <v>13866279152</v>
      </c>
      <c r="N805">
        <v>13544680937</v>
      </c>
      <c r="O805">
        <v>11404819070</v>
      </c>
      <c r="P805">
        <v>10813241988</v>
      </c>
      <c r="Q805">
        <v>10678706336</v>
      </c>
      <c r="R805">
        <v>11352399375</v>
      </c>
    </row>
    <row r="806" spans="1:18" x14ac:dyDescent="0.35">
      <c r="A806" t="s">
        <v>1942</v>
      </c>
      <c r="B806" t="s">
        <v>90</v>
      </c>
      <c r="C806">
        <v>2146981917373</v>
      </c>
      <c r="D806">
        <v>2171328298868</v>
      </c>
      <c r="E806">
        <v>2144519189586</v>
      </c>
      <c r="F806">
        <v>2188143699027</v>
      </c>
      <c r="G806">
        <v>5214872935585</v>
      </c>
      <c r="H806">
        <v>6255744683513</v>
      </c>
      <c r="I806">
        <v>7042930188324</v>
      </c>
      <c r="J806">
        <v>7846029884848</v>
      </c>
      <c r="K806">
        <v>8248132517235</v>
      </c>
      <c r="L806">
        <v>8284186339230</v>
      </c>
      <c r="M806">
        <v>8218468327303</v>
      </c>
      <c r="N806">
        <v>8132209237119</v>
      </c>
      <c r="O806">
        <v>8129385113960</v>
      </c>
      <c r="P806">
        <v>7902006174976</v>
      </c>
      <c r="Q806">
        <v>7701116579805</v>
      </c>
      <c r="R806">
        <v>7832002799687</v>
      </c>
    </row>
    <row r="807" spans="1:18" x14ac:dyDescent="0.35">
      <c r="A807" t="s">
        <v>1942</v>
      </c>
      <c r="B807" t="s">
        <v>91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8" x14ac:dyDescent="0.35">
      <c r="A808" t="s">
        <v>1942</v>
      </c>
      <c r="B808" t="s">
        <v>92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8" x14ac:dyDescent="0.35">
      <c r="A809" t="s">
        <v>1942</v>
      </c>
      <c r="B809" t="s">
        <v>93</v>
      </c>
      <c r="C809">
        <v>18199705391</v>
      </c>
      <c r="D809">
        <v>14586747574</v>
      </c>
      <c r="E809">
        <v>13501057006</v>
      </c>
      <c r="F809">
        <v>1536975064</v>
      </c>
      <c r="G809">
        <v>278970077981</v>
      </c>
      <c r="H809">
        <v>331830817364</v>
      </c>
      <c r="I809">
        <v>302995773478</v>
      </c>
      <c r="J809">
        <v>292900194908</v>
      </c>
      <c r="K809">
        <v>263020777422</v>
      </c>
      <c r="L809">
        <v>277397703686</v>
      </c>
      <c r="M809">
        <v>312964641166</v>
      </c>
      <c r="N809">
        <v>309533528861</v>
      </c>
      <c r="O809">
        <v>308444265428</v>
      </c>
      <c r="P809">
        <v>304987539038</v>
      </c>
      <c r="Q809">
        <v>302074539045</v>
      </c>
      <c r="R809">
        <v>298851398358</v>
      </c>
    </row>
    <row r="810" spans="1:18" x14ac:dyDescent="0.35">
      <c r="A810" t="s">
        <v>1942</v>
      </c>
      <c r="B810" t="s">
        <v>94</v>
      </c>
      <c r="C810">
        <v>10612494054</v>
      </c>
      <c r="D810">
        <v>27720436768</v>
      </c>
      <c r="E810">
        <v>19542816027</v>
      </c>
      <c r="F810">
        <v>22794495117</v>
      </c>
      <c r="G810">
        <v>21619872865</v>
      </c>
      <c r="H810">
        <v>37625765956</v>
      </c>
      <c r="I810">
        <v>34791359634</v>
      </c>
      <c r="J810">
        <v>38900723769</v>
      </c>
      <c r="K810">
        <v>28161001025</v>
      </c>
      <c r="L810">
        <v>16392989132</v>
      </c>
      <c r="M810">
        <v>17342240581</v>
      </c>
      <c r="N810">
        <v>17222648198</v>
      </c>
      <c r="O810">
        <v>23242684580</v>
      </c>
      <c r="P810">
        <v>31014491646</v>
      </c>
      <c r="Q810">
        <v>30946654627</v>
      </c>
      <c r="R810">
        <v>38474890193</v>
      </c>
    </row>
    <row r="811" spans="1:18" x14ac:dyDescent="0.35">
      <c r="A811" t="s">
        <v>1942</v>
      </c>
      <c r="B811" t="s">
        <v>95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8" x14ac:dyDescent="0.35">
      <c r="A812" t="s">
        <v>1942</v>
      </c>
      <c r="B812" t="s">
        <v>96</v>
      </c>
      <c r="C812">
        <v>4662673993436</v>
      </c>
      <c r="D812">
        <v>4762625578361</v>
      </c>
      <c r="E812">
        <v>5152088740050</v>
      </c>
      <c r="F812">
        <v>5315261429446</v>
      </c>
      <c r="G812">
        <v>6035216510406</v>
      </c>
      <c r="H812">
        <v>6280758120708</v>
      </c>
      <c r="I812">
        <v>6434187295170</v>
      </c>
      <c r="J812">
        <v>6500682404416</v>
      </c>
      <c r="K812">
        <v>6550800627677</v>
      </c>
      <c r="L812">
        <v>7061904851757</v>
      </c>
      <c r="M812">
        <v>7236944335185</v>
      </c>
      <c r="N812">
        <v>7052059421027</v>
      </c>
      <c r="O812">
        <v>7136132543922</v>
      </c>
      <c r="P812">
        <v>7267407360878</v>
      </c>
      <c r="Q812">
        <v>7354681438462</v>
      </c>
      <c r="R812">
        <v>7414071870159</v>
      </c>
    </row>
    <row r="813" spans="1:18" x14ac:dyDescent="0.35">
      <c r="A813" t="s">
        <v>1942</v>
      </c>
      <c r="B813" t="s">
        <v>97</v>
      </c>
      <c r="C813">
        <v>4662673993436</v>
      </c>
      <c r="D813">
        <v>4762625578361</v>
      </c>
      <c r="E813">
        <v>5152088740050</v>
      </c>
      <c r="F813">
        <v>5315261429446</v>
      </c>
      <c r="G813">
        <v>6035216510406</v>
      </c>
      <c r="H813">
        <v>6280758120708</v>
      </c>
      <c r="I813">
        <v>6434187295170</v>
      </c>
      <c r="J813">
        <v>6500682404416</v>
      </c>
      <c r="K813">
        <v>6550800627677</v>
      </c>
      <c r="L813">
        <v>7061904851757</v>
      </c>
      <c r="M813">
        <v>7236944335185</v>
      </c>
      <c r="N813">
        <v>7052059421027</v>
      </c>
      <c r="O813">
        <v>7136132543922</v>
      </c>
      <c r="P813">
        <v>7267407360878</v>
      </c>
      <c r="Q813">
        <v>7354681438462</v>
      </c>
      <c r="R813">
        <v>7414071870159</v>
      </c>
    </row>
    <row r="814" spans="1:18" x14ac:dyDescent="0.35">
      <c r="A814" t="s">
        <v>1942</v>
      </c>
      <c r="B814" t="s">
        <v>98</v>
      </c>
      <c r="C814">
        <v>1593242660000</v>
      </c>
      <c r="D814">
        <v>1911881590000</v>
      </c>
      <c r="E814">
        <v>1911881590000</v>
      </c>
      <c r="F814">
        <v>1911881590000</v>
      </c>
      <c r="G814">
        <v>1911881590000</v>
      </c>
      <c r="H814">
        <v>2351596490000</v>
      </c>
      <c r="I814">
        <v>2351596490000</v>
      </c>
      <c r="J814">
        <v>2351596490000</v>
      </c>
      <c r="K814">
        <v>2351596490000</v>
      </c>
      <c r="L814">
        <v>2704330020000</v>
      </c>
      <c r="M814">
        <v>2704330020000</v>
      </c>
      <c r="N814">
        <v>2704330020000</v>
      </c>
      <c r="O814">
        <v>2704330020000</v>
      </c>
      <c r="P814">
        <v>3109955580000</v>
      </c>
      <c r="Q814">
        <v>3109955580000</v>
      </c>
      <c r="R814">
        <v>3109955580000</v>
      </c>
    </row>
    <row r="815" spans="1:18" x14ac:dyDescent="0.35">
      <c r="A815" t="s">
        <v>1942</v>
      </c>
      <c r="B815" t="s">
        <v>99</v>
      </c>
      <c r="C815">
        <v>1593242660000</v>
      </c>
      <c r="D815">
        <v>1911881590000</v>
      </c>
      <c r="E815">
        <v>1911881590000</v>
      </c>
      <c r="F815">
        <v>1911881590000</v>
      </c>
      <c r="G815">
        <v>1911881590000</v>
      </c>
      <c r="H815">
        <v>2351596490000</v>
      </c>
      <c r="I815">
        <v>2351596490000</v>
      </c>
      <c r="J815">
        <v>2351596490000</v>
      </c>
      <c r="K815">
        <v>2351596490000</v>
      </c>
      <c r="L815">
        <v>2704330020000</v>
      </c>
      <c r="M815">
        <v>2704330020000</v>
      </c>
      <c r="N815">
        <v>2704330020000</v>
      </c>
      <c r="O815">
        <v>2704330020000</v>
      </c>
      <c r="P815">
        <v>3109955580000</v>
      </c>
      <c r="Q815">
        <v>3109955580000</v>
      </c>
      <c r="R815">
        <v>3109955580000</v>
      </c>
    </row>
    <row r="816" spans="1:18" x14ac:dyDescent="0.35">
      <c r="A816" t="s">
        <v>1942</v>
      </c>
      <c r="B816" t="s">
        <v>100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2351596490000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8" x14ac:dyDescent="0.35">
      <c r="A817" t="s">
        <v>1942</v>
      </c>
      <c r="B817" t="s">
        <v>101</v>
      </c>
      <c r="C817">
        <v>711136556786</v>
      </c>
      <c r="D817">
        <v>711136556786</v>
      </c>
      <c r="E817">
        <v>711136556786</v>
      </c>
      <c r="F817">
        <v>711136556786</v>
      </c>
      <c r="G817">
        <v>711136556786</v>
      </c>
      <c r="H817">
        <v>711136556786</v>
      </c>
      <c r="I817">
        <v>711136556786</v>
      </c>
      <c r="J817">
        <v>711136556786</v>
      </c>
      <c r="K817">
        <v>711136556786</v>
      </c>
      <c r="L817">
        <v>711136556786</v>
      </c>
      <c r="M817">
        <v>711136556786</v>
      </c>
      <c r="N817">
        <v>711136556786</v>
      </c>
      <c r="O817">
        <v>711136556786</v>
      </c>
      <c r="P817">
        <v>711136556786</v>
      </c>
      <c r="Q817">
        <v>711136556786</v>
      </c>
      <c r="R817">
        <v>711136556786</v>
      </c>
    </row>
    <row r="818" spans="1:18" x14ac:dyDescent="0.35">
      <c r="A818" t="s">
        <v>1942</v>
      </c>
      <c r="B818" t="s">
        <v>102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8" x14ac:dyDescent="0.35">
      <c r="A819" t="s">
        <v>1942</v>
      </c>
      <c r="B819" t="s">
        <v>103</v>
      </c>
      <c r="C819">
        <v>22906800000</v>
      </c>
      <c r="D819">
        <v>22906800000</v>
      </c>
      <c r="E819">
        <v>22906800000</v>
      </c>
      <c r="F819">
        <v>22906800000</v>
      </c>
      <c r="G819">
        <v>22906800000</v>
      </c>
      <c r="H819">
        <v>22906800000</v>
      </c>
      <c r="I819">
        <v>22906800000</v>
      </c>
      <c r="J819">
        <v>29026800000</v>
      </c>
      <c r="K819">
        <v>29026800000</v>
      </c>
      <c r="L819">
        <v>29026800000</v>
      </c>
      <c r="M819">
        <v>29026800000</v>
      </c>
      <c r="N819">
        <v>41741483442</v>
      </c>
      <c r="O819">
        <v>46847073442</v>
      </c>
      <c r="P819">
        <v>46847073442</v>
      </c>
      <c r="Q819">
        <v>46847073442</v>
      </c>
      <c r="R819">
        <v>50847073442</v>
      </c>
    </row>
    <row r="820" spans="1:18" x14ac:dyDescent="0.35">
      <c r="A820" t="s">
        <v>1942</v>
      </c>
      <c r="B820" t="s">
        <v>104</v>
      </c>
      <c r="C820">
        <v>-4320000</v>
      </c>
      <c r="D820">
        <v>-4320000</v>
      </c>
      <c r="E820">
        <v>-4320000</v>
      </c>
      <c r="F820">
        <v>-4320000</v>
      </c>
      <c r="G820">
        <v>-4320000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8" x14ac:dyDescent="0.35">
      <c r="A821" t="s">
        <v>1942</v>
      </c>
      <c r="B821" t="s">
        <v>105</v>
      </c>
      <c r="C821">
        <v>708285511</v>
      </c>
      <c r="D821">
        <v>708285511</v>
      </c>
      <c r="E821">
        <v>708285511</v>
      </c>
      <c r="F821">
        <v>708285511</v>
      </c>
      <c r="G821">
        <v>708285511</v>
      </c>
      <c r="H821">
        <v>708285511</v>
      </c>
      <c r="I821">
        <v>708285511</v>
      </c>
      <c r="J821">
        <v>708285511</v>
      </c>
      <c r="K821">
        <v>708285511</v>
      </c>
      <c r="L821">
        <v>708285511</v>
      </c>
      <c r="M821">
        <v>708285511</v>
      </c>
      <c r="N821">
        <v>708285511</v>
      </c>
      <c r="O821">
        <v>708285511</v>
      </c>
      <c r="P821">
        <v>708285511</v>
      </c>
      <c r="Q821">
        <v>708285511</v>
      </c>
      <c r="R821">
        <v>708285511</v>
      </c>
    </row>
    <row r="822" spans="1:18" x14ac:dyDescent="0.35">
      <c r="A822" t="s">
        <v>1942</v>
      </c>
      <c r="B822" t="s">
        <v>106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-117800900</v>
      </c>
      <c r="M822">
        <v>-127053330</v>
      </c>
      <c r="N822">
        <v>-116293034</v>
      </c>
      <c r="O822">
        <v>163200547</v>
      </c>
      <c r="P822">
        <v>105169358</v>
      </c>
      <c r="Q822">
        <v>238197641</v>
      </c>
      <c r="R822">
        <v>249062840</v>
      </c>
    </row>
    <row r="823" spans="1:18" x14ac:dyDescent="0.35">
      <c r="A823" t="s">
        <v>1942</v>
      </c>
      <c r="B823" t="s">
        <v>107</v>
      </c>
      <c r="C823">
        <v>130531310146</v>
      </c>
      <c r="D823">
        <v>166993891620</v>
      </c>
      <c r="E823">
        <v>195594928331</v>
      </c>
      <c r="F823">
        <v>243445744011</v>
      </c>
      <c r="G823">
        <v>244277285640</v>
      </c>
      <c r="H823">
        <v>244289305040</v>
      </c>
      <c r="I823">
        <v>244317803182</v>
      </c>
      <c r="J823">
        <v>245101256700</v>
      </c>
      <c r="K823">
        <v>260647517951</v>
      </c>
      <c r="L823">
        <v>261072092951</v>
      </c>
      <c r="M823">
        <v>261148870470</v>
      </c>
      <c r="N823">
        <v>292725159814</v>
      </c>
      <c r="O823">
        <v>292725159814</v>
      </c>
      <c r="P823">
        <v>292725159814</v>
      </c>
      <c r="Q823">
        <v>292999286327</v>
      </c>
      <c r="R823">
        <v>287999286327</v>
      </c>
    </row>
    <row r="824" spans="1:18" x14ac:dyDescent="0.35">
      <c r="A824" t="s">
        <v>1942</v>
      </c>
      <c r="B824" t="s">
        <v>108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8" x14ac:dyDescent="0.35">
      <c r="A825" t="s">
        <v>1942</v>
      </c>
      <c r="B825" t="s">
        <v>109</v>
      </c>
      <c r="C825">
        <v>47376471852</v>
      </c>
      <c r="D825">
        <v>65266052360</v>
      </c>
      <c r="E825">
        <v>65266052360</v>
      </c>
      <c r="F825">
        <v>65313759426</v>
      </c>
      <c r="G825">
        <v>65313759426</v>
      </c>
      <c r="H825">
        <v>65313759426</v>
      </c>
      <c r="I825">
        <v>65313759426</v>
      </c>
      <c r="J825">
        <v>65418160381</v>
      </c>
      <c r="K825">
        <v>65418160381</v>
      </c>
      <c r="L825">
        <v>65418160381</v>
      </c>
      <c r="M825">
        <v>65418160381</v>
      </c>
      <c r="N825">
        <v>65403533120</v>
      </c>
      <c r="O825">
        <v>65403533120</v>
      </c>
      <c r="P825">
        <v>65403533120</v>
      </c>
      <c r="Q825">
        <v>65403533120</v>
      </c>
      <c r="R825">
        <v>65403533120</v>
      </c>
    </row>
    <row r="826" spans="1:18" x14ac:dyDescent="0.35">
      <c r="A826" t="s">
        <v>1942</v>
      </c>
      <c r="B826" t="s">
        <v>110</v>
      </c>
      <c r="C826">
        <v>1378215696980</v>
      </c>
      <c r="D826">
        <v>1101651998125</v>
      </c>
      <c r="E826">
        <v>1153632648792</v>
      </c>
      <c r="F826">
        <v>1202379911049</v>
      </c>
      <c r="G826">
        <v>1541861653765</v>
      </c>
      <c r="H826">
        <v>1299675445843</v>
      </c>
      <c r="I826">
        <v>2876764935120</v>
      </c>
      <c r="J826">
        <v>1455956316505</v>
      </c>
      <c r="K826">
        <v>1503592084696</v>
      </c>
      <c r="L826">
        <v>1337384878738</v>
      </c>
      <c r="M826">
        <v>1359041516082</v>
      </c>
      <c r="N826">
        <v>1217692826389</v>
      </c>
      <c r="O826">
        <v>1289251044432</v>
      </c>
      <c r="P826">
        <v>955922483366</v>
      </c>
      <c r="Q826">
        <v>1036075111598</v>
      </c>
      <c r="R826">
        <v>1086299152053</v>
      </c>
    </row>
    <row r="827" spans="1:18" x14ac:dyDescent="0.35">
      <c r="A827" t="s">
        <v>1942</v>
      </c>
      <c r="B827" t="s">
        <v>111</v>
      </c>
      <c r="C827">
        <v>452383098600</v>
      </c>
      <c r="D827">
        <v>584673131022</v>
      </c>
      <c r="E827">
        <v>78357321761</v>
      </c>
      <c r="F827">
        <v>208983378220</v>
      </c>
      <c r="G827">
        <v>549998875735</v>
      </c>
      <c r="H827">
        <v>691059884737</v>
      </c>
      <c r="I827">
        <v>1438382467560</v>
      </c>
      <c r="J827">
        <v>195946616590</v>
      </c>
      <c r="K827">
        <v>262483170583</v>
      </c>
      <c r="L827">
        <v>889302727832</v>
      </c>
      <c r="M827">
        <v>1344379110929</v>
      </c>
      <c r="N827">
        <v>1229025253986</v>
      </c>
      <c r="O827">
        <v>1223919669272</v>
      </c>
      <c r="P827">
        <v>819716498084</v>
      </c>
      <c r="Q827">
        <v>955524025629</v>
      </c>
      <c r="R827">
        <v>943537629554</v>
      </c>
    </row>
    <row r="828" spans="1:18" x14ac:dyDescent="0.35">
      <c r="A828" t="s">
        <v>1942</v>
      </c>
      <c r="B828" t="s">
        <v>112</v>
      </c>
      <c r="C828">
        <v>925832598380</v>
      </c>
      <c r="D828">
        <v>516978867103</v>
      </c>
      <c r="E828">
        <v>1075275327031</v>
      </c>
      <c r="F828">
        <v>993396532829</v>
      </c>
      <c r="G828">
        <v>991862778030</v>
      </c>
      <c r="H828">
        <v>608615561106</v>
      </c>
      <c r="I828">
        <v>1438382467560</v>
      </c>
      <c r="J828">
        <v>1260009699915</v>
      </c>
      <c r="K828">
        <v>1241108914113</v>
      </c>
      <c r="L828">
        <v>448082150906</v>
      </c>
      <c r="M828">
        <v>14662405153</v>
      </c>
      <c r="N828">
        <v>-11332427597</v>
      </c>
      <c r="O828">
        <v>65331375160</v>
      </c>
      <c r="P828">
        <v>136205985282</v>
      </c>
      <c r="Q828">
        <v>80551085969</v>
      </c>
      <c r="R828">
        <v>142761522499</v>
      </c>
    </row>
    <row r="829" spans="1:18" x14ac:dyDescent="0.35">
      <c r="A829" t="s">
        <v>1942</v>
      </c>
      <c r="B829" t="s">
        <v>113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8" x14ac:dyDescent="0.35">
      <c r="A830" t="s">
        <v>1942</v>
      </c>
      <c r="B830" t="s">
        <v>114</v>
      </c>
      <c r="C830">
        <v>778560532161</v>
      </c>
      <c r="D830">
        <v>782084723959</v>
      </c>
      <c r="E830">
        <v>1090966198270</v>
      </c>
      <c r="F830">
        <v>1157493102663</v>
      </c>
      <c r="G830">
        <v>1537134899278</v>
      </c>
      <c r="H830">
        <v>1585131478102</v>
      </c>
      <c r="I830">
        <v>1599825132705</v>
      </c>
      <c r="J830">
        <v>1641738538533</v>
      </c>
      <c r="K830">
        <v>1628674732352</v>
      </c>
      <c r="L830">
        <v>1952945858290</v>
      </c>
      <c r="M830">
        <v>2106261179285</v>
      </c>
      <c r="N830">
        <v>2018437848999</v>
      </c>
      <c r="O830">
        <v>2025567670270</v>
      </c>
      <c r="P830">
        <v>2084603519481</v>
      </c>
      <c r="Q830">
        <v>2091317814037</v>
      </c>
      <c r="R830">
        <v>2101473340080</v>
      </c>
    </row>
    <row r="831" spans="1:18" x14ac:dyDescent="0.35">
      <c r="A831" t="s">
        <v>1942</v>
      </c>
      <c r="B831" t="s">
        <v>115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8" x14ac:dyDescent="0.35">
      <c r="A832" t="s">
        <v>1942</v>
      </c>
      <c r="B832" t="s">
        <v>116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8" x14ac:dyDescent="0.35">
      <c r="A833" t="s">
        <v>1942</v>
      </c>
      <c r="B833" t="s">
        <v>117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8" x14ac:dyDescent="0.35">
      <c r="A834" t="s">
        <v>1942</v>
      </c>
      <c r="B834" t="s">
        <v>118</v>
      </c>
      <c r="C834">
        <v>10154103605126</v>
      </c>
      <c r="D834">
        <v>10723835855705</v>
      </c>
      <c r="E834">
        <v>12577126821761</v>
      </c>
      <c r="F834">
        <v>15036740619475</v>
      </c>
      <c r="G834">
        <v>17797893726342</v>
      </c>
      <c r="H834">
        <v>18796445976943</v>
      </c>
      <c r="I834">
        <v>19169516627449</v>
      </c>
      <c r="J834">
        <v>19686662288448</v>
      </c>
      <c r="K834">
        <v>21276805185640</v>
      </c>
      <c r="L834">
        <v>21604468712273</v>
      </c>
      <c r="M834">
        <v>20717955092853</v>
      </c>
      <c r="N834">
        <v>19716755862904</v>
      </c>
      <c r="O834">
        <v>19805638812822</v>
      </c>
      <c r="P834">
        <v>20224903860978</v>
      </c>
      <c r="Q834">
        <v>20414554443600</v>
      </c>
      <c r="R834">
        <v>21451565774319</v>
      </c>
    </row>
    <row r="835" spans="1:18" x14ac:dyDescent="0.35">
      <c r="A835" t="s">
        <v>1943</v>
      </c>
      <c r="B835" t="s">
        <v>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8" x14ac:dyDescent="0.35">
      <c r="A836" t="s">
        <v>1943</v>
      </c>
      <c r="B836" t="s">
        <v>7</v>
      </c>
      <c r="C836">
        <v>5809082339976</v>
      </c>
      <c r="D836">
        <v>6013639106954</v>
      </c>
      <c r="E836">
        <v>5968812897468</v>
      </c>
      <c r="F836">
        <v>7083560795664</v>
      </c>
      <c r="G836">
        <v>0</v>
      </c>
      <c r="H836">
        <v>6755532739018</v>
      </c>
      <c r="I836">
        <v>7459877470927</v>
      </c>
      <c r="J836">
        <v>7625310403900</v>
      </c>
      <c r="K836">
        <v>7506675610574</v>
      </c>
      <c r="L836">
        <v>8586476962774</v>
      </c>
      <c r="M836">
        <v>9046535835587</v>
      </c>
      <c r="N836">
        <v>8931147990438</v>
      </c>
      <c r="O836">
        <v>9367076920443</v>
      </c>
      <c r="P836">
        <v>9522301155735</v>
      </c>
      <c r="Q836">
        <v>9985294065762</v>
      </c>
    </row>
    <row r="837" spans="1:18" x14ac:dyDescent="0.35">
      <c r="A837" t="s">
        <v>1943</v>
      </c>
      <c r="B837" t="s">
        <v>8</v>
      </c>
      <c r="C837">
        <v>696804827748</v>
      </c>
      <c r="D837">
        <v>657638665185</v>
      </c>
      <c r="E837">
        <v>1177800418926</v>
      </c>
      <c r="F837">
        <v>2301828977307</v>
      </c>
      <c r="G837">
        <v>0</v>
      </c>
      <c r="H837">
        <v>1830901134902</v>
      </c>
      <c r="I837">
        <v>1776626110212</v>
      </c>
      <c r="J837">
        <v>1607466328995</v>
      </c>
      <c r="K837">
        <v>1061800033013</v>
      </c>
      <c r="L837">
        <v>1151270491294</v>
      </c>
      <c r="M837">
        <v>1395512798370</v>
      </c>
      <c r="N837">
        <v>1620169594145</v>
      </c>
      <c r="O837">
        <v>2085304198461</v>
      </c>
      <c r="P837">
        <v>3022796277503</v>
      </c>
      <c r="Q837">
        <v>3319609374469</v>
      </c>
    </row>
    <row r="838" spans="1:18" x14ac:dyDescent="0.35">
      <c r="A838" t="s">
        <v>1943</v>
      </c>
      <c r="B838" t="s">
        <v>9</v>
      </c>
      <c r="C838">
        <v>269754827748</v>
      </c>
      <c r="D838">
        <v>233964785185</v>
      </c>
      <c r="E838">
        <v>163300418926</v>
      </c>
      <c r="F838">
        <v>827295977307</v>
      </c>
      <c r="G838">
        <v>0</v>
      </c>
      <c r="H838">
        <v>259186839056</v>
      </c>
      <c r="I838">
        <v>257558138729</v>
      </c>
      <c r="J838">
        <v>263766070576</v>
      </c>
      <c r="K838">
        <v>294550033013</v>
      </c>
      <c r="L838">
        <v>457070491294</v>
      </c>
      <c r="M838">
        <v>576612798370</v>
      </c>
      <c r="N838">
        <v>158269594145</v>
      </c>
      <c r="O838">
        <v>330019410177</v>
      </c>
      <c r="P838">
        <v>288382983179</v>
      </c>
      <c r="Q838">
        <v>360229662330</v>
      </c>
    </row>
    <row r="839" spans="1:18" x14ac:dyDescent="0.35">
      <c r="A839" t="s">
        <v>1943</v>
      </c>
      <c r="B839" t="s">
        <v>10</v>
      </c>
      <c r="C839">
        <v>427050000000</v>
      </c>
      <c r="D839">
        <v>423673880000</v>
      </c>
      <c r="E839">
        <v>1014500000000</v>
      </c>
      <c r="F839">
        <v>1474533000000</v>
      </c>
      <c r="G839">
        <v>0</v>
      </c>
      <c r="H839">
        <v>1571714295846</v>
      </c>
      <c r="I839">
        <v>1519067971483</v>
      </c>
      <c r="J839">
        <v>1343700258419</v>
      </c>
      <c r="K839">
        <v>767250000000</v>
      </c>
      <c r="L839">
        <v>694200000000</v>
      </c>
      <c r="M839">
        <v>818900000000</v>
      </c>
      <c r="N839">
        <v>1461900000000</v>
      </c>
      <c r="O839">
        <v>1755284788284</v>
      </c>
      <c r="P839">
        <v>2734413294324</v>
      </c>
      <c r="Q839">
        <v>2959379712139</v>
      </c>
    </row>
    <row r="840" spans="1:18" x14ac:dyDescent="0.35">
      <c r="A840" t="s">
        <v>1943</v>
      </c>
      <c r="B840" t="s">
        <v>11</v>
      </c>
      <c r="C840">
        <v>1207674282801</v>
      </c>
      <c r="D840">
        <v>1328559221660</v>
      </c>
      <c r="E840">
        <v>865891279760</v>
      </c>
      <c r="F840">
        <v>899880457718</v>
      </c>
      <c r="G840">
        <v>0</v>
      </c>
      <c r="H840">
        <v>863912122575</v>
      </c>
      <c r="I840">
        <v>1239184012457</v>
      </c>
      <c r="J840">
        <v>1521644344567</v>
      </c>
      <c r="K840">
        <v>1634634684811</v>
      </c>
      <c r="L840">
        <v>1749361611727</v>
      </c>
      <c r="M840">
        <v>1310184212591</v>
      </c>
      <c r="N840">
        <v>1410207981733</v>
      </c>
      <c r="O840">
        <v>1436290479678</v>
      </c>
      <c r="P840">
        <v>1132366903888</v>
      </c>
      <c r="Q840">
        <v>1259688234197</v>
      </c>
    </row>
    <row r="841" spans="1:18" x14ac:dyDescent="0.35">
      <c r="A841" t="s">
        <v>1943</v>
      </c>
      <c r="B841" t="s">
        <v>12</v>
      </c>
      <c r="C841">
        <v>29471918847</v>
      </c>
      <c r="D841">
        <v>427981930767</v>
      </c>
      <c r="E841">
        <v>118007656247</v>
      </c>
      <c r="F841">
        <v>83168820205</v>
      </c>
      <c r="G841">
        <v>0</v>
      </c>
      <c r="H841">
        <v>72553563045</v>
      </c>
      <c r="I841">
        <v>69366368145</v>
      </c>
      <c r="J841">
        <v>119680873025</v>
      </c>
      <c r="K841">
        <v>219352825145</v>
      </c>
      <c r="L841">
        <v>789692824953</v>
      </c>
      <c r="M841">
        <v>735999587845</v>
      </c>
      <c r="N841">
        <v>933061560987</v>
      </c>
      <c r="O841">
        <v>1047289370932</v>
      </c>
      <c r="P841">
        <v>719448038287</v>
      </c>
      <c r="Q841">
        <v>893816438596</v>
      </c>
    </row>
    <row r="842" spans="1:18" x14ac:dyDescent="0.35">
      <c r="A842" t="s">
        <v>1943</v>
      </c>
      <c r="B842" t="s">
        <v>13</v>
      </c>
      <c r="C842">
        <v>-6960222365</v>
      </c>
      <c r="D842">
        <v>-953161365</v>
      </c>
      <c r="E842">
        <v>-755413365</v>
      </c>
      <c r="F842">
        <v>-766399365</v>
      </c>
      <c r="G842">
        <v>0</v>
      </c>
      <c r="H842">
        <v>-293908798</v>
      </c>
      <c r="I842">
        <v>-293908798</v>
      </c>
      <c r="J842">
        <v>-325639799</v>
      </c>
      <c r="K842">
        <v>-558558798</v>
      </c>
      <c r="L842">
        <v>-802036798</v>
      </c>
      <c r="M842">
        <v>-854966798</v>
      </c>
      <c r="N842">
        <v>-1003170798</v>
      </c>
      <c r="O842">
        <v>-918482798</v>
      </c>
      <c r="P842">
        <v>-823208798</v>
      </c>
      <c r="Q842">
        <v>-770278798</v>
      </c>
    </row>
    <row r="843" spans="1:18" x14ac:dyDescent="0.35">
      <c r="A843" t="s">
        <v>1943</v>
      </c>
      <c r="B843" t="s">
        <v>14</v>
      </c>
      <c r="C843">
        <v>1185162586319</v>
      </c>
      <c r="D843">
        <v>901530452258</v>
      </c>
      <c r="E843">
        <v>748639036878</v>
      </c>
      <c r="F843">
        <v>817478036878</v>
      </c>
      <c r="G843">
        <v>0</v>
      </c>
      <c r="H843">
        <v>791652468328</v>
      </c>
      <c r="I843">
        <v>1170111553110</v>
      </c>
      <c r="J843">
        <v>1402289111341</v>
      </c>
      <c r="K843">
        <v>1415840418464</v>
      </c>
      <c r="L843">
        <v>960470823572</v>
      </c>
      <c r="M843">
        <v>575039591544</v>
      </c>
      <c r="N843">
        <v>478149591544</v>
      </c>
      <c r="O843">
        <v>389919591544</v>
      </c>
      <c r="P843">
        <v>413742074399</v>
      </c>
      <c r="Q843">
        <v>366642074399</v>
      </c>
    </row>
    <row r="844" spans="1:18" x14ac:dyDescent="0.35">
      <c r="A844" t="s">
        <v>1943</v>
      </c>
      <c r="B844" t="s">
        <v>15</v>
      </c>
      <c r="C844">
        <v>2843714200021</v>
      </c>
      <c r="D844">
        <v>3082086528134</v>
      </c>
      <c r="E844">
        <v>2937677687284</v>
      </c>
      <c r="F844">
        <v>2773684720669</v>
      </c>
      <c r="G844">
        <v>0</v>
      </c>
      <c r="H844">
        <v>2985755102581</v>
      </c>
      <c r="I844">
        <v>3277695550804</v>
      </c>
      <c r="J844">
        <v>3220056250343</v>
      </c>
      <c r="K844">
        <v>3288635236369</v>
      </c>
      <c r="L844">
        <v>4012828277938</v>
      </c>
      <c r="M844">
        <v>4697121425211</v>
      </c>
      <c r="N844">
        <v>4291784442129</v>
      </c>
      <c r="O844">
        <v>4296703262058</v>
      </c>
      <c r="P844">
        <v>3777035068930</v>
      </c>
      <c r="Q844">
        <v>3760845189907</v>
      </c>
    </row>
    <row r="845" spans="1:18" x14ac:dyDescent="0.35">
      <c r="A845" t="s">
        <v>1943</v>
      </c>
      <c r="B845" t="s">
        <v>16</v>
      </c>
      <c r="C845">
        <v>1244473041676</v>
      </c>
      <c r="D845">
        <v>1340498275489</v>
      </c>
      <c r="E845">
        <v>1614857342536</v>
      </c>
      <c r="F845">
        <v>1804217454296</v>
      </c>
      <c r="G845">
        <v>0</v>
      </c>
      <c r="H845">
        <v>2025712201362</v>
      </c>
      <c r="I845">
        <v>2357213848519</v>
      </c>
      <c r="J845">
        <v>1815502933990</v>
      </c>
      <c r="K845">
        <v>2023206470996</v>
      </c>
      <c r="L845">
        <v>2664683710391</v>
      </c>
      <c r="M845">
        <v>3442555755546</v>
      </c>
      <c r="N845">
        <v>3446213984076</v>
      </c>
      <c r="O845">
        <v>3271975162515</v>
      </c>
      <c r="P845">
        <v>3381950465871</v>
      </c>
      <c r="Q845">
        <v>3038394642712</v>
      </c>
    </row>
    <row r="846" spans="1:18" x14ac:dyDescent="0.35">
      <c r="A846" t="s">
        <v>1943</v>
      </c>
      <c r="B846" t="s">
        <v>17</v>
      </c>
      <c r="C846">
        <v>662799784375</v>
      </c>
      <c r="D846">
        <v>582919928420</v>
      </c>
      <c r="E846">
        <v>609297973563</v>
      </c>
      <c r="F846">
        <v>467532921911</v>
      </c>
      <c r="G846">
        <v>0</v>
      </c>
      <c r="H846">
        <v>144703089589</v>
      </c>
      <c r="I846">
        <v>214049359714</v>
      </c>
      <c r="J846">
        <v>226479121659</v>
      </c>
      <c r="K846">
        <v>277949699406</v>
      </c>
      <c r="L846">
        <v>299562750913</v>
      </c>
      <c r="M846">
        <v>427259565246</v>
      </c>
      <c r="N846">
        <v>283511894196</v>
      </c>
      <c r="O846">
        <v>283105879197</v>
      </c>
      <c r="P846">
        <v>184191073833</v>
      </c>
      <c r="Q846">
        <v>208970989887</v>
      </c>
    </row>
    <row r="847" spans="1:18" x14ac:dyDescent="0.35">
      <c r="A847" t="s">
        <v>1943</v>
      </c>
      <c r="B847" t="s">
        <v>18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8" x14ac:dyDescent="0.35">
      <c r="A848" t="s">
        <v>1943</v>
      </c>
      <c r="B848" t="s">
        <v>19</v>
      </c>
      <c r="C848">
        <v>463213456175</v>
      </c>
      <c r="D848">
        <v>532717915551</v>
      </c>
      <c r="E848">
        <v>340748348354</v>
      </c>
      <c r="F848">
        <v>384418142514</v>
      </c>
      <c r="G848">
        <v>0</v>
      </c>
      <c r="H848">
        <v>532836195253</v>
      </c>
      <c r="I848">
        <v>383595648976</v>
      </c>
      <c r="J848">
        <v>489532277133</v>
      </c>
      <c r="K848">
        <v>515352207053</v>
      </c>
      <c r="L848">
        <v>566100289760</v>
      </c>
      <c r="M848">
        <v>398812027225</v>
      </c>
      <c r="N848">
        <v>305947400306</v>
      </c>
      <c r="O848">
        <v>504584682397</v>
      </c>
      <c r="P848">
        <v>250774075464</v>
      </c>
      <c r="Q848">
        <v>334218322187</v>
      </c>
    </row>
    <row r="849" spans="1:17" x14ac:dyDescent="0.35">
      <c r="A849" t="s">
        <v>1943</v>
      </c>
      <c r="B849" t="s">
        <v>20</v>
      </c>
      <c r="C849">
        <v>288600000000</v>
      </c>
      <c r="D849">
        <v>466600000000</v>
      </c>
      <c r="E849">
        <v>273000000000</v>
      </c>
      <c r="F849">
        <v>0</v>
      </c>
      <c r="G849">
        <v>0</v>
      </c>
      <c r="H849">
        <v>21000000000</v>
      </c>
      <c r="I849">
        <v>21383880000</v>
      </c>
      <c r="J849">
        <v>61800000000</v>
      </c>
      <c r="K849">
        <v>68800000000</v>
      </c>
      <c r="L849">
        <v>94850000000</v>
      </c>
      <c r="M849">
        <v>73850000000</v>
      </c>
      <c r="N849">
        <v>46875000000</v>
      </c>
      <c r="O849">
        <v>125000000</v>
      </c>
      <c r="P849">
        <v>125000000</v>
      </c>
      <c r="Q849">
        <v>100000000</v>
      </c>
    </row>
    <row r="850" spans="1:17" x14ac:dyDescent="0.35">
      <c r="A850" t="s">
        <v>1943</v>
      </c>
      <c r="B850" t="s">
        <v>21</v>
      </c>
      <c r="C850">
        <v>245964470663</v>
      </c>
      <c r="D850">
        <v>254254415438</v>
      </c>
      <c r="E850">
        <v>194502156595</v>
      </c>
      <c r="F850">
        <v>212755347913</v>
      </c>
      <c r="G850">
        <v>0</v>
      </c>
      <c r="H850">
        <v>380630086855</v>
      </c>
      <c r="I850">
        <v>420089077953</v>
      </c>
      <c r="J850">
        <v>741625697766</v>
      </c>
      <c r="K850">
        <v>517227331699</v>
      </c>
      <c r="L850">
        <v>596161668943</v>
      </c>
      <c r="M850">
        <v>562059220273</v>
      </c>
      <c r="N850">
        <v>468186948546</v>
      </c>
      <c r="O850">
        <v>495254958219</v>
      </c>
      <c r="P850">
        <v>391457521662</v>
      </c>
      <c r="Q850">
        <v>608171919128</v>
      </c>
    </row>
    <row r="851" spans="1:17" x14ac:dyDescent="0.35">
      <c r="A851" t="s">
        <v>1943</v>
      </c>
      <c r="B851" t="s">
        <v>22</v>
      </c>
      <c r="C851">
        <v>-61336552868</v>
      </c>
      <c r="D851">
        <v>-94904006764</v>
      </c>
      <c r="E851">
        <v>-94728133764</v>
      </c>
      <c r="F851">
        <v>-95239145965</v>
      </c>
      <c r="G851">
        <v>0</v>
      </c>
      <c r="H851">
        <v>-119126470478</v>
      </c>
      <c r="I851">
        <v>-118636264358</v>
      </c>
      <c r="J851">
        <v>-114883780205</v>
      </c>
      <c r="K851">
        <v>-113900472785</v>
      </c>
      <c r="L851">
        <v>-208530142069</v>
      </c>
      <c r="M851">
        <v>-207415143079</v>
      </c>
      <c r="N851">
        <v>-258950784995</v>
      </c>
      <c r="O851">
        <v>-258342420270</v>
      </c>
      <c r="P851">
        <v>-431652296755</v>
      </c>
      <c r="Q851">
        <v>-429010684007</v>
      </c>
    </row>
    <row r="852" spans="1:17" x14ac:dyDescent="0.35">
      <c r="A852" t="s">
        <v>1943</v>
      </c>
      <c r="B852" t="s">
        <v>23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P852">
        <v>189228855</v>
      </c>
    </row>
    <row r="853" spans="1:17" x14ac:dyDescent="0.35">
      <c r="A853" t="s">
        <v>1943</v>
      </c>
      <c r="B853" t="s">
        <v>24</v>
      </c>
      <c r="C853">
        <v>953762389570</v>
      </c>
      <c r="D853">
        <v>807507044477</v>
      </c>
      <c r="E853">
        <v>833780267864</v>
      </c>
      <c r="F853">
        <v>898244360911</v>
      </c>
      <c r="G853">
        <v>0</v>
      </c>
      <c r="H853">
        <v>798892271240</v>
      </c>
      <c r="I853">
        <v>910206552576</v>
      </c>
      <c r="J853">
        <v>1019530809821</v>
      </c>
      <c r="K853">
        <v>1254924875614</v>
      </c>
      <c r="L853">
        <v>1421790160972</v>
      </c>
      <c r="M853">
        <v>1412299182963</v>
      </c>
      <c r="N853">
        <v>1384145758550</v>
      </c>
      <c r="O853">
        <v>1328062526120</v>
      </c>
      <c r="P853">
        <v>1353834235393</v>
      </c>
      <c r="Q853">
        <v>1408631830926</v>
      </c>
    </row>
    <row r="854" spans="1:17" x14ac:dyDescent="0.35">
      <c r="A854" t="s">
        <v>1943</v>
      </c>
      <c r="B854" t="s">
        <v>25</v>
      </c>
      <c r="C854">
        <v>967139570848</v>
      </c>
      <c r="D854">
        <v>813557931672</v>
      </c>
      <c r="E854">
        <v>838466739345</v>
      </c>
      <c r="F854">
        <v>902910701175</v>
      </c>
      <c r="G854">
        <v>0</v>
      </c>
      <c r="H854">
        <v>805464106620</v>
      </c>
      <c r="I854">
        <v>916775331859</v>
      </c>
      <c r="J854">
        <v>1025622253004</v>
      </c>
      <c r="K854">
        <v>1260248686932</v>
      </c>
      <c r="L854">
        <v>1429139313627</v>
      </c>
      <c r="M854">
        <v>1432125505129</v>
      </c>
      <c r="N854">
        <v>1403479830813</v>
      </c>
      <c r="O854">
        <v>1347378792683</v>
      </c>
      <c r="P854">
        <v>1408746219655</v>
      </c>
      <c r="Q854">
        <v>1501062664995</v>
      </c>
    </row>
    <row r="855" spans="1:17" x14ac:dyDescent="0.35">
      <c r="A855" t="s">
        <v>1943</v>
      </c>
      <c r="B855" t="s">
        <v>26</v>
      </c>
      <c r="C855">
        <v>-13377181278</v>
      </c>
      <c r="D855">
        <v>-6050887195</v>
      </c>
      <c r="E855">
        <v>-4686471481</v>
      </c>
      <c r="F855">
        <v>-4666340264</v>
      </c>
      <c r="G855">
        <v>0</v>
      </c>
      <c r="H855">
        <v>-6571835380</v>
      </c>
      <c r="I855">
        <v>-6568779283</v>
      </c>
      <c r="J855">
        <v>-6091443183</v>
      </c>
      <c r="K855">
        <v>-5323811318</v>
      </c>
      <c r="L855">
        <v>-7349152655</v>
      </c>
      <c r="M855">
        <v>-19826322166</v>
      </c>
      <c r="N855">
        <v>-19334072263</v>
      </c>
      <c r="O855">
        <v>-19316266563</v>
      </c>
      <c r="P855">
        <v>-54911984262</v>
      </c>
      <c r="Q855">
        <v>-92430834069</v>
      </c>
    </row>
    <row r="856" spans="1:17" x14ac:dyDescent="0.35">
      <c r="A856" t="s">
        <v>1943</v>
      </c>
      <c r="B856" t="s">
        <v>27</v>
      </c>
      <c r="C856">
        <v>107126639836</v>
      </c>
      <c r="D856">
        <v>137847647498</v>
      </c>
      <c r="E856">
        <v>153663243634</v>
      </c>
      <c r="F856">
        <v>209922279059</v>
      </c>
      <c r="G856">
        <v>0</v>
      </c>
      <c r="H856">
        <v>276072107720</v>
      </c>
      <c r="I856">
        <v>256165244878</v>
      </c>
      <c r="J856">
        <v>256612670174</v>
      </c>
      <c r="K856">
        <v>266680780767</v>
      </c>
      <c r="L856">
        <v>251226420843</v>
      </c>
      <c r="M856">
        <v>231418216452</v>
      </c>
      <c r="N856">
        <v>224840213881</v>
      </c>
      <c r="O856">
        <v>220716454126</v>
      </c>
      <c r="P856">
        <v>236268670021</v>
      </c>
      <c r="Q856">
        <v>236519436263</v>
      </c>
    </row>
    <row r="857" spans="1:17" x14ac:dyDescent="0.35">
      <c r="A857" t="s">
        <v>1943</v>
      </c>
      <c r="B857" t="s">
        <v>28</v>
      </c>
      <c r="C857">
        <v>12977951960</v>
      </c>
      <c r="D857">
        <v>4470696730</v>
      </c>
      <c r="E857">
        <v>15578728627</v>
      </c>
      <c r="F857">
        <v>10711386911</v>
      </c>
      <c r="G857">
        <v>0</v>
      </c>
      <c r="H857">
        <v>9429562749</v>
      </c>
      <c r="I857">
        <v>20908682364</v>
      </c>
      <c r="J857">
        <v>13189443136</v>
      </c>
      <c r="K857">
        <v>20834811882</v>
      </c>
      <c r="L857">
        <v>15976161749</v>
      </c>
      <c r="M857">
        <v>24041775233</v>
      </c>
      <c r="N857">
        <v>15406786148</v>
      </c>
      <c r="O857">
        <v>22246691918</v>
      </c>
      <c r="P857">
        <v>19211227134</v>
      </c>
      <c r="Q857">
        <v>29242881012</v>
      </c>
    </row>
    <row r="858" spans="1:17" x14ac:dyDescent="0.35">
      <c r="A858" t="s">
        <v>1943</v>
      </c>
      <c r="B858" t="s">
        <v>29</v>
      </c>
      <c r="C858">
        <v>90232359464</v>
      </c>
      <c r="D858">
        <v>127329336990</v>
      </c>
      <c r="E858">
        <v>128987743600</v>
      </c>
      <c r="F858">
        <v>190895147370</v>
      </c>
      <c r="G858">
        <v>0</v>
      </c>
      <c r="H858">
        <v>260971063393</v>
      </c>
      <c r="I858">
        <v>229605142056</v>
      </c>
      <c r="J858">
        <v>236649503443</v>
      </c>
      <c r="K858">
        <v>241113292341</v>
      </c>
      <c r="L858">
        <v>229082037252</v>
      </c>
      <c r="M858">
        <v>200068511728</v>
      </c>
      <c r="N858">
        <v>203406749590</v>
      </c>
      <c r="O858">
        <v>192352894149</v>
      </c>
      <c r="P858">
        <v>197738441762</v>
      </c>
      <c r="Q858">
        <v>193498598462</v>
      </c>
    </row>
    <row r="859" spans="1:17" x14ac:dyDescent="0.35">
      <c r="A859" t="s">
        <v>1943</v>
      </c>
      <c r="B859" t="s">
        <v>30</v>
      </c>
      <c r="C859">
        <v>3916328412</v>
      </c>
      <c r="D859">
        <v>6047613778</v>
      </c>
      <c r="E859">
        <v>9096771407</v>
      </c>
      <c r="F859">
        <v>8315744778</v>
      </c>
      <c r="G859">
        <v>0</v>
      </c>
      <c r="H859">
        <v>5671481578</v>
      </c>
      <c r="I859">
        <v>5651420458</v>
      </c>
      <c r="J859">
        <v>6773723595</v>
      </c>
      <c r="K859">
        <v>4732676544</v>
      </c>
      <c r="L859">
        <v>6168221842</v>
      </c>
      <c r="M859">
        <v>7307929491</v>
      </c>
      <c r="N859">
        <v>6026678143</v>
      </c>
      <c r="O859">
        <v>6116868059</v>
      </c>
      <c r="P859">
        <v>19319001125</v>
      </c>
      <c r="Q859">
        <v>13777956789</v>
      </c>
    </row>
    <row r="860" spans="1:17" x14ac:dyDescent="0.35">
      <c r="A860" t="s">
        <v>1943</v>
      </c>
      <c r="B860" t="s">
        <v>31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7" x14ac:dyDescent="0.35">
      <c r="A861" t="s">
        <v>1943</v>
      </c>
      <c r="B861" t="s">
        <v>32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7" x14ac:dyDescent="0.35">
      <c r="A862" t="s">
        <v>1943</v>
      </c>
      <c r="B862" t="s">
        <v>33</v>
      </c>
      <c r="C862">
        <v>14001899611491</v>
      </c>
      <c r="D862">
        <v>14522777220189</v>
      </c>
      <c r="E862">
        <v>14848515878608</v>
      </c>
      <c r="F862">
        <v>23293584804791</v>
      </c>
      <c r="G862">
        <v>0</v>
      </c>
      <c r="H862">
        <v>25070816618701</v>
      </c>
      <c r="I862">
        <v>24942527353527</v>
      </c>
      <c r="J862">
        <v>24876333663040</v>
      </c>
      <c r="K862">
        <v>25538141960600</v>
      </c>
      <c r="L862">
        <v>25341617724040</v>
      </c>
      <c r="M862">
        <v>25275366550045</v>
      </c>
      <c r="N862">
        <v>25341078145459</v>
      </c>
      <c r="O862">
        <v>25222008235319</v>
      </c>
      <c r="P862">
        <v>25388025025540</v>
      </c>
      <c r="Q862">
        <v>25155474824853</v>
      </c>
    </row>
    <row r="863" spans="1:17" x14ac:dyDescent="0.35">
      <c r="A863" t="s">
        <v>1943</v>
      </c>
      <c r="B863" t="s">
        <v>34</v>
      </c>
      <c r="C863">
        <v>56136565119</v>
      </c>
      <c r="D863">
        <v>50818488683</v>
      </c>
      <c r="E863">
        <v>45084399752</v>
      </c>
      <c r="F863">
        <v>38979129871</v>
      </c>
      <c r="G863">
        <v>0</v>
      </c>
      <c r="H863">
        <v>37189676300</v>
      </c>
      <c r="I863">
        <v>37189676300</v>
      </c>
      <c r="J863">
        <v>37722056550</v>
      </c>
      <c r="K863">
        <v>25357692250</v>
      </c>
      <c r="L863">
        <v>34170930892</v>
      </c>
      <c r="M863">
        <v>19636564650</v>
      </c>
      <c r="N863">
        <v>32356396915</v>
      </c>
      <c r="O863">
        <v>18143776315</v>
      </c>
      <c r="P863">
        <v>18158176315</v>
      </c>
      <c r="Q863">
        <v>31246662315</v>
      </c>
    </row>
    <row r="864" spans="1:17" x14ac:dyDescent="0.35">
      <c r="A864" t="s">
        <v>1943</v>
      </c>
      <c r="B864" t="s">
        <v>35</v>
      </c>
      <c r="C864">
        <v>218251844</v>
      </c>
      <c r="D864">
        <v>25366596</v>
      </c>
      <c r="E864">
        <v>25366596</v>
      </c>
      <c r="F864">
        <v>25366596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7" x14ac:dyDescent="0.35">
      <c r="A865" t="s">
        <v>1943</v>
      </c>
      <c r="B865" t="s">
        <v>36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7" x14ac:dyDescent="0.35">
      <c r="A866" t="s">
        <v>1943</v>
      </c>
      <c r="B866" t="s">
        <v>37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7" x14ac:dyDescent="0.35">
      <c r="A867" t="s">
        <v>1943</v>
      </c>
      <c r="B867" t="s">
        <v>38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7" x14ac:dyDescent="0.35">
      <c r="A868" t="s">
        <v>1943</v>
      </c>
      <c r="B868" t="s">
        <v>39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200000000</v>
      </c>
      <c r="K868">
        <v>200000000</v>
      </c>
      <c r="L868">
        <v>150000000</v>
      </c>
      <c r="M868">
        <v>150000000</v>
      </c>
      <c r="N868">
        <v>0</v>
      </c>
    </row>
    <row r="869" spans="1:17" x14ac:dyDescent="0.35">
      <c r="A869" t="s">
        <v>1943</v>
      </c>
      <c r="B869" t="s">
        <v>40</v>
      </c>
      <c r="C869">
        <v>55918313275</v>
      </c>
      <c r="D869">
        <v>50793122087</v>
      </c>
      <c r="E869">
        <v>45059033156</v>
      </c>
      <c r="F869">
        <v>38953763275</v>
      </c>
      <c r="G869">
        <v>0</v>
      </c>
      <c r="H869">
        <v>37189676300</v>
      </c>
      <c r="I869">
        <v>37189676300</v>
      </c>
      <c r="J869">
        <v>37522056550</v>
      </c>
      <c r="K869">
        <v>25157692250</v>
      </c>
      <c r="L869">
        <v>34020930892</v>
      </c>
      <c r="M869">
        <v>19486564650</v>
      </c>
      <c r="N869">
        <v>32356396915</v>
      </c>
      <c r="O869">
        <v>18143776315</v>
      </c>
      <c r="P869">
        <v>18158176315</v>
      </c>
      <c r="Q869">
        <v>31246662315</v>
      </c>
    </row>
    <row r="870" spans="1:17" x14ac:dyDescent="0.35">
      <c r="A870" t="s">
        <v>1943</v>
      </c>
      <c r="B870" t="s">
        <v>41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7" x14ac:dyDescent="0.35">
      <c r="A871" t="s">
        <v>1943</v>
      </c>
      <c r="B871" t="s">
        <v>42</v>
      </c>
      <c r="C871">
        <v>1946248771237</v>
      </c>
      <c r="D871">
        <v>2584784885734</v>
      </c>
      <c r="E871">
        <v>2588002833638</v>
      </c>
      <c r="F871">
        <v>12931242411943</v>
      </c>
      <c r="G871">
        <v>0</v>
      </c>
      <c r="H871">
        <v>16057664537081</v>
      </c>
      <c r="I871">
        <v>15802686420404</v>
      </c>
      <c r="J871">
        <v>15588719160687</v>
      </c>
      <c r="K871">
        <v>15875069271093</v>
      </c>
      <c r="L871">
        <v>15841877918963</v>
      </c>
      <c r="M871">
        <v>15604255259000</v>
      </c>
      <c r="N871">
        <v>15423112280066</v>
      </c>
      <c r="O871">
        <v>15157965502005</v>
      </c>
      <c r="P871">
        <v>14916512381498</v>
      </c>
      <c r="Q871">
        <v>14662835639054</v>
      </c>
    </row>
    <row r="872" spans="1:17" x14ac:dyDescent="0.35">
      <c r="A872" t="s">
        <v>1943</v>
      </c>
      <c r="B872" t="s">
        <v>43</v>
      </c>
      <c r="C872">
        <v>1880261390170</v>
      </c>
      <c r="D872">
        <v>2518931473102</v>
      </c>
      <c r="E872">
        <v>2522436182836</v>
      </c>
      <c r="F872">
        <v>12865557880934</v>
      </c>
      <c r="G872">
        <v>0</v>
      </c>
      <c r="H872">
        <v>15991796379058</v>
      </c>
      <c r="I872">
        <v>15734053415442</v>
      </c>
      <c r="J872">
        <v>15520248553895</v>
      </c>
      <c r="K872">
        <v>15806413544793</v>
      </c>
      <c r="L872">
        <v>15770269504267</v>
      </c>
      <c r="M872">
        <v>15533503412288</v>
      </c>
      <c r="N872">
        <v>15352469445180</v>
      </c>
      <c r="O872">
        <v>15088024348243</v>
      </c>
      <c r="P872">
        <v>14845246589236</v>
      </c>
      <c r="Q872">
        <v>14592455932522</v>
      </c>
    </row>
    <row r="873" spans="1:17" x14ac:dyDescent="0.35">
      <c r="A873" t="s">
        <v>1943</v>
      </c>
      <c r="B873" t="s">
        <v>44</v>
      </c>
      <c r="C873">
        <v>3765653512232</v>
      </c>
      <c r="D873">
        <v>4432809340688</v>
      </c>
      <c r="E873">
        <v>4491856245279</v>
      </c>
      <c r="F873">
        <v>17680038093784</v>
      </c>
      <c r="G873">
        <v>0</v>
      </c>
      <c r="H873">
        <v>21253746501963</v>
      </c>
      <c r="I873">
        <v>21260331831957</v>
      </c>
      <c r="J873">
        <v>21306789066315</v>
      </c>
      <c r="K873">
        <v>22008606090551</v>
      </c>
      <c r="L873">
        <v>22224183689275</v>
      </c>
      <c r="M873">
        <v>22254571858500</v>
      </c>
      <c r="N873">
        <v>22340413169966</v>
      </c>
      <c r="O873">
        <v>22346467338227</v>
      </c>
      <c r="P873">
        <v>22367175742009</v>
      </c>
      <c r="Q873">
        <v>22378350238277</v>
      </c>
    </row>
    <row r="874" spans="1:17" x14ac:dyDescent="0.35">
      <c r="A874" t="s">
        <v>1943</v>
      </c>
      <c r="B874" t="s">
        <v>45</v>
      </c>
      <c r="C874">
        <v>-1885392122062</v>
      </c>
      <c r="D874">
        <v>-1913877867586</v>
      </c>
      <c r="E874">
        <v>-1969420062443</v>
      </c>
      <c r="F874">
        <v>-4814480212850</v>
      </c>
      <c r="G874">
        <v>0</v>
      </c>
      <c r="H874">
        <v>-5261950122905</v>
      </c>
      <c r="I874">
        <v>-5526278416515</v>
      </c>
      <c r="J874">
        <v>-5786540512420</v>
      </c>
      <c r="K874">
        <v>-6202192545758</v>
      </c>
      <c r="L874">
        <v>-6453914185008</v>
      </c>
      <c r="M874">
        <v>-6721068446212</v>
      </c>
      <c r="N874">
        <v>-6987943724786</v>
      </c>
      <c r="O874">
        <v>-7258442989984</v>
      </c>
      <c r="P874">
        <v>-7521929152773</v>
      </c>
      <c r="Q874">
        <v>-7785894305755</v>
      </c>
    </row>
    <row r="875" spans="1:17" x14ac:dyDescent="0.35">
      <c r="A875" t="s">
        <v>1943</v>
      </c>
      <c r="B875" t="s">
        <v>46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7" x14ac:dyDescent="0.35">
      <c r="A876" t="s">
        <v>1943</v>
      </c>
      <c r="B876" t="s">
        <v>44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7" x14ac:dyDescent="0.35">
      <c r="A877" t="s">
        <v>1943</v>
      </c>
      <c r="B877" t="s">
        <v>45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7" x14ac:dyDescent="0.35">
      <c r="A878" t="s">
        <v>1943</v>
      </c>
      <c r="B878" t="s">
        <v>47</v>
      </c>
      <c r="C878">
        <v>65987381067</v>
      </c>
      <c r="D878">
        <v>65853412632</v>
      </c>
      <c r="E878">
        <v>65566650802</v>
      </c>
      <c r="F878">
        <v>65684531009</v>
      </c>
      <c r="G878">
        <v>0</v>
      </c>
      <c r="H878">
        <v>65868158023</v>
      </c>
      <c r="I878">
        <v>68633004962</v>
      </c>
      <c r="J878">
        <v>68470606792</v>
      </c>
      <c r="K878">
        <v>68655726300</v>
      </c>
      <c r="L878">
        <v>71608414696</v>
      </c>
      <c r="M878">
        <v>70751846712</v>
      </c>
      <c r="N878">
        <v>70642834886</v>
      </c>
      <c r="O878">
        <v>69941153762</v>
      </c>
      <c r="P878">
        <v>71265792262</v>
      </c>
      <c r="Q878">
        <v>70379706532</v>
      </c>
    </row>
    <row r="879" spans="1:17" x14ac:dyDescent="0.35">
      <c r="A879" t="s">
        <v>1943</v>
      </c>
      <c r="B879" t="s">
        <v>44</v>
      </c>
      <c r="C879">
        <v>83462995915</v>
      </c>
      <c r="D879">
        <v>83622995915</v>
      </c>
      <c r="E879">
        <v>83622995915</v>
      </c>
      <c r="F879">
        <v>84034495915</v>
      </c>
      <c r="G879">
        <v>0</v>
      </c>
      <c r="H879">
        <v>84742888325</v>
      </c>
      <c r="I879">
        <v>87341248325</v>
      </c>
      <c r="J879">
        <v>87797779637</v>
      </c>
      <c r="K879">
        <v>88610975949</v>
      </c>
      <c r="L879">
        <v>91987605208</v>
      </c>
      <c r="M879">
        <v>92100934453</v>
      </c>
      <c r="N879">
        <v>92767153671</v>
      </c>
      <c r="O879">
        <v>92847993911</v>
      </c>
      <c r="P879">
        <v>94993210911</v>
      </c>
      <c r="Q879">
        <v>94993210911</v>
      </c>
    </row>
    <row r="880" spans="1:17" x14ac:dyDescent="0.35">
      <c r="A880" t="s">
        <v>1943</v>
      </c>
      <c r="B880" t="s">
        <v>45</v>
      </c>
      <c r="C880">
        <v>-17475614848</v>
      </c>
      <c r="D880">
        <v>-17769583283</v>
      </c>
      <c r="E880">
        <v>-18056345113</v>
      </c>
      <c r="F880">
        <v>-18349964906</v>
      </c>
      <c r="G880">
        <v>0</v>
      </c>
      <c r="H880">
        <v>-18874730302</v>
      </c>
      <c r="I880">
        <v>-18708243363</v>
      </c>
      <c r="J880">
        <v>-19327172845</v>
      </c>
      <c r="K880">
        <v>-19955249649</v>
      </c>
      <c r="L880">
        <v>-20379190512</v>
      </c>
      <c r="M880">
        <v>-21349087741</v>
      </c>
      <c r="N880">
        <v>-22124318785</v>
      </c>
      <c r="O880">
        <v>-22906840149</v>
      </c>
      <c r="P880">
        <v>-23727418649</v>
      </c>
      <c r="Q880">
        <v>-24613504379</v>
      </c>
    </row>
    <row r="881" spans="1:17" x14ac:dyDescent="0.35">
      <c r="A881" t="s">
        <v>1943</v>
      </c>
      <c r="B881" t="s">
        <v>48</v>
      </c>
      <c r="C881">
        <v>1804634529823</v>
      </c>
      <c r="D881">
        <v>1773066914071</v>
      </c>
      <c r="E881">
        <v>1741499298319</v>
      </c>
      <c r="F881">
        <v>1710700779341</v>
      </c>
      <c r="G881">
        <v>0</v>
      </c>
      <c r="H881">
        <v>1570332277547</v>
      </c>
      <c r="I881">
        <v>1541896762368</v>
      </c>
      <c r="J881">
        <v>1513526030439</v>
      </c>
      <c r="K881">
        <v>1485155298510</v>
      </c>
      <c r="L881">
        <v>1456784566540</v>
      </c>
      <c r="M881">
        <v>1428434459581</v>
      </c>
      <c r="N881">
        <v>1400084352622</v>
      </c>
      <c r="O881">
        <v>1373796566900</v>
      </c>
      <c r="P881">
        <v>1345379933498</v>
      </c>
      <c r="Q881">
        <v>1317055348319</v>
      </c>
    </row>
    <row r="882" spans="1:17" x14ac:dyDescent="0.35">
      <c r="A882" t="s">
        <v>1943</v>
      </c>
      <c r="B882" t="s">
        <v>44</v>
      </c>
      <c r="C882">
        <v>2616685673894</v>
      </c>
      <c r="D882">
        <v>2616685673894</v>
      </c>
      <c r="E882">
        <v>2616685673894</v>
      </c>
      <c r="F882">
        <v>2617471673894</v>
      </c>
      <c r="G882">
        <v>0</v>
      </c>
      <c r="H882">
        <v>2507128328047</v>
      </c>
      <c r="I882">
        <v>2507128328047</v>
      </c>
      <c r="J882">
        <v>2507128328047</v>
      </c>
      <c r="K882">
        <v>2507128328047</v>
      </c>
      <c r="L882">
        <v>2507128328047</v>
      </c>
      <c r="M882">
        <v>2507128328047</v>
      </c>
      <c r="N882">
        <v>2507128328047</v>
      </c>
      <c r="O882">
        <v>2509257175775</v>
      </c>
      <c r="P882">
        <v>2509257175775</v>
      </c>
      <c r="Q882">
        <v>2509257175775</v>
      </c>
    </row>
    <row r="883" spans="1:17" x14ac:dyDescent="0.35">
      <c r="A883" t="s">
        <v>1943</v>
      </c>
      <c r="B883" t="s">
        <v>45</v>
      </c>
      <c r="C883">
        <v>-812051144071</v>
      </c>
      <c r="D883">
        <v>-843618759823</v>
      </c>
      <c r="E883">
        <v>-875186375575</v>
      </c>
      <c r="F883">
        <v>-906770894553</v>
      </c>
      <c r="G883">
        <v>0</v>
      </c>
      <c r="H883">
        <v>-936796050500</v>
      </c>
      <c r="I883">
        <v>-965231565679</v>
      </c>
      <c r="J883">
        <v>-993602297608</v>
      </c>
      <c r="K883">
        <v>-1021973029537</v>
      </c>
      <c r="L883">
        <v>-1050343761507</v>
      </c>
      <c r="M883">
        <v>-1078693868466</v>
      </c>
      <c r="N883">
        <v>-1107043975425</v>
      </c>
      <c r="O883">
        <v>-1135460608875</v>
      </c>
      <c r="P883">
        <v>-1163877242277</v>
      </c>
      <c r="Q883">
        <v>-1192201827456</v>
      </c>
    </row>
    <row r="884" spans="1:17" x14ac:dyDescent="0.35">
      <c r="A884" t="s">
        <v>1943</v>
      </c>
      <c r="B884" t="s">
        <v>49</v>
      </c>
      <c r="C884">
        <v>299169871686</v>
      </c>
      <c r="D884">
        <v>275954512618</v>
      </c>
      <c r="E884">
        <v>441827094527</v>
      </c>
      <c r="F884">
        <v>1588620522279</v>
      </c>
      <c r="G884">
        <v>0</v>
      </c>
      <c r="H884">
        <v>405953160121</v>
      </c>
      <c r="I884">
        <v>455513654465</v>
      </c>
      <c r="J884">
        <v>647569763053</v>
      </c>
      <c r="K884">
        <v>680259208804</v>
      </c>
      <c r="L884">
        <v>549127839666</v>
      </c>
      <c r="M884">
        <v>594801303962</v>
      </c>
      <c r="N884">
        <v>766814560316</v>
      </c>
      <c r="O884">
        <v>965154026216</v>
      </c>
      <c r="P884">
        <v>1607781748738</v>
      </c>
      <c r="Q884">
        <v>1986254262337</v>
      </c>
    </row>
    <row r="885" spans="1:17" x14ac:dyDescent="0.35">
      <c r="A885" t="s">
        <v>1943</v>
      </c>
      <c r="B885" t="s">
        <v>50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7" x14ac:dyDescent="0.35">
      <c r="A886" t="s">
        <v>1943</v>
      </c>
      <c r="B886" t="s">
        <v>51</v>
      </c>
      <c r="C886">
        <v>299169871686</v>
      </c>
      <c r="D886">
        <v>275954512618</v>
      </c>
      <c r="E886">
        <v>441827094527</v>
      </c>
      <c r="F886">
        <v>1588620522279</v>
      </c>
      <c r="G886">
        <v>0</v>
      </c>
      <c r="H886">
        <v>405953160121</v>
      </c>
      <c r="I886">
        <v>455513654465</v>
      </c>
      <c r="J886">
        <v>647569763053</v>
      </c>
      <c r="K886">
        <v>680259208804</v>
      </c>
      <c r="L886">
        <v>549127839666</v>
      </c>
      <c r="M886">
        <v>594801303962</v>
      </c>
      <c r="N886">
        <v>766814560316</v>
      </c>
      <c r="O886">
        <v>965154026216</v>
      </c>
      <c r="P886">
        <v>1607781748738</v>
      </c>
      <c r="Q886">
        <v>1986254262337</v>
      </c>
    </row>
    <row r="887" spans="1:17" x14ac:dyDescent="0.35">
      <c r="A887" t="s">
        <v>1943</v>
      </c>
      <c r="B887" t="s">
        <v>52</v>
      </c>
      <c r="C887">
        <v>9339080425592</v>
      </c>
      <c r="D887">
        <v>9287154637594</v>
      </c>
      <c r="E887">
        <v>9488435649538</v>
      </c>
      <c r="F887">
        <v>6384185166376</v>
      </c>
      <c r="G887">
        <v>0</v>
      </c>
      <c r="H887">
        <v>6311443381526</v>
      </c>
      <c r="I887">
        <v>6429036454110</v>
      </c>
      <c r="J887">
        <v>6424859752099</v>
      </c>
      <c r="K887">
        <v>6491467430869</v>
      </c>
      <c r="L887">
        <v>6490632669262</v>
      </c>
      <c r="M887">
        <v>6680466161585</v>
      </c>
      <c r="N887">
        <v>6783645848369</v>
      </c>
      <c r="O887">
        <v>6779252758343</v>
      </c>
      <c r="P887">
        <v>6560455880296</v>
      </c>
      <c r="Q887">
        <v>6234246308067</v>
      </c>
    </row>
    <row r="888" spans="1:17" x14ac:dyDescent="0.35">
      <c r="A888" t="s">
        <v>1943</v>
      </c>
      <c r="B888" t="s">
        <v>53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7" x14ac:dyDescent="0.35">
      <c r="A889" t="s">
        <v>1943</v>
      </c>
      <c r="B889" t="s">
        <v>54</v>
      </c>
      <c r="C889">
        <v>8102267509660</v>
      </c>
      <c r="D889">
        <v>8449674018844</v>
      </c>
      <c r="E889">
        <v>8670955030788</v>
      </c>
      <c r="F889">
        <v>6060509025002</v>
      </c>
      <c r="G889">
        <v>0</v>
      </c>
      <c r="H889">
        <v>5744934766393</v>
      </c>
      <c r="I889">
        <v>5912527838977</v>
      </c>
      <c r="J889">
        <v>5908351136966</v>
      </c>
      <c r="K889">
        <v>6074958815736</v>
      </c>
      <c r="L889">
        <v>6174124054129</v>
      </c>
      <c r="M889">
        <v>6363957546452</v>
      </c>
      <c r="N889">
        <v>6467137233236</v>
      </c>
      <c r="O889">
        <v>6462744143210</v>
      </c>
      <c r="P889">
        <v>6273947265163</v>
      </c>
      <c r="Q889">
        <v>5947737692934</v>
      </c>
    </row>
    <row r="890" spans="1:17" x14ac:dyDescent="0.35">
      <c r="A890" t="s">
        <v>1943</v>
      </c>
      <c r="B890" t="s">
        <v>55</v>
      </c>
      <c r="C890">
        <v>717033198709</v>
      </c>
      <c r="D890">
        <v>307894164509</v>
      </c>
      <c r="E890">
        <v>307894164509</v>
      </c>
      <c r="F890">
        <v>294089687133</v>
      </c>
      <c r="G890">
        <v>0</v>
      </c>
      <c r="H890">
        <v>286508615133</v>
      </c>
      <c r="I890">
        <v>286508615133</v>
      </c>
      <c r="J890">
        <v>286508615133</v>
      </c>
      <c r="K890">
        <v>286508615133</v>
      </c>
      <c r="L890">
        <v>286508615133</v>
      </c>
      <c r="M890">
        <v>286508615133</v>
      </c>
      <c r="N890">
        <v>286508615133</v>
      </c>
      <c r="O890">
        <v>286508615133</v>
      </c>
      <c r="P890">
        <v>286508615133</v>
      </c>
      <c r="Q890">
        <v>286508615133</v>
      </c>
    </row>
    <row r="891" spans="1:17" x14ac:dyDescent="0.35">
      <c r="A891" t="s">
        <v>1943</v>
      </c>
      <c r="B891" t="s">
        <v>56</v>
      </c>
      <c r="C891">
        <v>-10220282777</v>
      </c>
      <c r="D891">
        <v>-413545759</v>
      </c>
      <c r="E891">
        <v>-413545759</v>
      </c>
      <c r="F891">
        <v>-413545759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7" x14ac:dyDescent="0.35">
      <c r="A892" t="s">
        <v>1943</v>
      </c>
      <c r="B892" t="s">
        <v>57</v>
      </c>
      <c r="C892">
        <v>530000000000</v>
      </c>
      <c r="D892">
        <v>530000000000</v>
      </c>
      <c r="E892">
        <v>510000000000</v>
      </c>
      <c r="F892">
        <v>30000000000</v>
      </c>
      <c r="G892">
        <v>0</v>
      </c>
      <c r="H892">
        <v>280000000000</v>
      </c>
      <c r="I892">
        <v>230000000000</v>
      </c>
      <c r="J892">
        <v>230000000000</v>
      </c>
      <c r="K892">
        <v>130000000000</v>
      </c>
      <c r="L892">
        <v>30000000000</v>
      </c>
      <c r="M892">
        <v>30000000000</v>
      </c>
      <c r="N892">
        <v>30000000000</v>
      </c>
      <c r="O892">
        <v>30000000000</v>
      </c>
    </row>
    <row r="893" spans="1:17" x14ac:dyDescent="0.35">
      <c r="A893" t="s">
        <v>1943</v>
      </c>
      <c r="B893" t="s">
        <v>58</v>
      </c>
      <c r="C893">
        <v>556629448034</v>
      </c>
      <c r="D893">
        <v>550997781489</v>
      </c>
      <c r="E893">
        <v>543666602834</v>
      </c>
      <c r="F893">
        <v>639856794981</v>
      </c>
      <c r="G893">
        <v>0</v>
      </c>
      <c r="H893">
        <v>688233586126</v>
      </c>
      <c r="I893">
        <v>676204385880</v>
      </c>
      <c r="J893">
        <v>663936900212</v>
      </c>
      <c r="K893">
        <v>980833059074</v>
      </c>
      <c r="L893">
        <v>969023798717</v>
      </c>
      <c r="M893">
        <v>947772801267</v>
      </c>
      <c r="N893">
        <v>935064707171</v>
      </c>
      <c r="O893">
        <v>927695605540</v>
      </c>
      <c r="P893">
        <v>939736905195</v>
      </c>
      <c r="Q893">
        <v>923836604761</v>
      </c>
    </row>
    <row r="894" spans="1:17" x14ac:dyDescent="0.35">
      <c r="A894" t="s">
        <v>1943</v>
      </c>
      <c r="B894" t="s">
        <v>59</v>
      </c>
      <c r="C894">
        <v>276015778895</v>
      </c>
      <c r="D894">
        <v>274213352353</v>
      </c>
      <c r="E894">
        <v>269257328381</v>
      </c>
      <c r="F894">
        <v>267958987501</v>
      </c>
      <c r="G894">
        <v>0</v>
      </c>
      <c r="H894">
        <v>329728703772</v>
      </c>
      <c r="I894">
        <v>329129541050</v>
      </c>
      <c r="J894">
        <v>324554944108</v>
      </c>
      <c r="K894">
        <v>332712213009</v>
      </c>
      <c r="L894">
        <v>328328304594</v>
      </c>
      <c r="M894">
        <v>325086030492</v>
      </c>
      <c r="N894">
        <v>330549230983</v>
      </c>
      <c r="O894">
        <v>340948862109</v>
      </c>
      <c r="P894">
        <v>346996281754</v>
      </c>
      <c r="Q894">
        <v>343108282406</v>
      </c>
    </row>
    <row r="895" spans="1:17" x14ac:dyDescent="0.35">
      <c r="A895" t="s">
        <v>1943</v>
      </c>
      <c r="B895" t="s">
        <v>60</v>
      </c>
      <c r="C895">
        <v>31017171222</v>
      </c>
      <c r="D895">
        <v>34049369903</v>
      </c>
      <c r="E895">
        <v>32347699389</v>
      </c>
      <c r="F895">
        <v>35419902954</v>
      </c>
      <c r="G895">
        <v>0</v>
      </c>
      <c r="H895">
        <v>40797525340</v>
      </c>
      <c r="I895">
        <v>38738108923</v>
      </c>
      <c r="J895">
        <v>40430853803</v>
      </c>
      <c r="K895">
        <v>37661233795</v>
      </c>
      <c r="L895">
        <v>47836524111</v>
      </c>
      <c r="M895">
        <v>47427594250</v>
      </c>
      <c r="N895">
        <v>46985505982</v>
      </c>
      <c r="O895">
        <v>46885268371</v>
      </c>
      <c r="P895">
        <v>70478790639</v>
      </c>
      <c r="Q895">
        <v>76072725061</v>
      </c>
    </row>
    <row r="896" spans="1:17" x14ac:dyDescent="0.35">
      <c r="A896" t="s">
        <v>1943</v>
      </c>
      <c r="B896" t="s">
        <v>61</v>
      </c>
      <c r="C896">
        <v>0</v>
      </c>
      <c r="D896">
        <v>0</v>
      </c>
      <c r="E896">
        <v>0</v>
      </c>
      <c r="F896">
        <v>9607608175</v>
      </c>
      <c r="G896">
        <v>0</v>
      </c>
      <c r="H896">
        <v>9578302877</v>
      </c>
      <c r="I896">
        <v>9578302877</v>
      </c>
      <c r="J896">
        <v>9563290378</v>
      </c>
      <c r="K896">
        <v>9510596563</v>
      </c>
      <c r="L896">
        <v>9509596563</v>
      </c>
      <c r="M896">
        <v>9509445334</v>
      </c>
      <c r="N896">
        <v>9379881273</v>
      </c>
      <c r="O896">
        <v>9311028385</v>
      </c>
      <c r="P896">
        <v>9311028385</v>
      </c>
      <c r="Q896">
        <v>9304435135</v>
      </c>
    </row>
    <row r="897" spans="1:17" x14ac:dyDescent="0.35">
      <c r="A897" t="s">
        <v>1943</v>
      </c>
      <c r="B897" t="s">
        <v>62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7" x14ac:dyDescent="0.35">
      <c r="A898" t="s">
        <v>1943</v>
      </c>
      <c r="B898" t="s">
        <v>63</v>
      </c>
      <c r="C898">
        <v>249596497917</v>
      </c>
      <c r="D898">
        <v>242735059233</v>
      </c>
      <c r="E898">
        <v>242061575064</v>
      </c>
      <c r="F898">
        <v>326870296351</v>
      </c>
      <c r="G898">
        <v>0</v>
      </c>
      <c r="H898">
        <v>308129054137</v>
      </c>
      <c r="I898">
        <v>298758433030</v>
      </c>
      <c r="J898">
        <v>289387811923</v>
      </c>
      <c r="K898">
        <v>600949015707</v>
      </c>
      <c r="L898">
        <v>583349373449</v>
      </c>
      <c r="M898">
        <v>565749731191</v>
      </c>
      <c r="N898">
        <v>548150088933</v>
      </c>
      <c r="O898">
        <v>530550446675</v>
      </c>
      <c r="P898">
        <v>512950804417</v>
      </c>
      <c r="Q898">
        <v>495351162159</v>
      </c>
    </row>
    <row r="899" spans="1:17" x14ac:dyDescent="0.35">
      <c r="A899" t="s">
        <v>1943</v>
      </c>
      <c r="B899" t="s">
        <v>64</v>
      </c>
      <c r="C899">
        <v>19810981951467</v>
      </c>
      <c r="D899">
        <v>20536416327143</v>
      </c>
      <c r="E899">
        <v>20817328776076</v>
      </c>
      <c r="F899">
        <v>30377145600455</v>
      </c>
      <c r="G899">
        <v>0</v>
      </c>
      <c r="H899">
        <v>31826349357719</v>
      </c>
      <c r="I899">
        <v>32402404824454</v>
      </c>
      <c r="J899">
        <v>32501644066940</v>
      </c>
      <c r="K899">
        <v>33044817571174</v>
      </c>
      <c r="L899">
        <v>33928094686814</v>
      </c>
      <c r="M899">
        <v>34321902385632</v>
      </c>
      <c r="N899">
        <v>34272226135897</v>
      </c>
      <c r="O899">
        <v>34589085155762</v>
      </c>
      <c r="P899">
        <v>34910326181275</v>
      </c>
      <c r="Q899">
        <v>35140768890615</v>
      </c>
    </row>
    <row r="900" spans="1:17" x14ac:dyDescent="0.35">
      <c r="A900" t="s">
        <v>1943</v>
      </c>
      <c r="B900" t="s">
        <v>65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7" x14ac:dyDescent="0.35">
      <c r="A901" t="s">
        <v>1943</v>
      </c>
      <c r="B901" t="s">
        <v>66</v>
      </c>
      <c r="C901">
        <v>8224627795755</v>
      </c>
      <c r="D901">
        <v>8323794442801</v>
      </c>
      <c r="E901">
        <v>8189844112127</v>
      </c>
      <c r="F901">
        <v>14988011637779</v>
      </c>
      <c r="G901">
        <v>0</v>
      </c>
      <c r="H901">
        <v>15470347761793</v>
      </c>
      <c r="I901">
        <v>15456796830481</v>
      </c>
      <c r="J901">
        <v>14931153108597</v>
      </c>
      <c r="K901">
        <v>14814490914580</v>
      </c>
      <c r="L901">
        <v>14716793015493</v>
      </c>
      <c r="M901">
        <v>14524123618113</v>
      </c>
      <c r="N901">
        <v>14212948902385</v>
      </c>
      <c r="O901">
        <v>14072391414264</v>
      </c>
      <c r="P901">
        <v>14140000235760</v>
      </c>
      <c r="Q901">
        <v>14286415397539</v>
      </c>
    </row>
    <row r="902" spans="1:17" x14ac:dyDescent="0.35">
      <c r="A902" t="s">
        <v>1943</v>
      </c>
      <c r="B902" t="s">
        <v>67</v>
      </c>
      <c r="C902">
        <v>2944631973220</v>
      </c>
      <c r="D902">
        <v>3435673617850</v>
      </c>
      <c r="E902">
        <v>3127228400175</v>
      </c>
      <c r="F902">
        <v>4602308194823</v>
      </c>
      <c r="G902">
        <v>0</v>
      </c>
      <c r="H902">
        <v>4356127025190</v>
      </c>
      <c r="I902">
        <v>4087802635839</v>
      </c>
      <c r="J902">
        <v>3960706824602</v>
      </c>
      <c r="K902">
        <v>3793038404506</v>
      </c>
      <c r="L902">
        <v>4091037228536</v>
      </c>
      <c r="M902">
        <v>3835177127999</v>
      </c>
      <c r="N902">
        <v>3940992369138</v>
      </c>
      <c r="O902">
        <v>4519768584696</v>
      </c>
      <c r="P902">
        <v>3936139840148</v>
      </c>
      <c r="Q902">
        <v>4013972431008</v>
      </c>
    </row>
    <row r="903" spans="1:17" x14ac:dyDescent="0.35">
      <c r="A903" t="s">
        <v>1943</v>
      </c>
      <c r="B903" t="s">
        <v>68</v>
      </c>
      <c r="C903">
        <v>487497036356</v>
      </c>
      <c r="D903">
        <v>629649768304</v>
      </c>
      <c r="E903">
        <v>359512471392</v>
      </c>
      <c r="F903">
        <v>1502010275753</v>
      </c>
      <c r="G903">
        <v>0</v>
      </c>
      <c r="H903">
        <v>859761954428</v>
      </c>
      <c r="I903">
        <v>556986163402</v>
      </c>
      <c r="J903">
        <v>649795556147</v>
      </c>
      <c r="K903">
        <v>632514640627</v>
      </c>
      <c r="L903">
        <v>649486818673</v>
      </c>
      <c r="M903">
        <v>409443271047</v>
      </c>
      <c r="N903">
        <v>565429855896</v>
      </c>
      <c r="O903">
        <v>473546235128</v>
      </c>
      <c r="P903">
        <v>622128441886</v>
      </c>
      <c r="Q903">
        <v>642441660682</v>
      </c>
    </row>
    <row r="904" spans="1:17" x14ac:dyDescent="0.35">
      <c r="A904" t="s">
        <v>1943</v>
      </c>
      <c r="B904" t="s">
        <v>69</v>
      </c>
      <c r="C904">
        <v>865719493473</v>
      </c>
      <c r="D904">
        <v>791049110244</v>
      </c>
      <c r="E904">
        <v>787347372982</v>
      </c>
      <c r="F904">
        <v>727024270354</v>
      </c>
      <c r="G904">
        <v>0</v>
      </c>
      <c r="H904">
        <v>820328773291</v>
      </c>
      <c r="I904">
        <v>912818990220</v>
      </c>
      <c r="J904">
        <v>986874792054</v>
      </c>
      <c r="K904">
        <v>917779572050</v>
      </c>
      <c r="L904">
        <v>810331843598</v>
      </c>
      <c r="M904">
        <v>865239751964</v>
      </c>
      <c r="N904">
        <v>820104326435</v>
      </c>
      <c r="O904">
        <v>826427553727</v>
      </c>
      <c r="P904">
        <v>705703871065</v>
      </c>
      <c r="Q904">
        <v>697702060149</v>
      </c>
    </row>
    <row r="905" spans="1:17" x14ac:dyDescent="0.35">
      <c r="A905" t="s">
        <v>1943</v>
      </c>
      <c r="B905" t="s">
        <v>70</v>
      </c>
      <c r="C905">
        <v>138998440265</v>
      </c>
      <c r="D905">
        <v>74779158314</v>
      </c>
      <c r="E905">
        <v>96559299014</v>
      </c>
      <c r="F905">
        <v>268793517829</v>
      </c>
      <c r="G905">
        <v>0</v>
      </c>
      <c r="H905">
        <v>259608777974</v>
      </c>
      <c r="I905">
        <v>170158196783</v>
      </c>
      <c r="J905">
        <v>216896911865</v>
      </c>
      <c r="K905">
        <v>343325892031</v>
      </c>
      <c r="L905">
        <v>291952336762</v>
      </c>
      <c r="M905">
        <v>221011084723</v>
      </c>
      <c r="N905">
        <v>294296117040</v>
      </c>
      <c r="O905">
        <v>311305953040</v>
      </c>
      <c r="P905">
        <v>199150072719</v>
      </c>
      <c r="Q905">
        <v>111654520608</v>
      </c>
    </row>
    <row r="906" spans="1:17" x14ac:dyDescent="0.35">
      <c r="A906" t="s">
        <v>1943</v>
      </c>
      <c r="B906" t="s">
        <v>71</v>
      </c>
      <c r="C906">
        <v>10639713022</v>
      </c>
      <c r="D906">
        <v>41936094901</v>
      </c>
      <c r="E906">
        <v>9134445878</v>
      </c>
      <c r="F906">
        <v>20237477017</v>
      </c>
      <c r="G906">
        <v>0</v>
      </c>
      <c r="H906">
        <v>49653807886</v>
      </c>
      <c r="I906">
        <v>21093745039</v>
      </c>
      <c r="J906">
        <v>27926908756</v>
      </c>
      <c r="K906">
        <v>26283189635</v>
      </c>
      <c r="L906">
        <v>70958413908</v>
      </c>
      <c r="M906">
        <v>28379690278</v>
      </c>
      <c r="N906">
        <v>32515950786</v>
      </c>
      <c r="O906">
        <v>24545674832</v>
      </c>
      <c r="P906">
        <v>59634113558</v>
      </c>
      <c r="Q906">
        <v>15699529505</v>
      </c>
    </row>
    <row r="907" spans="1:17" x14ac:dyDescent="0.35">
      <c r="A907" t="s">
        <v>1943</v>
      </c>
      <c r="B907" t="s">
        <v>72</v>
      </c>
      <c r="C907">
        <v>479037528888</v>
      </c>
      <c r="D907">
        <v>529856970022</v>
      </c>
      <c r="E907">
        <v>440044366126</v>
      </c>
      <c r="F907">
        <v>638094578107</v>
      </c>
      <c r="G907">
        <v>0</v>
      </c>
      <c r="H907">
        <v>874054228037</v>
      </c>
      <c r="I907">
        <v>707434933268</v>
      </c>
      <c r="J907">
        <v>589560169414</v>
      </c>
      <c r="K907">
        <v>505375784766</v>
      </c>
      <c r="L907">
        <v>586717746941</v>
      </c>
      <c r="M907">
        <v>514619839365</v>
      </c>
      <c r="N907">
        <v>501621075439</v>
      </c>
      <c r="O907">
        <v>590222585091</v>
      </c>
      <c r="P907">
        <v>631570967773</v>
      </c>
      <c r="Q907">
        <v>546756497071</v>
      </c>
    </row>
    <row r="908" spans="1:17" x14ac:dyDescent="0.35">
      <c r="A908" t="s">
        <v>1943</v>
      </c>
      <c r="B908" t="s">
        <v>73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7" x14ac:dyDescent="0.35">
      <c r="A909" t="s">
        <v>1943</v>
      </c>
      <c r="B909" t="s">
        <v>74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7" x14ac:dyDescent="0.35">
      <c r="A910" t="s">
        <v>1943</v>
      </c>
      <c r="B910" t="s">
        <v>75</v>
      </c>
      <c r="C910">
        <v>13857281891</v>
      </c>
      <c r="D910">
        <v>7751271002</v>
      </c>
      <c r="E910">
        <v>18878174022</v>
      </c>
      <c r="F910">
        <v>13048398128</v>
      </c>
      <c r="G910">
        <v>0</v>
      </c>
      <c r="H910">
        <v>1670313750</v>
      </c>
      <c r="I910">
        <v>20895764650</v>
      </c>
      <c r="J910">
        <v>5265882295</v>
      </c>
      <c r="K910">
        <v>8999798479</v>
      </c>
      <c r="L910">
        <v>1017889392</v>
      </c>
      <c r="M910">
        <v>13308974356</v>
      </c>
      <c r="N910">
        <v>5637378824</v>
      </c>
      <c r="O910">
        <v>5651326217</v>
      </c>
      <c r="P910">
        <v>2121159459</v>
      </c>
      <c r="Q910">
        <v>16870379499</v>
      </c>
    </row>
    <row r="911" spans="1:17" x14ac:dyDescent="0.35">
      <c r="A911" t="s">
        <v>1943</v>
      </c>
      <c r="B911" t="s">
        <v>76</v>
      </c>
      <c r="C911">
        <v>95077112322</v>
      </c>
      <c r="D911">
        <v>85219286381</v>
      </c>
      <c r="E911">
        <v>160001044947</v>
      </c>
      <c r="F911">
        <v>123758031493</v>
      </c>
      <c r="G911">
        <v>0</v>
      </c>
      <c r="H911">
        <v>142995469435</v>
      </c>
      <c r="I911">
        <v>435756934165</v>
      </c>
      <c r="J911">
        <v>112105439287</v>
      </c>
      <c r="K911">
        <v>167593846282</v>
      </c>
      <c r="L911">
        <v>211993097918</v>
      </c>
      <c r="M911">
        <v>599158566790</v>
      </c>
      <c r="N911">
        <v>488640048310</v>
      </c>
      <c r="O911">
        <v>278843452171</v>
      </c>
      <c r="P911">
        <v>472235417589</v>
      </c>
      <c r="Q911">
        <v>833323196146</v>
      </c>
    </row>
    <row r="912" spans="1:17" x14ac:dyDescent="0.35">
      <c r="A912" t="s">
        <v>1943</v>
      </c>
      <c r="B912" t="s">
        <v>77</v>
      </c>
      <c r="C912">
        <v>839589707044</v>
      </c>
      <c r="D912">
        <v>1257771119063</v>
      </c>
      <c r="E912">
        <v>1234080662688</v>
      </c>
      <c r="F912">
        <v>1284559722806</v>
      </c>
      <c r="G912">
        <v>0</v>
      </c>
      <c r="H912">
        <v>1323841836561</v>
      </c>
      <c r="I912">
        <v>1237490161167</v>
      </c>
      <c r="J912">
        <v>1345193619089</v>
      </c>
      <c r="K912">
        <v>1170604773547</v>
      </c>
      <c r="L912">
        <v>1455134067019</v>
      </c>
      <c r="M912">
        <v>1160884746057</v>
      </c>
      <c r="N912">
        <v>1212804622964</v>
      </c>
      <c r="O912">
        <v>1992511964139</v>
      </c>
      <c r="P912">
        <v>1232784873038</v>
      </c>
      <c r="Q912">
        <v>1135121813110</v>
      </c>
    </row>
    <row r="913" spans="1:17" x14ac:dyDescent="0.35">
      <c r="A913" t="s">
        <v>1943</v>
      </c>
      <c r="B913" t="s">
        <v>78</v>
      </c>
      <c r="C913">
        <v>9886263457</v>
      </c>
      <c r="D913">
        <v>14777538849</v>
      </c>
      <c r="E913">
        <v>15647794934</v>
      </c>
      <c r="F913">
        <v>14511544286</v>
      </c>
      <c r="G913">
        <v>0</v>
      </c>
      <c r="H913">
        <v>20118884268</v>
      </c>
      <c r="I913">
        <v>18533868819</v>
      </c>
      <c r="J913">
        <v>16509343274</v>
      </c>
      <c r="K913">
        <v>15597300237</v>
      </c>
      <c r="L913">
        <v>10556886638</v>
      </c>
      <c r="M913">
        <v>7732990896</v>
      </c>
      <c r="N913">
        <v>6645364496</v>
      </c>
      <c r="O913">
        <v>6189447367</v>
      </c>
      <c r="P913">
        <v>5569432641</v>
      </c>
      <c r="Q913">
        <v>5048806226</v>
      </c>
    </row>
    <row r="914" spans="1:17" x14ac:dyDescent="0.35">
      <c r="A914" t="s">
        <v>1943</v>
      </c>
      <c r="B914" t="s">
        <v>79</v>
      </c>
      <c r="C914">
        <v>4329396502</v>
      </c>
      <c r="D914">
        <v>2883300770</v>
      </c>
      <c r="E914">
        <v>6022768192</v>
      </c>
      <c r="F914">
        <v>10270379050</v>
      </c>
      <c r="G914">
        <v>0</v>
      </c>
      <c r="H914">
        <v>4092979560</v>
      </c>
      <c r="I914">
        <v>6633878326</v>
      </c>
      <c r="J914">
        <v>10578202421</v>
      </c>
      <c r="K914">
        <v>4963606852</v>
      </c>
      <c r="L914">
        <v>2888127687</v>
      </c>
      <c r="M914">
        <v>15398212523</v>
      </c>
      <c r="N914">
        <v>13297628948</v>
      </c>
      <c r="O914">
        <v>10524392984</v>
      </c>
      <c r="P914">
        <v>5241490420</v>
      </c>
      <c r="Q914">
        <v>9353968012</v>
      </c>
    </row>
    <row r="915" spans="1:17" x14ac:dyDescent="0.35">
      <c r="A915" t="s">
        <v>1943</v>
      </c>
      <c r="B915" t="s">
        <v>80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7" x14ac:dyDescent="0.35">
      <c r="A916" t="s">
        <v>1943</v>
      </c>
      <c r="B916" t="s">
        <v>81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7" x14ac:dyDescent="0.35">
      <c r="A917" t="s">
        <v>1943</v>
      </c>
      <c r="B917" t="s">
        <v>82</v>
      </c>
      <c r="C917">
        <v>5279995822535</v>
      </c>
      <c r="D917">
        <v>4888120824951</v>
      </c>
      <c r="E917">
        <v>5062615711952</v>
      </c>
      <c r="F917">
        <v>10385703442956</v>
      </c>
      <c r="G917">
        <v>0</v>
      </c>
      <c r="H917">
        <v>11114220736603</v>
      </c>
      <c r="I917">
        <v>11368994194642</v>
      </c>
      <c r="J917">
        <v>10970446283995</v>
      </c>
      <c r="K917">
        <v>11021452510074</v>
      </c>
      <c r="L917">
        <v>10625755786957</v>
      </c>
      <c r="M917">
        <v>10688946490114</v>
      </c>
      <c r="N917">
        <v>10271956533247</v>
      </c>
      <c r="O917">
        <v>9552622829568</v>
      </c>
      <c r="P917">
        <v>10203860395612</v>
      </c>
      <c r="Q917">
        <v>10272442966531</v>
      </c>
    </row>
    <row r="918" spans="1:17" x14ac:dyDescent="0.35">
      <c r="A918" t="s">
        <v>1943</v>
      </c>
      <c r="B918" t="s">
        <v>83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7" x14ac:dyDescent="0.35">
      <c r="A919" t="s">
        <v>1943</v>
      </c>
      <c r="B919" t="s">
        <v>84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7" x14ac:dyDescent="0.35">
      <c r="A920" t="s">
        <v>1943</v>
      </c>
      <c r="B920" t="s">
        <v>85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7" x14ac:dyDescent="0.35">
      <c r="A921" t="s">
        <v>1943</v>
      </c>
      <c r="B921" t="s">
        <v>86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7" x14ac:dyDescent="0.35">
      <c r="A922" t="s">
        <v>1943</v>
      </c>
      <c r="B922" t="s">
        <v>87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7" x14ac:dyDescent="0.35">
      <c r="A923" t="s">
        <v>1943</v>
      </c>
      <c r="B923" t="s">
        <v>88</v>
      </c>
      <c r="C923">
        <v>260509326429</v>
      </c>
      <c r="D923">
        <v>264597567171</v>
      </c>
      <c r="E923">
        <v>272373106984</v>
      </c>
      <c r="F923">
        <v>226600000000</v>
      </c>
      <c r="G923">
        <v>0</v>
      </c>
      <c r="H923">
        <v>0</v>
      </c>
      <c r="I923">
        <v>0</v>
      </c>
      <c r="J923">
        <v>0</v>
      </c>
      <c r="K923">
        <v>1352272726</v>
      </c>
      <c r="L923">
        <v>1147727272</v>
      </c>
      <c r="M923">
        <v>943181818</v>
      </c>
      <c r="N923">
        <v>738636364</v>
      </c>
      <c r="O923">
        <v>534090910</v>
      </c>
      <c r="P923">
        <v>329545456</v>
      </c>
      <c r="Q923">
        <v>125000002</v>
      </c>
    </row>
    <row r="924" spans="1:17" x14ac:dyDescent="0.35">
      <c r="A924" t="s">
        <v>1943</v>
      </c>
      <c r="B924" t="s">
        <v>89</v>
      </c>
      <c r="C924">
        <v>230564576242</v>
      </c>
      <c r="D924">
        <v>232483219682</v>
      </c>
      <c r="E924">
        <v>233314660599</v>
      </c>
      <c r="F924">
        <v>243792585545</v>
      </c>
      <c r="G924">
        <v>0</v>
      </c>
      <c r="H924">
        <v>242200367403</v>
      </c>
      <c r="I924">
        <v>446168557306</v>
      </c>
      <c r="J924">
        <v>446787220608</v>
      </c>
      <c r="K924">
        <v>448353242586</v>
      </c>
      <c r="L924">
        <v>452033149880</v>
      </c>
      <c r="M924">
        <v>456916608250</v>
      </c>
      <c r="N924">
        <v>455420187593</v>
      </c>
      <c r="O924">
        <v>453580547303</v>
      </c>
      <c r="P924">
        <v>452022566128</v>
      </c>
      <c r="Q924">
        <v>467731671578</v>
      </c>
    </row>
    <row r="925" spans="1:17" x14ac:dyDescent="0.35">
      <c r="A925" t="s">
        <v>1943</v>
      </c>
      <c r="B925" t="s">
        <v>90</v>
      </c>
      <c r="C925">
        <v>4738348927311</v>
      </c>
      <c r="D925">
        <v>4347547338577</v>
      </c>
      <c r="E925">
        <v>4509644118292</v>
      </c>
      <c r="F925">
        <v>9675112026674</v>
      </c>
      <c r="G925">
        <v>0</v>
      </c>
      <c r="H925">
        <v>10650116813508</v>
      </c>
      <c r="I925">
        <v>10701595831466</v>
      </c>
      <c r="J925">
        <v>10303153962786</v>
      </c>
      <c r="K925">
        <v>10350203154158</v>
      </c>
      <c r="L925">
        <v>9945950959393</v>
      </c>
      <c r="M925">
        <v>10000627498270</v>
      </c>
      <c r="N925">
        <v>9580529049330</v>
      </c>
      <c r="O925">
        <v>8857891146095</v>
      </c>
      <c r="P925">
        <v>9510034072199</v>
      </c>
      <c r="Q925">
        <v>9561904879628</v>
      </c>
    </row>
    <row r="926" spans="1:17" x14ac:dyDescent="0.35">
      <c r="A926" t="s">
        <v>1943</v>
      </c>
      <c r="B926" t="s">
        <v>91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7" x14ac:dyDescent="0.35">
      <c r="A927" t="s">
        <v>1943</v>
      </c>
      <c r="B927" t="s">
        <v>92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7" x14ac:dyDescent="0.35">
      <c r="A928" t="s">
        <v>1943</v>
      </c>
      <c r="B928" t="s">
        <v>93</v>
      </c>
      <c r="C928">
        <v>0</v>
      </c>
      <c r="D928">
        <v>0</v>
      </c>
      <c r="E928">
        <v>0</v>
      </c>
      <c r="F928">
        <v>188013161945</v>
      </c>
      <c r="G928">
        <v>0</v>
      </c>
      <c r="H928">
        <v>189017035226</v>
      </c>
      <c r="I928">
        <v>189017035226</v>
      </c>
      <c r="J928">
        <v>189017035226</v>
      </c>
      <c r="K928">
        <v>189121046892</v>
      </c>
      <c r="L928">
        <v>189101286239</v>
      </c>
      <c r="M928">
        <v>189101286239</v>
      </c>
      <c r="N928">
        <v>189101286239</v>
      </c>
      <c r="O928">
        <v>189101286239</v>
      </c>
      <c r="P928">
        <v>189101286239</v>
      </c>
      <c r="Q928">
        <v>189101286239</v>
      </c>
    </row>
    <row r="929" spans="1:17" x14ac:dyDescent="0.35">
      <c r="A929" t="s">
        <v>1943</v>
      </c>
      <c r="B929" t="s">
        <v>94</v>
      </c>
      <c r="C929">
        <v>50572992553</v>
      </c>
      <c r="D929">
        <v>43492699521</v>
      </c>
      <c r="E929">
        <v>47283826077</v>
      </c>
      <c r="F929">
        <v>52185668792</v>
      </c>
      <c r="G929">
        <v>0</v>
      </c>
      <c r="H929">
        <v>32886520466</v>
      </c>
      <c r="I929">
        <v>32212770644</v>
      </c>
      <c r="J929">
        <v>31488065375</v>
      </c>
      <c r="K929">
        <v>32422793712</v>
      </c>
      <c r="L929">
        <v>37522664173</v>
      </c>
      <c r="M929">
        <v>41357915537</v>
      </c>
      <c r="N929">
        <v>46167373721</v>
      </c>
      <c r="O929">
        <v>51515759021</v>
      </c>
      <c r="P929">
        <v>52372925590</v>
      </c>
      <c r="Q929">
        <v>53580129084</v>
      </c>
    </row>
    <row r="930" spans="1:17" x14ac:dyDescent="0.35">
      <c r="A930" t="s">
        <v>1943</v>
      </c>
      <c r="B930" t="s">
        <v>95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7" x14ac:dyDescent="0.35">
      <c r="A931" t="s">
        <v>1943</v>
      </c>
      <c r="B931" t="s">
        <v>96</v>
      </c>
      <c r="C931">
        <v>11586354155712</v>
      </c>
      <c r="D931">
        <v>12212621884342</v>
      </c>
      <c r="E931">
        <v>12627484663949</v>
      </c>
      <c r="F931">
        <v>15389133962676</v>
      </c>
      <c r="G931">
        <v>0</v>
      </c>
      <c r="H931">
        <v>16356001595926</v>
      </c>
      <c r="I931">
        <v>16945607993973</v>
      </c>
      <c r="J931">
        <v>17570490958343</v>
      </c>
      <c r="K931">
        <v>18230326656594</v>
      </c>
      <c r="L931">
        <v>19211301671321</v>
      </c>
      <c r="M931">
        <v>19797778767519</v>
      </c>
      <c r="N931">
        <v>20059277233512</v>
      </c>
      <c r="O931">
        <v>20516693741498</v>
      </c>
      <c r="P931">
        <v>20770325945515</v>
      </c>
      <c r="Q931">
        <v>20854353493076</v>
      </c>
    </row>
    <row r="932" spans="1:17" x14ac:dyDescent="0.35">
      <c r="A932" t="s">
        <v>1943</v>
      </c>
      <c r="B932" t="s">
        <v>97</v>
      </c>
      <c r="C932">
        <v>11586354155712</v>
      </c>
      <c r="D932">
        <v>12212621884342</v>
      </c>
      <c r="E932">
        <v>12627484663949</v>
      </c>
      <c r="F932">
        <v>15389133962676</v>
      </c>
      <c r="G932">
        <v>0</v>
      </c>
      <c r="H932">
        <v>16356001595926</v>
      </c>
      <c r="I932">
        <v>16945607993973</v>
      </c>
      <c r="J932">
        <v>17570490958343</v>
      </c>
      <c r="K932">
        <v>18230326656594</v>
      </c>
      <c r="L932">
        <v>19211301671321</v>
      </c>
      <c r="M932">
        <v>19797778767519</v>
      </c>
      <c r="N932">
        <v>20059277233512</v>
      </c>
      <c r="O932">
        <v>20516693741498</v>
      </c>
      <c r="P932">
        <v>20770325945515</v>
      </c>
      <c r="Q932">
        <v>20854353493076</v>
      </c>
    </row>
    <row r="933" spans="1:17" x14ac:dyDescent="0.35">
      <c r="A933" t="s">
        <v>1943</v>
      </c>
      <c r="B933" t="s">
        <v>98</v>
      </c>
      <c r="C933">
        <v>3100588410000</v>
      </c>
      <c r="D933">
        <v>3100588410000</v>
      </c>
      <c r="E933">
        <v>3100588410000</v>
      </c>
      <c r="F933">
        <v>3100588410000</v>
      </c>
      <c r="G933">
        <v>0</v>
      </c>
      <c r="H933">
        <v>3100588410000</v>
      </c>
      <c r="I933">
        <v>3100588410000</v>
      </c>
      <c r="J933">
        <v>3564104840000</v>
      </c>
      <c r="K933">
        <v>3564104840000</v>
      </c>
      <c r="L933">
        <v>3564104840000</v>
      </c>
      <c r="M933">
        <v>3564104840000</v>
      </c>
      <c r="N933">
        <v>4097142600000</v>
      </c>
      <c r="O933">
        <v>4097142600000</v>
      </c>
      <c r="P933">
        <v>4097142600000</v>
      </c>
      <c r="Q933">
        <v>4097142600000</v>
      </c>
    </row>
    <row r="934" spans="1:17" x14ac:dyDescent="0.35">
      <c r="A934" t="s">
        <v>1943</v>
      </c>
      <c r="B934" t="s">
        <v>99</v>
      </c>
      <c r="C934">
        <v>3100588410000</v>
      </c>
      <c r="D934">
        <v>3100588410000</v>
      </c>
      <c r="E934">
        <v>3100588410000</v>
      </c>
      <c r="F934">
        <v>3100588410000</v>
      </c>
      <c r="G934">
        <v>0</v>
      </c>
      <c r="H934">
        <v>3100588410000</v>
      </c>
      <c r="I934">
        <v>3100588410000</v>
      </c>
      <c r="J934">
        <v>3564104840000</v>
      </c>
      <c r="K934">
        <v>3564104840000</v>
      </c>
      <c r="L934">
        <v>3564104840000</v>
      </c>
      <c r="M934">
        <v>3564104840000</v>
      </c>
      <c r="N934">
        <v>4097142600000</v>
      </c>
      <c r="O934">
        <v>4097142600000</v>
      </c>
      <c r="P934">
        <v>4097142600000</v>
      </c>
      <c r="Q934">
        <v>4097142600000</v>
      </c>
    </row>
    <row r="935" spans="1:17" x14ac:dyDescent="0.35">
      <c r="A935" t="s">
        <v>1943</v>
      </c>
      <c r="B935" t="s">
        <v>100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7" x14ac:dyDescent="0.35">
      <c r="A936" t="s">
        <v>1943</v>
      </c>
      <c r="B936" t="s">
        <v>101</v>
      </c>
      <c r="C936">
        <v>1050489310786</v>
      </c>
      <c r="D936">
        <v>1050489310786</v>
      </c>
      <c r="E936">
        <v>1050489310786</v>
      </c>
      <c r="F936">
        <v>1050489310786</v>
      </c>
      <c r="G936">
        <v>0</v>
      </c>
      <c r="H936">
        <v>1050489310786</v>
      </c>
      <c r="I936">
        <v>1050489310786</v>
      </c>
      <c r="J936">
        <v>1050489310786</v>
      </c>
      <c r="K936">
        <v>1050489310786</v>
      </c>
      <c r="L936">
        <v>1050489310786</v>
      </c>
      <c r="M936">
        <v>1050489310786</v>
      </c>
      <c r="N936">
        <v>1050489310786</v>
      </c>
      <c r="O936">
        <v>1050489310786</v>
      </c>
      <c r="P936">
        <v>1050489310786</v>
      </c>
      <c r="Q936">
        <v>1050489310786</v>
      </c>
    </row>
    <row r="937" spans="1:17" x14ac:dyDescent="0.35">
      <c r="A937" t="s">
        <v>1943</v>
      </c>
      <c r="B937" t="s">
        <v>102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7" x14ac:dyDescent="0.35">
      <c r="A938" t="s">
        <v>1943</v>
      </c>
      <c r="B938" t="s">
        <v>103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7" x14ac:dyDescent="0.35">
      <c r="A939" t="s">
        <v>1943</v>
      </c>
      <c r="B939" t="s">
        <v>104</v>
      </c>
      <c r="C939">
        <v>-83026660</v>
      </c>
      <c r="D939">
        <v>-47622230162</v>
      </c>
      <c r="E939">
        <v>-47622230162</v>
      </c>
      <c r="F939">
        <v>-47622230162</v>
      </c>
      <c r="G939">
        <v>0</v>
      </c>
      <c r="H939">
        <v>-47622230162</v>
      </c>
      <c r="I939">
        <v>-47622230162</v>
      </c>
      <c r="J939">
        <v>-47622230162</v>
      </c>
      <c r="K939">
        <v>-47622230162</v>
      </c>
      <c r="L939">
        <v>-47622230162</v>
      </c>
      <c r="M939">
        <v>-47622230162</v>
      </c>
      <c r="N939">
        <v>-47622230162</v>
      </c>
      <c r="O939">
        <v>-47622230162</v>
      </c>
      <c r="P939">
        <v>-47622230162</v>
      </c>
      <c r="Q939">
        <v>-47622230162</v>
      </c>
    </row>
    <row r="940" spans="1:17" x14ac:dyDescent="0.35">
      <c r="A940" t="s">
        <v>1943</v>
      </c>
      <c r="B940" t="s">
        <v>105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7" x14ac:dyDescent="0.35">
      <c r="A941" t="s">
        <v>1943</v>
      </c>
      <c r="B941" t="s">
        <v>106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7" x14ac:dyDescent="0.35">
      <c r="A942" t="s">
        <v>1943</v>
      </c>
      <c r="B942" t="s">
        <v>107</v>
      </c>
      <c r="C942">
        <v>234683246107</v>
      </c>
      <c r="D942">
        <v>234721594748</v>
      </c>
      <c r="E942">
        <v>234678637677</v>
      </c>
      <c r="F942">
        <v>234678637677</v>
      </c>
      <c r="G942">
        <v>0</v>
      </c>
      <c r="H942">
        <v>234678637677</v>
      </c>
      <c r="I942">
        <v>234678637677</v>
      </c>
      <c r="J942">
        <v>234678637677</v>
      </c>
      <c r="K942">
        <v>234678637677</v>
      </c>
      <c r="L942">
        <v>234678637677</v>
      </c>
      <c r="M942">
        <v>234678637677</v>
      </c>
      <c r="N942">
        <v>234678637677</v>
      </c>
      <c r="O942">
        <v>234678637677</v>
      </c>
      <c r="P942">
        <v>415591264689</v>
      </c>
      <c r="Q942">
        <v>415591264689</v>
      </c>
    </row>
    <row r="943" spans="1:17" x14ac:dyDescent="0.35">
      <c r="A943" t="s">
        <v>1943</v>
      </c>
      <c r="B943" t="s">
        <v>108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7" x14ac:dyDescent="0.35">
      <c r="A944" t="s">
        <v>1943</v>
      </c>
      <c r="B944" t="s">
        <v>109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7" x14ac:dyDescent="0.35">
      <c r="A945" t="s">
        <v>1943</v>
      </c>
      <c r="B945" t="s">
        <v>110</v>
      </c>
      <c r="C945">
        <v>6463597737100</v>
      </c>
      <c r="D945">
        <v>7114794437554</v>
      </c>
      <c r="E945">
        <v>7529962988583</v>
      </c>
      <c r="F945">
        <v>7906951232854</v>
      </c>
      <c r="G945">
        <v>0</v>
      </c>
      <c r="H945">
        <v>8962393307280</v>
      </c>
      <c r="I945">
        <v>9344612387763</v>
      </c>
      <c r="J945">
        <v>9471209767023</v>
      </c>
      <c r="K945">
        <v>9987277949229</v>
      </c>
      <c r="L945">
        <v>10706160897582</v>
      </c>
      <c r="M945">
        <v>11075172647547</v>
      </c>
      <c r="N945">
        <v>11030872773673</v>
      </c>
      <c r="O945">
        <v>11480522946352</v>
      </c>
      <c r="P945">
        <v>11803320970584</v>
      </c>
      <c r="Q945">
        <v>11870809165919</v>
      </c>
    </row>
    <row r="946" spans="1:17" x14ac:dyDescent="0.35">
      <c r="A946" t="s">
        <v>1943</v>
      </c>
      <c r="B946" t="s">
        <v>111</v>
      </c>
      <c r="C946">
        <v>976668049604</v>
      </c>
      <c r="D946">
        <v>1627917121983</v>
      </c>
      <c r="E946">
        <v>415811685438</v>
      </c>
      <c r="F946">
        <v>799211065821</v>
      </c>
      <c r="G946">
        <v>0</v>
      </c>
      <c r="H946">
        <v>1854653140246</v>
      </c>
      <c r="I946">
        <v>693336998049</v>
      </c>
      <c r="J946">
        <v>1290152191642</v>
      </c>
      <c r="K946">
        <v>1971007441836</v>
      </c>
      <c r="L946">
        <v>8015960858256</v>
      </c>
      <c r="M946">
        <v>10330090931228</v>
      </c>
      <c r="N946">
        <v>9796373019095</v>
      </c>
      <c r="O946">
        <v>9796373019095</v>
      </c>
      <c r="P946">
        <v>9615459841273</v>
      </c>
      <c r="Q946">
        <v>11390327663046</v>
      </c>
    </row>
    <row r="947" spans="1:17" x14ac:dyDescent="0.35">
      <c r="A947" t="s">
        <v>1943</v>
      </c>
      <c r="B947" t="s">
        <v>112</v>
      </c>
      <c r="C947">
        <v>5486929687496</v>
      </c>
      <c r="D947">
        <v>5486877315571</v>
      </c>
      <c r="E947">
        <v>7114151303145</v>
      </c>
      <c r="F947">
        <v>7107740167033</v>
      </c>
      <c r="G947">
        <v>0</v>
      </c>
      <c r="H947">
        <v>7107740167034</v>
      </c>
      <c r="I947">
        <v>8651275389714</v>
      </c>
      <c r="J947">
        <v>8181057575381</v>
      </c>
      <c r="K947">
        <v>8016270507393</v>
      </c>
      <c r="L947">
        <v>2690200039326</v>
      </c>
      <c r="M947">
        <v>745081716319</v>
      </c>
      <c r="N947">
        <v>1234499754578</v>
      </c>
      <c r="O947">
        <v>1684149927257</v>
      </c>
      <c r="P947">
        <v>2187861129311</v>
      </c>
      <c r="Q947">
        <v>480481502873</v>
      </c>
    </row>
    <row r="948" spans="1:17" x14ac:dyDescent="0.35">
      <c r="A948" t="s">
        <v>1943</v>
      </c>
      <c r="B948" t="s">
        <v>113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7" x14ac:dyDescent="0.35">
      <c r="A949" t="s">
        <v>1943</v>
      </c>
      <c r="B949" t="s">
        <v>114</v>
      </c>
      <c r="C949">
        <v>737078478379</v>
      </c>
      <c r="D949">
        <v>759650361416</v>
      </c>
      <c r="E949">
        <v>759387547065</v>
      </c>
      <c r="F949">
        <v>3144048601521</v>
      </c>
      <c r="G949">
        <v>0</v>
      </c>
      <c r="H949">
        <v>3055474160345</v>
      </c>
      <c r="I949">
        <v>3262861477909</v>
      </c>
      <c r="J949">
        <v>3297630633019</v>
      </c>
      <c r="K949">
        <v>3441398149064</v>
      </c>
      <c r="L949">
        <v>3703490215438</v>
      </c>
      <c r="M949">
        <v>3920955561671</v>
      </c>
      <c r="N949">
        <v>3693716141538</v>
      </c>
      <c r="O949">
        <v>3701482476845</v>
      </c>
      <c r="P949">
        <v>3451404029618</v>
      </c>
      <c r="Q949">
        <v>3467943381844</v>
      </c>
    </row>
    <row r="950" spans="1:17" x14ac:dyDescent="0.35">
      <c r="A950" t="s">
        <v>1943</v>
      </c>
      <c r="B950" t="s">
        <v>115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7" x14ac:dyDescent="0.35">
      <c r="A951" t="s">
        <v>1943</v>
      </c>
      <c r="B951" t="s">
        <v>116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7" x14ac:dyDescent="0.35">
      <c r="A952" t="s">
        <v>1943</v>
      </c>
      <c r="B952" t="s">
        <v>117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7" x14ac:dyDescent="0.35">
      <c r="A953" t="s">
        <v>1943</v>
      </c>
      <c r="B953" t="s">
        <v>118</v>
      </c>
      <c r="C953">
        <v>19810981951467</v>
      </c>
      <c r="D953">
        <v>20536416327143</v>
      </c>
      <c r="E953">
        <v>20817328776076</v>
      </c>
      <c r="F953">
        <v>30377145600455</v>
      </c>
      <c r="G953">
        <v>0</v>
      </c>
      <c r="H953">
        <v>31826349357719</v>
      </c>
      <c r="I953">
        <v>32402404824454</v>
      </c>
      <c r="J953">
        <v>32501644066940</v>
      </c>
      <c r="K953">
        <v>33044817571174</v>
      </c>
      <c r="L953">
        <v>33928094686814</v>
      </c>
      <c r="M953">
        <v>34321902385632</v>
      </c>
      <c r="N953">
        <v>34272226135897</v>
      </c>
      <c r="O953">
        <v>34589085155762</v>
      </c>
      <c r="P953">
        <v>34910326181275</v>
      </c>
      <c r="Q953">
        <v>35140768890615</v>
      </c>
    </row>
    <row r="954" spans="1:17" x14ac:dyDescent="0.35">
      <c r="A954" t="s">
        <v>1958</v>
      </c>
      <c r="B954" t="s">
        <v>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7" x14ac:dyDescent="0.35">
      <c r="A955" t="s">
        <v>1958</v>
      </c>
      <c r="B955" t="s">
        <v>7</v>
      </c>
      <c r="C955">
        <v>279932004089</v>
      </c>
      <c r="D955">
        <v>104200055188</v>
      </c>
      <c r="E955">
        <v>109065305331</v>
      </c>
      <c r="F955">
        <v>143192086997</v>
      </c>
      <c r="G955">
        <v>137508562783</v>
      </c>
      <c r="H955">
        <v>159859937012</v>
      </c>
      <c r="I955">
        <v>198439971004</v>
      </c>
      <c r="J955">
        <v>212127805474</v>
      </c>
      <c r="K955">
        <v>210197402004</v>
      </c>
      <c r="L955">
        <v>202639206612</v>
      </c>
      <c r="M955">
        <v>201287649833</v>
      </c>
      <c r="N955">
        <v>170607437532</v>
      </c>
      <c r="O955">
        <v>211037474015</v>
      </c>
      <c r="P955">
        <v>196588132131</v>
      </c>
      <c r="Q955">
        <v>212272354068</v>
      </c>
    </row>
    <row r="956" spans="1:17" x14ac:dyDescent="0.35">
      <c r="A956" t="s">
        <v>1958</v>
      </c>
      <c r="B956" t="s">
        <v>8</v>
      </c>
      <c r="C956">
        <v>7055058740</v>
      </c>
      <c r="D956">
        <v>3988057552</v>
      </c>
      <c r="E956">
        <v>17916436374</v>
      </c>
      <c r="F956">
        <v>12756918795</v>
      </c>
      <c r="G956">
        <v>10769698730</v>
      </c>
      <c r="H956">
        <v>23871515820</v>
      </c>
      <c r="I956">
        <v>8808190497</v>
      </c>
      <c r="J956">
        <v>48330108995</v>
      </c>
      <c r="K956">
        <v>52944264710</v>
      </c>
      <c r="L956">
        <v>82495469622</v>
      </c>
      <c r="M956">
        <v>29226783623</v>
      </c>
      <c r="N956">
        <v>1140389410</v>
      </c>
      <c r="O956">
        <v>33799594987</v>
      </c>
      <c r="P956">
        <v>3907257692</v>
      </c>
      <c r="Q956">
        <v>6582666914</v>
      </c>
    </row>
    <row r="957" spans="1:17" x14ac:dyDescent="0.35">
      <c r="A957" t="s">
        <v>1958</v>
      </c>
      <c r="B957" t="s">
        <v>9</v>
      </c>
      <c r="C957">
        <v>7055058740</v>
      </c>
      <c r="D957">
        <v>3988057552</v>
      </c>
      <c r="E957">
        <v>17916436374</v>
      </c>
      <c r="F957">
        <v>12756918795</v>
      </c>
      <c r="G957">
        <v>10769698730</v>
      </c>
      <c r="H957">
        <v>23871515820</v>
      </c>
      <c r="I957">
        <v>8808190497</v>
      </c>
      <c r="J957">
        <v>48330108995</v>
      </c>
      <c r="K957">
        <v>52944264710</v>
      </c>
      <c r="L957">
        <v>82495469622</v>
      </c>
      <c r="M957">
        <v>29226783623</v>
      </c>
      <c r="N957">
        <v>1140389410</v>
      </c>
      <c r="O957">
        <v>33799594987</v>
      </c>
      <c r="P957">
        <v>3907257692</v>
      </c>
      <c r="Q957">
        <v>6582666914</v>
      </c>
    </row>
    <row r="958" spans="1:17" x14ac:dyDescent="0.35">
      <c r="A958" t="s">
        <v>1958</v>
      </c>
      <c r="B958" t="s">
        <v>10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7" x14ac:dyDescent="0.35">
      <c r="A959" t="s">
        <v>1958</v>
      </c>
      <c r="B959" t="s">
        <v>11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7" x14ac:dyDescent="0.35">
      <c r="A960" t="s">
        <v>1958</v>
      </c>
      <c r="B960" t="s">
        <v>12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7" x14ac:dyDescent="0.35">
      <c r="A961" t="s">
        <v>1958</v>
      </c>
      <c r="B961" t="s">
        <v>13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7" x14ac:dyDescent="0.35">
      <c r="A962" t="s">
        <v>1958</v>
      </c>
      <c r="B962" t="s">
        <v>14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7" x14ac:dyDescent="0.35">
      <c r="A963" t="s">
        <v>1958</v>
      </c>
      <c r="B963" t="s">
        <v>15</v>
      </c>
      <c r="C963">
        <v>219252157562</v>
      </c>
      <c r="D963">
        <v>95706837884</v>
      </c>
      <c r="E963">
        <v>91028640390</v>
      </c>
      <c r="F963">
        <v>130368174078</v>
      </c>
      <c r="G963">
        <v>126316429796</v>
      </c>
      <c r="H963">
        <v>119052979825</v>
      </c>
      <c r="I963">
        <v>180760993125</v>
      </c>
      <c r="J963">
        <v>159533274512</v>
      </c>
      <c r="K963">
        <v>150711074906</v>
      </c>
      <c r="L963">
        <v>117771976181</v>
      </c>
      <c r="M963">
        <v>171287758217</v>
      </c>
      <c r="N963">
        <v>169407272743</v>
      </c>
      <c r="O963">
        <v>176825022061</v>
      </c>
      <c r="P963">
        <v>192375164438</v>
      </c>
      <c r="Q963">
        <v>204798484870</v>
      </c>
    </row>
    <row r="964" spans="1:17" x14ac:dyDescent="0.35">
      <c r="A964" t="s">
        <v>1958</v>
      </c>
      <c r="B964" t="s">
        <v>16</v>
      </c>
      <c r="C964">
        <v>64754083392</v>
      </c>
      <c r="D964">
        <v>49063025057</v>
      </c>
      <c r="E964">
        <v>53827208031</v>
      </c>
      <c r="F964">
        <v>72991289972</v>
      </c>
      <c r="G964">
        <v>54627520978</v>
      </c>
      <c r="H964">
        <v>59874896470</v>
      </c>
      <c r="I964">
        <v>101038446781</v>
      </c>
      <c r="J964">
        <v>103608421767</v>
      </c>
      <c r="K964">
        <v>79734736210</v>
      </c>
      <c r="L964">
        <v>68242327282</v>
      </c>
      <c r="M964">
        <v>61469991382</v>
      </c>
      <c r="N964">
        <v>74595514349</v>
      </c>
      <c r="O964">
        <v>68078165667</v>
      </c>
      <c r="P964">
        <v>87028879344</v>
      </c>
      <c r="Q964">
        <v>92098953823</v>
      </c>
    </row>
    <row r="965" spans="1:17" x14ac:dyDescent="0.35">
      <c r="A965" t="s">
        <v>1958</v>
      </c>
      <c r="B965" t="s">
        <v>17</v>
      </c>
      <c r="C965">
        <v>125564700552</v>
      </c>
      <c r="D965">
        <v>45103022073</v>
      </c>
      <c r="E965">
        <v>37098745517</v>
      </c>
      <c r="F965">
        <v>34169885885</v>
      </c>
      <c r="G965">
        <v>45227288939</v>
      </c>
      <c r="H965">
        <v>55369825342</v>
      </c>
      <c r="I965">
        <v>47166700462</v>
      </c>
      <c r="J965">
        <v>46313495457</v>
      </c>
      <c r="K965">
        <v>45714981408</v>
      </c>
      <c r="L965">
        <v>45577291611</v>
      </c>
      <c r="M965">
        <v>46267229050</v>
      </c>
      <c r="N965">
        <v>32127960000</v>
      </c>
      <c r="O965">
        <v>6395558000</v>
      </c>
      <c r="P965">
        <v>8400501880</v>
      </c>
      <c r="Q965">
        <v>10128724301</v>
      </c>
    </row>
    <row r="966" spans="1:17" x14ac:dyDescent="0.35">
      <c r="A966" t="s">
        <v>1958</v>
      </c>
      <c r="B966" t="s">
        <v>18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7" x14ac:dyDescent="0.35">
      <c r="A967" t="s">
        <v>1958</v>
      </c>
      <c r="B967" t="s">
        <v>19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7" x14ac:dyDescent="0.35">
      <c r="A968" t="s">
        <v>1958</v>
      </c>
      <c r="B968" t="s">
        <v>20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7" x14ac:dyDescent="0.35">
      <c r="A969" t="s">
        <v>1958</v>
      </c>
      <c r="B969" t="s">
        <v>21</v>
      </c>
      <c r="C969">
        <v>28933373618</v>
      </c>
      <c r="D969">
        <v>1540790754</v>
      </c>
      <c r="E969">
        <v>102686842</v>
      </c>
      <c r="F969">
        <v>23206998221</v>
      </c>
      <c r="G969">
        <v>26461619879</v>
      </c>
      <c r="H969">
        <v>3808258013</v>
      </c>
      <c r="I969">
        <v>32555845882</v>
      </c>
      <c r="J969">
        <v>9611357288</v>
      </c>
      <c r="K969">
        <v>25261357288</v>
      </c>
      <c r="L969">
        <v>3952357288</v>
      </c>
      <c r="M969">
        <v>63550537785</v>
      </c>
      <c r="N969">
        <v>62683798394</v>
      </c>
      <c r="O969">
        <v>102351298394</v>
      </c>
      <c r="P969">
        <v>96945783214</v>
      </c>
      <c r="Q969">
        <v>102570806746</v>
      </c>
    </row>
    <row r="970" spans="1:17" x14ac:dyDescent="0.35">
      <c r="A970" t="s">
        <v>1958</v>
      </c>
      <c r="B970" t="s">
        <v>22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7" x14ac:dyDescent="0.35">
      <c r="A971" t="s">
        <v>1958</v>
      </c>
      <c r="B971" t="s">
        <v>23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7" x14ac:dyDescent="0.35">
      <c r="A972" t="s">
        <v>1958</v>
      </c>
      <c r="B972" t="s">
        <v>24</v>
      </c>
      <c r="C972">
        <v>394547272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7" x14ac:dyDescent="0.35">
      <c r="A973" t="s">
        <v>1958</v>
      </c>
      <c r="B973" t="s">
        <v>25</v>
      </c>
      <c r="C973">
        <v>394547272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7" x14ac:dyDescent="0.35">
      <c r="A974" t="s">
        <v>1958</v>
      </c>
      <c r="B974" t="s">
        <v>26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7" x14ac:dyDescent="0.35">
      <c r="A975" t="s">
        <v>1958</v>
      </c>
      <c r="B975" t="s">
        <v>27</v>
      </c>
      <c r="C975">
        <v>53230240515</v>
      </c>
      <c r="D975">
        <v>4505159752</v>
      </c>
      <c r="E975">
        <v>120228567</v>
      </c>
      <c r="F975">
        <v>66994124</v>
      </c>
      <c r="G975">
        <v>422434257</v>
      </c>
      <c r="H975">
        <v>16935441367</v>
      </c>
      <c r="I975">
        <v>8870787382</v>
      </c>
      <c r="J975">
        <v>4264421967</v>
      </c>
      <c r="K975">
        <v>6542062388</v>
      </c>
      <c r="L975">
        <v>2371760809</v>
      </c>
      <c r="M975">
        <v>773107993</v>
      </c>
      <c r="N975">
        <v>59775379</v>
      </c>
      <c r="O975">
        <v>412856967</v>
      </c>
      <c r="P975">
        <v>305710001</v>
      </c>
      <c r="Q975">
        <v>891202284</v>
      </c>
    </row>
    <row r="976" spans="1:17" x14ac:dyDescent="0.35">
      <c r="A976" t="s">
        <v>1958</v>
      </c>
      <c r="B976" t="s">
        <v>28</v>
      </c>
      <c r="C976">
        <v>129730956</v>
      </c>
      <c r="D976">
        <v>201685562</v>
      </c>
      <c r="E976">
        <v>120228567</v>
      </c>
      <c r="F976">
        <v>66994124</v>
      </c>
      <c r="G976">
        <v>422434257</v>
      </c>
      <c r="H976">
        <v>11280108782</v>
      </c>
      <c r="I976">
        <v>8870787382</v>
      </c>
      <c r="J976">
        <v>4264421967</v>
      </c>
      <c r="K976">
        <v>6542062388</v>
      </c>
      <c r="L976">
        <v>1643426690</v>
      </c>
      <c r="M976">
        <v>688970953</v>
      </c>
      <c r="N976">
        <v>59775379</v>
      </c>
      <c r="O976">
        <v>412856967</v>
      </c>
      <c r="P976">
        <v>305710001</v>
      </c>
      <c r="Q976">
        <v>891202284</v>
      </c>
    </row>
    <row r="977" spans="1:17" x14ac:dyDescent="0.35">
      <c r="A977" t="s">
        <v>1958</v>
      </c>
      <c r="B977" t="s">
        <v>29</v>
      </c>
      <c r="C977">
        <v>53100509559</v>
      </c>
      <c r="D977">
        <v>4303474190</v>
      </c>
      <c r="E977">
        <v>0</v>
      </c>
      <c r="F977">
        <v>0</v>
      </c>
      <c r="G977">
        <v>0</v>
      </c>
      <c r="H977">
        <v>5655332585</v>
      </c>
      <c r="I977">
        <v>0</v>
      </c>
      <c r="J977">
        <v>0</v>
      </c>
      <c r="K977">
        <v>0</v>
      </c>
      <c r="L977">
        <v>728334119</v>
      </c>
      <c r="M977">
        <v>84137040</v>
      </c>
      <c r="N977">
        <v>0</v>
      </c>
    </row>
    <row r="978" spans="1:17" x14ac:dyDescent="0.35">
      <c r="A978" t="s">
        <v>1958</v>
      </c>
      <c r="B978" t="s">
        <v>30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7" x14ac:dyDescent="0.35">
      <c r="A979" t="s">
        <v>1958</v>
      </c>
      <c r="B979" t="s">
        <v>31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7" x14ac:dyDescent="0.35">
      <c r="A980" t="s">
        <v>1958</v>
      </c>
      <c r="B980" t="s">
        <v>32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7" x14ac:dyDescent="0.35">
      <c r="A981" t="s">
        <v>1958</v>
      </c>
      <c r="B981" t="s">
        <v>33</v>
      </c>
      <c r="C981">
        <v>4382467568075</v>
      </c>
      <c r="D981">
        <v>4613085398992</v>
      </c>
      <c r="E981">
        <v>4607659845752</v>
      </c>
      <c r="F981">
        <v>4594432861828</v>
      </c>
      <c r="G981">
        <v>4562322186098</v>
      </c>
      <c r="H981">
        <v>4587007262129</v>
      </c>
      <c r="I981">
        <v>4546964719876</v>
      </c>
      <c r="J981">
        <v>4494310798465</v>
      </c>
      <c r="K981">
        <v>4453566891217</v>
      </c>
      <c r="L981">
        <v>4402891649151</v>
      </c>
      <c r="M981">
        <v>4342090393024</v>
      </c>
      <c r="N981">
        <v>4290969077450</v>
      </c>
      <c r="O981">
        <v>4239514929530</v>
      </c>
      <c r="P981">
        <v>4187858873961</v>
      </c>
      <c r="Q981">
        <v>4128982688118</v>
      </c>
    </row>
    <row r="982" spans="1:17" x14ac:dyDescent="0.35">
      <c r="A982" t="s">
        <v>1958</v>
      </c>
      <c r="B982" t="s">
        <v>34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7" x14ac:dyDescent="0.35">
      <c r="A983" t="s">
        <v>1958</v>
      </c>
      <c r="B983" t="s">
        <v>35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7" x14ac:dyDescent="0.35">
      <c r="A984" t="s">
        <v>1958</v>
      </c>
      <c r="B984" t="s">
        <v>36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7" x14ac:dyDescent="0.35">
      <c r="A985" t="s">
        <v>1958</v>
      </c>
      <c r="B985" t="s">
        <v>37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7" x14ac:dyDescent="0.35">
      <c r="A986" t="s">
        <v>1958</v>
      </c>
      <c r="B986" t="s">
        <v>38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7" x14ac:dyDescent="0.35">
      <c r="A987" t="s">
        <v>1958</v>
      </c>
      <c r="B987" t="s">
        <v>39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7" x14ac:dyDescent="0.35">
      <c r="A988" t="s">
        <v>1958</v>
      </c>
      <c r="B988" t="s">
        <v>40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7" x14ac:dyDescent="0.35">
      <c r="A989" t="s">
        <v>1958</v>
      </c>
      <c r="B989" t="s">
        <v>41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7" x14ac:dyDescent="0.35">
      <c r="A990" t="s">
        <v>1958</v>
      </c>
      <c r="B990" t="s">
        <v>42</v>
      </c>
      <c r="C990">
        <v>2715638135764</v>
      </c>
      <c r="D990">
        <v>3656929177860</v>
      </c>
      <c r="E990">
        <v>4486116660214</v>
      </c>
      <c r="F990">
        <v>4434323236755</v>
      </c>
      <c r="G990">
        <v>4382608968297</v>
      </c>
      <c r="H990">
        <v>4429842012439</v>
      </c>
      <c r="I990">
        <v>4383497393430</v>
      </c>
      <c r="J990">
        <v>4331758737782</v>
      </c>
      <c r="K990">
        <v>4290975138843</v>
      </c>
      <c r="L990">
        <v>4240290844108</v>
      </c>
      <c r="M990">
        <v>4188854592942</v>
      </c>
      <c r="N990">
        <v>4137418341776</v>
      </c>
      <c r="O990">
        <v>4085982090610</v>
      </c>
      <c r="P990">
        <v>4034548028839</v>
      </c>
      <c r="Q990">
        <v>3983115845855</v>
      </c>
    </row>
    <row r="991" spans="1:17" x14ac:dyDescent="0.35">
      <c r="A991" t="s">
        <v>1958</v>
      </c>
      <c r="B991" t="s">
        <v>43</v>
      </c>
      <c r="C991">
        <v>2715490408864</v>
      </c>
      <c r="D991">
        <v>3656781450960</v>
      </c>
      <c r="E991">
        <v>4485968933314</v>
      </c>
      <c r="F991">
        <v>4434175509855</v>
      </c>
      <c r="G991">
        <v>4382461241397</v>
      </c>
      <c r="H991">
        <v>4429694285539</v>
      </c>
      <c r="I991">
        <v>4383349666530</v>
      </c>
      <c r="J991">
        <v>4331611010882</v>
      </c>
      <c r="K991">
        <v>4290827411943</v>
      </c>
      <c r="L991">
        <v>4240143117208</v>
      </c>
      <c r="M991">
        <v>4188706866042</v>
      </c>
      <c r="N991">
        <v>4137270614876</v>
      </c>
      <c r="O991">
        <v>4085834363710</v>
      </c>
      <c r="P991">
        <v>4034400301939</v>
      </c>
      <c r="Q991">
        <v>3982968118955</v>
      </c>
    </row>
    <row r="992" spans="1:17" x14ac:dyDescent="0.35">
      <c r="A992" t="s">
        <v>1958</v>
      </c>
      <c r="B992" t="s">
        <v>44</v>
      </c>
      <c r="C992">
        <v>3080707815357</v>
      </c>
      <c r="D992">
        <v>4060490880354</v>
      </c>
      <c r="E992">
        <v>4940971786165</v>
      </c>
      <c r="F992">
        <v>4940971786165</v>
      </c>
      <c r="G992">
        <v>4941050941165</v>
      </c>
      <c r="H992">
        <v>5040130161485</v>
      </c>
      <c r="I992">
        <v>5044663343303</v>
      </c>
      <c r="J992">
        <v>5044663343303</v>
      </c>
      <c r="K992">
        <v>5055993519998</v>
      </c>
      <c r="L992">
        <v>5055677710378</v>
      </c>
      <c r="M992">
        <v>5055677710378</v>
      </c>
      <c r="N992">
        <v>5055677710378</v>
      </c>
      <c r="O992">
        <v>5055677710378</v>
      </c>
      <c r="P992">
        <v>5055677710378</v>
      </c>
      <c r="Q992">
        <v>5055677710378</v>
      </c>
    </row>
    <row r="993" spans="1:17" x14ac:dyDescent="0.35">
      <c r="A993" t="s">
        <v>1958</v>
      </c>
      <c r="B993" t="s">
        <v>45</v>
      </c>
      <c r="C993">
        <v>-365217406493</v>
      </c>
      <c r="D993">
        <v>-403709429394</v>
      </c>
      <c r="E993">
        <v>-455002852851</v>
      </c>
      <c r="F993">
        <v>-506796276310</v>
      </c>
      <c r="G993">
        <v>-558589699768</v>
      </c>
      <c r="H993">
        <v>-610435875946</v>
      </c>
      <c r="I993">
        <v>-661313676773</v>
      </c>
      <c r="J993">
        <v>-713052332421</v>
      </c>
      <c r="K993">
        <v>-765166108055</v>
      </c>
      <c r="L993">
        <v>-815534593170</v>
      </c>
      <c r="M993">
        <v>-866970844336</v>
      </c>
      <c r="N993">
        <v>-918407095502</v>
      </c>
      <c r="O993">
        <v>-969843346668</v>
      </c>
      <c r="P993">
        <v>-1021277408439</v>
      </c>
      <c r="Q993">
        <v>-1072709591423</v>
      </c>
    </row>
    <row r="994" spans="1:17" x14ac:dyDescent="0.35">
      <c r="A994" t="s">
        <v>1958</v>
      </c>
      <c r="B994" t="s">
        <v>46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7" x14ac:dyDescent="0.35">
      <c r="A995" t="s">
        <v>1958</v>
      </c>
      <c r="B995" t="s">
        <v>44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7" x14ac:dyDescent="0.35">
      <c r="A996" t="s">
        <v>1958</v>
      </c>
      <c r="B996" t="s">
        <v>45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7" x14ac:dyDescent="0.35">
      <c r="A997" t="s">
        <v>1958</v>
      </c>
      <c r="B997" t="s">
        <v>47</v>
      </c>
      <c r="C997">
        <v>147726900</v>
      </c>
      <c r="D997">
        <v>147726900</v>
      </c>
      <c r="E997">
        <v>147726900</v>
      </c>
      <c r="F997">
        <v>147726900</v>
      </c>
      <c r="G997">
        <v>147726900</v>
      </c>
      <c r="H997">
        <v>147726900</v>
      </c>
      <c r="I997">
        <v>147726900</v>
      </c>
      <c r="J997">
        <v>147726900</v>
      </c>
      <c r="K997">
        <v>147726900</v>
      </c>
      <c r="L997">
        <v>147726900</v>
      </c>
      <c r="M997">
        <v>147726900</v>
      </c>
      <c r="N997">
        <v>147726900</v>
      </c>
      <c r="O997">
        <v>147726900</v>
      </c>
      <c r="P997">
        <v>147726900</v>
      </c>
      <c r="Q997">
        <v>147726900</v>
      </c>
    </row>
    <row r="998" spans="1:17" x14ac:dyDescent="0.35">
      <c r="A998" t="s">
        <v>1958</v>
      </c>
      <c r="B998" t="s">
        <v>44</v>
      </c>
      <c r="C998">
        <v>147726900</v>
      </c>
      <c r="D998">
        <v>147726900</v>
      </c>
      <c r="E998">
        <v>147726900</v>
      </c>
      <c r="F998">
        <v>147726900</v>
      </c>
      <c r="G998">
        <v>147726900</v>
      </c>
      <c r="H998">
        <v>147726900</v>
      </c>
      <c r="I998">
        <v>147726900</v>
      </c>
      <c r="J998">
        <v>147726900</v>
      </c>
      <c r="K998">
        <v>147726900</v>
      </c>
      <c r="L998">
        <v>147726900</v>
      </c>
      <c r="M998">
        <v>147726900</v>
      </c>
      <c r="N998">
        <v>147726900</v>
      </c>
      <c r="O998">
        <v>147726900</v>
      </c>
      <c r="P998">
        <v>147726900</v>
      </c>
      <c r="Q998">
        <v>147726900</v>
      </c>
    </row>
    <row r="999" spans="1:17" x14ac:dyDescent="0.35">
      <c r="A999" t="s">
        <v>1958</v>
      </c>
      <c r="B999" t="s">
        <v>45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7" x14ac:dyDescent="0.35">
      <c r="A1000" t="s">
        <v>1958</v>
      </c>
      <c r="B1000" t="s">
        <v>48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7" x14ac:dyDescent="0.35">
      <c r="A1001" t="s">
        <v>1958</v>
      </c>
      <c r="B1001" t="s">
        <v>44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7" x14ac:dyDescent="0.35">
      <c r="A1002" t="s">
        <v>1958</v>
      </c>
      <c r="B1002" t="s">
        <v>45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7" x14ac:dyDescent="0.35">
      <c r="A1003" t="s">
        <v>1958</v>
      </c>
      <c r="B1003" t="s">
        <v>49</v>
      </c>
      <c r="C1003">
        <v>1549539432311</v>
      </c>
      <c r="D1003">
        <v>839456221132</v>
      </c>
      <c r="E1003">
        <v>4843185538</v>
      </c>
      <c r="F1003">
        <v>43315849332</v>
      </c>
      <c r="G1003">
        <v>62859970508</v>
      </c>
      <c r="H1003">
        <v>40325706332</v>
      </c>
      <c r="I1003">
        <v>46650201787</v>
      </c>
      <c r="J1003">
        <v>45746199887</v>
      </c>
      <c r="K1003">
        <v>45742613523</v>
      </c>
      <c r="L1003">
        <v>45742613523</v>
      </c>
      <c r="M1003">
        <v>45742613523</v>
      </c>
      <c r="N1003">
        <v>46066687597</v>
      </c>
      <c r="O1003">
        <v>46066687597</v>
      </c>
      <c r="P1003">
        <v>46066687597</v>
      </c>
      <c r="Q1003">
        <v>46498687597</v>
      </c>
    </row>
    <row r="1004" spans="1:17" x14ac:dyDescent="0.35">
      <c r="A1004" t="s">
        <v>1958</v>
      </c>
      <c r="B1004" t="s">
        <v>50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7" x14ac:dyDescent="0.35">
      <c r="A1005" t="s">
        <v>1958</v>
      </c>
      <c r="B1005" t="s">
        <v>51</v>
      </c>
      <c r="C1005">
        <v>1549539432311</v>
      </c>
      <c r="D1005">
        <v>839456221132</v>
      </c>
      <c r="E1005">
        <v>4843185538</v>
      </c>
      <c r="F1005">
        <v>43315849332</v>
      </c>
      <c r="G1005">
        <v>62859970508</v>
      </c>
      <c r="H1005">
        <v>40325706332</v>
      </c>
      <c r="I1005">
        <v>46650201787</v>
      </c>
      <c r="J1005">
        <v>45746199887</v>
      </c>
      <c r="K1005">
        <v>45742613523</v>
      </c>
      <c r="L1005">
        <v>45742613523</v>
      </c>
      <c r="M1005">
        <v>45742613523</v>
      </c>
      <c r="N1005">
        <v>46066687597</v>
      </c>
      <c r="O1005">
        <v>46066687597</v>
      </c>
      <c r="P1005">
        <v>46066687597</v>
      </c>
      <c r="Q1005">
        <v>46498687597</v>
      </c>
    </row>
    <row r="1006" spans="1:17" x14ac:dyDescent="0.35">
      <c r="A1006" t="s">
        <v>1958</v>
      </c>
      <c r="B1006" t="s">
        <v>52</v>
      </c>
      <c r="C1006">
        <v>117290000000</v>
      </c>
      <c r="D1006">
        <v>116700000000</v>
      </c>
      <c r="E1006">
        <v>116700000000</v>
      </c>
      <c r="F1006">
        <v>116700000000</v>
      </c>
      <c r="G1006">
        <v>116700000000</v>
      </c>
      <c r="H1006">
        <v>116700000000</v>
      </c>
      <c r="I1006">
        <v>116700000000</v>
      </c>
      <c r="J1006">
        <v>116700000000</v>
      </c>
      <c r="K1006">
        <v>116700000000</v>
      </c>
      <c r="L1006">
        <v>116700000000</v>
      </c>
      <c r="M1006">
        <v>107367506880</v>
      </c>
      <c r="N1006">
        <v>107367506880</v>
      </c>
      <c r="O1006">
        <v>107367506880</v>
      </c>
      <c r="P1006">
        <v>107167506880</v>
      </c>
      <c r="Q1006">
        <v>99296899070</v>
      </c>
    </row>
    <row r="1007" spans="1:17" x14ac:dyDescent="0.35">
      <c r="A1007" t="s">
        <v>1958</v>
      </c>
      <c r="B1007" t="s">
        <v>53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7" x14ac:dyDescent="0.35">
      <c r="A1008" t="s">
        <v>1958</v>
      </c>
      <c r="B1008" t="s">
        <v>54</v>
      </c>
      <c r="C1008">
        <v>115500000000</v>
      </c>
      <c r="D1008">
        <v>115500000000</v>
      </c>
      <c r="E1008">
        <v>115500000000</v>
      </c>
      <c r="F1008">
        <v>115500000000</v>
      </c>
      <c r="G1008">
        <v>115500000000</v>
      </c>
      <c r="H1008">
        <v>115500000000</v>
      </c>
      <c r="I1008">
        <v>115500000000</v>
      </c>
      <c r="J1008">
        <v>115500000000</v>
      </c>
      <c r="K1008">
        <v>115500000000</v>
      </c>
      <c r="L1008">
        <v>115500000000</v>
      </c>
      <c r="M1008">
        <v>115500000000</v>
      </c>
      <c r="N1008">
        <v>115500000000</v>
      </c>
      <c r="O1008">
        <v>115500000000</v>
      </c>
      <c r="P1008">
        <v>115500000000</v>
      </c>
      <c r="Q1008">
        <v>115500000000</v>
      </c>
    </row>
    <row r="1009" spans="1:17" x14ac:dyDescent="0.35">
      <c r="A1009" t="s">
        <v>1958</v>
      </c>
      <c r="B1009" t="s">
        <v>55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7" x14ac:dyDescent="0.35">
      <c r="A1010" t="s">
        <v>1958</v>
      </c>
      <c r="B1010" t="s">
        <v>56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-9332493120</v>
      </c>
      <c r="N1010">
        <v>-9332493120</v>
      </c>
      <c r="O1010">
        <v>-9332493120</v>
      </c>
      <c r="P1010">
        <v>-9332493120</v>
      </c>
      <c r="Q1010">
        <v>-17203100930</v>
      </c>
    </row>
    <row r="1011" spans="1:17" x14ac:dyDescent="0.35">
      <c r="A1011" t="s">
        <v>1958</v>
      </c>
      <c r="B1011" t="s">
        <v>57</v>
      </c>
      <c r="C1011">
        <v>1790000000</v>
      </c>
      <c r="D1011">
        <v>1200000000</v>
      </c>
      <c r="E1011">
        <v>1200000000</v>
      </c>
      <c r="F1011">
        <v>1200000000</v>
      </c>
      <c r="G1011">
        <v>1200000000</v>
      </c>
      <c r="H1011">
        <v>1200000000</v>
      </c>
      <c r="I1011">
        <v>1200000000</v>
      </c>
      <c r="J1011">
        <v>1200000000</v>
      </c>
      <c r="K1011">
        <v>1200000000</v>
      </c>
      <c r="L1011">
        <v>1200000000</v>
      </c>
      <c r="M1011">
        <v>1200000000</v>
      </c>
      <c r="N1011">
        <v>1200000000</v>
      </c>
      <c r="O1011">
        <v>1200000000</v>
      </c>
      <c r="P1011">
        <v>1000000000</v>
      </c>
      <c r="Q1011">
        <v>1000000000</v>
      </c>
    </row>
    <row r="1012" spans="1:17" x14ac:dyDescent="0.35">
      <c r="A1012" t="s">
        <v>1958</v>
      </c>
      <c r="B1012" t="s">
        <v>58</v>
      </c>
      <c r="C1012">
        <v>0</v>
      </c>
      <c r="D1012">
        <v>0</v>
      </c>
      <c r="E1012">
        <v>0</v>
      </c>
      <c r="F1012">
        <v>93775741</v>
      </c>
      <c r="G1012">
        <v>153247293</v>
      </c>
      <c r="H1012">
        <v>139543358</v>
      </c>
      <c r="I1012">
        <v>117124659</v>
      </c>
      <c r="J1012">
        <v>105860796</v>
      </c>
      <c r="K1012">
        <v>149138851</v>
      </c>
      <c r="L1012">
        <v>158191520</v>
      </c>
      <c r="M1012">
        <v>125679679</v>
      </c>
      <c r="N1012">
        <v>116541197</v>
      </c>
      <c r="O1012">
        <v>98644443</v>
      </c>
      <c r="P1012">
        <v>76650645</v>
      </c>
      <c r="Q1012">
        <v>71255596</v>
      </c>
    </row>
    <row r="1013" spans="1:17" x14ac:dyDescent="0.35">
      <c r="A1013" t="s">
        <v>1958</v>
      </c>
      <c r="B1013" t="s">
        <v>59</v>
      </c>
      <c r="C1013">
        <v>0</v>
      </c>
      <c r="D1013">
        <v>0</v>
      </c>
      <c r="E1013">
        <v>0</v>
      </c>
      <c r="F1013">
        <v>93775741</v>
      </c>
      <c r="G1013">
        <v>153247293</v>
      </c>
      <c r="H1013">
        <v>139543358</v>
      </c>
      <c r="I1013">
        <v>117124659</v>
      </c>
      <c r="J1013">
        <v>105860796</v>
      </c>
      <c r="K1013">
        <v>149138851</v>
      </c>
      <c r="L1013">
        <v>158191520</v>
      </c>
      <c r="M1013">
        <v>125679679</v>
      </c>
      <c r="N1013">
        <v>116541197</v>
      </c>
      <c r="O1013">
        <v>98644443</v>
      </c>
      <c r="P1013">
        <v>76650645</v>
      </c>
      <c r="Q1013">
        <v>71255596</v>
      </c>
    </row>
    <row r="1014" spans="1:17" x14ac:dyDescent="0.35">
      <c r="A1014" t="s">
        <v>1958</v>
      </c>
      <c r="B1014" t="s">
        <v>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7" x14ac:dyDescent="0.35">
      <c r="A1015" t="s">
        <v>1958</v>
      </c>
      <c r="B1015" t="s">
        <v>61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7" x14ac:dyDescent="0.35">
      <c r="A1016" t="s">
        <v>1958</v>
      </c>
      <c r="B1016" t="s">
        <v>62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7" x14ac:dyDescent="0.35">
      <c r="A1017" t="s">
        <v>1958</v>
      </c>
      <c r="B1017" t="s">
        <v>63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7" x14ac:dyDescent="0.35">
      <c r="A1018" t="s">
        <v>1958</v>
      </c>
      <c r="B1018" t="s">
        <v>64</v>
      </c>
      <c r="C1018">
        <v>4662399572164</v>
      </c>
      <c r="D1018">
        <v>4717285454180</v>
      </c>
      <c r="E1018">
        <v>4716725151083</v>
      </c>
      <c r="F1018">
        <v>4737624948825</v>
      </c>
      <c r="G1018">
        <v>4699830748881</v>
      </c>
      <c r="H1018">
        <v>4746867199141</v>
      </c>
      <c r="I1018">
        <v>4745404690880</v>
      </c>
      <c r="J1018">
        <v>4706438603939</v>
      </c>
      <c r="K1018">
        <v>4663764293221</v>
      </c>
      <c r="L1018">
        <v>4605530855763</v>
      </c>
      <c r="M1018">
        <v>4543378042857</v>
      </c>
      <c r="N1018">
        <v>4461576514982</v>
      </c>
      <c r="O1018">
        <v>4450552403545</v>
      </c>
      <c r="P1018">
        <v>4384447006092</v>
      </c>
      <c r="Q1018">
        <v>4341255042186</v>
      </c>
    </row>
    <row r="1019" spans="1:17" x14ac:dyDescent="0.35">
      <c r="A1019" t="s">
        <v>1958</v>
      </c>
      <c r="B1019" t="s">
        <v>65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7" x14ac:dyDescent="0.35">
      <c r="A1020" t="s">
        <v>1958</v>
      </c>
      <c r="B1020" t="s">
        <v>66</v>
      </c>
      <c r="C1020">
        <v>3029083204678</v>
      </c>
      <c r="D1020">
        <v>3063837940933</v>
      </c>
      <c r="E1020">
        <v>3037593015739</v>
      </c>
      <c r="F1020">
        <v>3024970146731</v>
      </c>
      <c r="G1020">
        <v>2961466253555</v>
      </c>
      <c r="H1020">
        <v>2989101501682</v>
      </c>
      <c r="I1020">
        <v>2936462709627</v>
      </c>
      <c r="J1020">
        <v>2841149196805</v>
      </c>
      <c r="K1020">
        <v>2755284697640</v>
      </c>
      <c r="L1020">
        <v>2671810540433</v>
      </c>
      <c r="M1020">
        <v>2609911789114</v>
      </c>
      <c r="N1020">
        <v>2514750812095</v>
      </c>
      <c r="O1020">
        <v>2468799512793</v>
      </c>
      <c r="P1020">
        <v>2395550061642</v>
      </c>
      <c r="Q1020">
        <v>2329460903284</v>
      </c>
    </row>
    <row r="1021" spans="1:17" x14ac:dyDescent="0.35">
      <c r="A1021" t="s">
        <v>1958</v>
      </c>
      <c r="B1021" t="s">
        <v>67</v>
      </c>
      <c r="C1021">
        <v>373210956092</v>
      </c>
      <c r="D1021">
        <v>404759380871</v>
      </c>
      <c r="E1021">
        <v>354635326025</v>
      </c>
      <c r="F1021">
        <v>495990091018</v>
      </c>
      <c r="G1021">
        <v>511017197843</v>
      </c>
      <c r="H1021">
        <v>421587495970</v>
      </c>
      <c r="I1021">
        <v>455618703916</v>
      </c>
      <c r="J1021">
        <v>448561408143</v>
      </c>
      <c r="K1021">
        <v>419557349345</v>
      </c>
      <c r="L1021">
        <v>395388602735</v>
      </c>
      <c r="M1021">
        <v>438836354591</v>
      </c>
      <c r="N1021">
        <v>408185377572</v>
      </c>
      <c r="O1021">
        <v>426884078271</v>
      </c>
      <c r="P1021">
        <v>412034171168</v>
      </c>
      <c r="Q1021">
        <v>408805468762</v>
      </c>
    </row>
    <row r="1022" spans="1:17" x14ac:dyDescent="0.35">
      <c r="A1022" t="s">
        <v>1958</v>
      </c>
      <c r="B1022" t="s">
        <v>68</v>
      </c>
      <c r="C1022">
        <v>61682070946</v>
      </c>
      <c r="D1022">
        <v>77768371231</v>
      </c>
      <c r="E1022">
        <v>72113153233</v>
      </c>
      <c r="F1022">
        <v>59480494448</v>
      </c>
      <c r="G1022">
        <v>50033891697</v>
      </c>
      <c r="H1022">
        <v>10815865361</v>
      </c>
      <c r="I1022">
        <v>10448845321</v>
      </c>
      <c r="J1022">
        <v>10444201321</v>
      </c>
      <c r="K1022">
        <v>5721284502</v>
      </c>
      <c r="L1022">
        <v>2165020924</v>
      </c>
      <c r="M1022">
        <v>2193816924</v>
      </c>
      <c r="N1022">
        <v>4772818672</v>
      </c>
      <c r="O1022">
        <v>4895484500</v>
      </c>
      <c r="P1022">
        <v>5826473835</v>
      </c>
      <c r="Q1022">
        <v>4872792853</v>
      </c>
    </row>
    <row r="1023" spans="1:17" x14ac:dyDescent="0.35">
      <c r="A1023" t="s">
        <v>1958</v>
      </c>
      <c r="B1023" t="s">
        <v>69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7" x14ac:dyDescent="0.35">
      <c r="A1024" t="s">
        <v>1958</v>
      </c>
      <c r="B1024" t="s">
        <v>70</v>
      </c>
      <c r="C1024">
        <v>18477672757</v>
      </c>
      <c r="D1024">
        <v>12530087989</v>
      </c>
      <c r="E1024">
        <v>19361666392</v>
      </c>
      <c r="F1024">
        <v>27338559577</v>
      </c>
      <c r="G1024">
        <v>33196149407</v>
      </c>
      <c r="H1024">
        <v>25391287550</v>
      </c>
      <c r="I1024">
        <v>23630778774</v>
      </c>
      <c r="J1024">
        <v>22406335320</v>
      </c>
      <c r="K1024">
        <v>33117858622</v>
      </c>
      <c r="L1024">
        <v>27944444906</v>
      </c>
      <c r="M1024">
        <v>35913422400</v>
      </c>
      <c r="N1024">
        <v>30970002588</v>
      </c>
      <c r="O1024">
        <v>29372518402</v>
      </c>
      <c r="P1024">
        <v>28186348002</v>
      </c>
      <c r="Q1024">
        <v>28525943823</v>
      </c>
    </row>
    <row r="1025" spans="1:17" x14ac:dyDescent="0.35">
      <c r="A1025" t="s">
        <v>1958</v>
      </c>
      <c r="B1025" t="s">
        <v>71</v>
      </c>
      <c r="C1025">
        <v>1467849277</v>
      </c>
      <c r="D1025">
        <v>3078357229</v>
      </c>
      <c r="E1025">
        <v>2554488070</v>
      </c>
      <c r="F1025">
        <v>1538815579</v>
      </c>
      <c r="G1025">
        <v>2245988897</v>
      </c>
      <c r="H1025">
        <v>1661202568</v>
      </c>
      <c r="I1025">
        <v>1600987840</v>
      </c>
      <c r="J1025">
        <v>1518628444</v>
      </c>
      <c r="K1025">
        <v>1747257788</v>
      </c>
      <c r="L1025">
        <v>4524745099</v>
      </c>
      <c r="M1025">
        <v>2009696308</v>
      </c>
      <c r="N1025">
        <v>1659401993</v>
      </c>
      <c r="O1025">
        <v>1224759606</v>
      </c>
      <c r="P1025">
        <v>5287463025</v>
      </c>
      <c r="Q1025">
        <v>1853549370</v>
      </c>
    </row>
    <row r="1026" spans="1:17" x14ac:dyDescent="0.35">
      <c r="A1026" t="s">
        <v>1958</v>
      </c>
      <c r="B1026" t="s">
        <v>72</v>
      </c>
      <c r="C1026">
        <v>27182447166</v>
      </c>
      <c r="D1026">
        <v>14025165845</v>
      </c>
      <c r="E1026">
        <v>14099680001</v>
      </c>
      <c r="F1026">
        <v>9791965092</v>
      </c>
      <c r="G1026">
        <v>4709000001</v>
      </c>
      <c r="H1026">
        <v>10946564874</v>
      </c>
      <c r="I1026">
        <v>28135697740</v>
      </c>
      <c r="J1026">
        <v>12292277075</v>
      </c>
      <c r="K1026">
        <v>13271842885</v>
      </c>
      <c r="L1026">
        <v>13140579203</v>
      </c>
      <c r="M1026">
        <v>25075249792</v>
      </c>
      <c r="N1026">
        <v>5422842884</v>
      </c>
      <c r="O1026">
        <v>17888368218</v>
      </c>
      <c r="P1026">
        <v>10861882822</v>
      </c>
      <c r="Q1026">
        <v>2942842884</v>
      </c>
    </row>
    <row r="1027" spans="1:17" x14ac:dyDescent="0.35">
      <c r="A1027" t="s">
        <v>1958</v>
      </c>
      <c r="B1027" t="s">
        <v>73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Q1027">
        <v>7528390913</v>
      </c>
    </row>
    <row r="1028" spans="1:17" x14ac:dyDescent="0.35">
      <c r="A1028" t="s">
        <v>1958</v>
      </c>
      <c r="B1028" t="s">
        <v>74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7" x14ac:dyDescent="0.35">
      <c r="A1029" t="s">
        <v>1958</v>
      </c>
      <c r="B1029" t="s">
        <v>75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7" x14ac:dyDescent="0.35">
      <c r="A1030" t="s">
        <v>1958</v>
      </c>
      <c r="B1030" t="s">
        <v>76</v>
      </c>
      <c r="C1030">
        <v>17707461230</v>
      </c>
      <c r="D1030">
        <v>23795398577</v>
      </c>
      <c r="E1030">
        <v>28209338329</v>
      </c>
      <c r="F1030">
        <v>33080024559</v>
      </c>
      <c r="G1030">
        <v>36404333436</v>
      </c>
      <c r="H1030">
        <v>19245863805</v>
      </c>
      <c r="I1030">
        <v>27768084186</v>
      </c>
      <c r="J1030">
        <v>41802289585</v>
      </c>
      <c r="K1030">
        <v>31951922489</v>
      </c>
      <c r="L1030">
        <v>41489903675</v>
      </c>
      <c r="M1030">
        <v>47493543113</v>
      </c>
      <c r="N1030">
        <v>53066284652</v>
      </c>
      <c r="O1030">
        <v>47889173655</v>
      </c>
      <c r="P1030">
        <v>39133322512</v>
      </c>
      <c r="Q1030">
        <v>44251905678</v>
      </c>
    </row>
    <row r="1031" spans="1:17" x14ac:dyDescent="0.35">
      <c r="A1031" t="s">
        <v>1958</v>
      </c>
      <c r="B1031" t="s">
        <v>77</v>
      </c>
      <c r="C1031">
        <v>246693454716</v>
      </c>
      <c r="D1031">
        <v>273562000000</v>
      </c>
      <c r="E1031">
        <v>218297000000</v>
      </c>
      <c r="F1031">
        <v>357423153951</v>
      </c>
      <c r="G1031">
        <v>377090756593</v>
      </c>
      <c r="H1031">
        <v>346189634000</v>
      </c>
      <c r="I1031">
        <v>358692524443</v>
      </c>
      <c r="J1031">
        <v>346879245068</v>
      </c>
      <c r="K1031">
        <v>320528751729</v>
      </c>
      <c r="L1031">
        <v>292905477598</v>
      </c>
      <c r="M1031">
        <v>312932194724</v>
      </c>
      <c r="N1031">
        <v>288277290431</v>
      </c>
      <c r="O1031">
        <v>301597037538</v>
      </c>
      <c r="P1031">
        <v>302308360620</v>
      </c>
      <c r="Q1031">
        <v>298399722889</v>
      </c>
    </row>
    <row r="1032" spans="1:17" x14ac:dyDescent="0.35">
      <c r="A1032" t="s">
        <v>1958</v>
      </c>
      <c r="B1032" t="s">
        <v>78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7" x14ac:dyDescent="0.35">
      <c r="A1033" t="s">
        <v>1958</v>
      </c>
      <c r="B1033" t="s">
        <v>79</v>
      </c>
      <c r="C1033">
        <v>0</v>
      </c>
      <c r="D1033">
        <v>0</v>
      </c>
      <c r="E1033">
        <v>0</v>
      </c>
      <c r="F1033">
        <v>7337077812</v>
      </c>
      <c r="G1033">
        <v>7337077812</v>
      </c>
      <c r="H1033">
        <v>7337077812</v>
      </c>
      <c r="I1033">
        <v>5341785612</v>
      </c>
      <c r="J1033">
        <v>13218431330</v>
      </c>
      <c r="K1033">
        <v>13218431330</v>
      </c>
      <c r="L1033">
        <v>13218431330</v>
      </c>
      <c r="M1033">
        <v>13218431330</v>
      </c>
      <c r="N1033">
        <v>24016736352</v>
      </c>
      <c r="O1033">
        <v>24016736352</v>
      </c>
      <c r="P1033">
        <v>20430320352</v>
      </c>
      <c r="Q1033">
        <v>20430320352</v>
      </c>
    </row>
    <row r="1034" spans="1:17" x14ac:dyDescent="0.35">
      <c r="A1034" t="s">
        <v>1958</v>
      </c>
      <c r="B1034" t="s">
        <v>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7" x14ac:dyDescent="0.35">
      <c r="A1035" t="s">
        <v>1958</v>
      </c>
      <c r="B1035" t="s">
        <v>81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7" x14ac:dyDescent="0.35">
      <c r="A1036" t="s">
        <v>1958</v>
      </c>
      <c r="B1036" t="s">
        <v>82</v>
      </c>
      <c r="C1036">
        <v>2655872248586</v>
      </c>
      <c r="D1036">
        <v>2659078560062</v>
      </c>
      <c r="E1036">
        <v>2682957689714</v>
      </c>
      <c r="F1036">
        <v>2528980055713</v>
      </c>
      <c r="G1036">
        <v>2450449055712</v>
      </c>
      <c r="H1036">
        <v>2567514005712</v>
      </c>
      <c r="I1036">
        <v>2480844005711</v>
      </c>
      <c r="J1036">
        <v>2392587788662</v>
      </c>
      <c r="K1036">
        <v>2335727348295</v>
      </c>
      <c r="L1036">
        <v>2276421937698</v>
      </c>
      <c r="M1036">
        <v>2171075434523</v>
      </c>
      <c r="N1036">
        <v>2106565434523</v>
      </c>
      <c r="O1036">
        <v>2041915434522</v>
      </c>
      <c r="P1036">
        <v>1983515890474</v>
      </c>
      <c r="Q1036">
        <v>1920655434522</v>
      </c>
    </row>
    <row r="1037" spans="1:17" x14ac:dyDescent="0.35">
      <c r="A1037" t="s">
        <v>1958</v>
      </c>
      <c r="B1037" t="s">
        <v>83</v>
      </c>
      <c r="C1037">
        <v>349019359914</v>
      </c>
      <c r="D1037">
        <v>378808650231</v>
      </c>
      <c r="E1037">
        <v>378808650231</v>
      </c>
      <c r="F1037">
        <v>378808650231</v>
      </c>
      <c r="G1037">
        <v>378808650231</v>
      </c>
      <c r="H1037">
        <v>375051600231</v>
      </c>
      <c r="I1037">
        <v>375051600231</v>
      </c>
      <c r="J1037">
        <v>382402350000</v>
      </c>
      <c r="K1037">
        <v>270786100218</v>
      </c>
      <c r="L1037">
        <v>267510689621</v>
      </c>
      <c r="M1037">
        <v>0</v>
      </c>
      <c r="N1037">
        <v>0</v>
      </c>
    </row>
    <row r="1038" spans="1:17" x14ac:dyDescent="0.35">
      <c r="A1038" t="s">
        <v>1958</v>
      </c>
      <c r="B1038" t="s">
        <v>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7" x14ac:dyDescent="0.35">
      <c r="A1039" t="s">
        <v>1958</v>
      </c>
      <c r="B1039" t="s">
        <v>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7" x14ac:dyDescent="0.35">
      <c r="A1040" t="s">
        <v>1958</v>
      </c>
      <c r="B1040" t="s">
        <v>86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7" x14ac:dyDescent="0.35">
      <c r="A1041" t="s">
        <v>1958</v>
      </c>
      <c r="B1041" t="s">
        <v>87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7" x14ac:dyDescent="0.35">
      <c r="A1042" t="s">
        <v>1958</v>
      </c>
      <c r="B1042" t="s">
        <v>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7" x14ac:dyDescent="0.35">
      <c r="A1043" t="s">
        <v>1958</v>
      </c>
      <c r="B1043" t="s">
        <v>89</v>
      </c>
      <c r="C1043">
        <v>122307948000</v>
      </c>
      <c r="D1043">
        <v>125307948000</v>
      </c>
      <c r="E1043">
        <v>125307948000</v>
      </c>
      <c r="F1043">
        <v>125307948000</v>
      </c>
      <c r="G1043">
        <v>125307948000</v>
      </c>
      <c r="H1043">
        <v>125307948000</v>
      </c>
      <c r="I1043">
        <v>125307948000</v>
      </c>
      <c r="J1043">
        <v>125307948000</v>
      </c>
      <c r="K1043">
        <v>125307948000</v>
      </c>
      <c r="L1043">
        <v>125307948000</v>
      </c>
      <c r="M1043">
        <v>125307948000</v>
      </c>
      <c r="N1043">
        <v>125307948000</v>
      </c>
      <c r="O1043">
        <v>125307948000</v>
      </c>
      <c r="P1043">
        <v>125307948000</v>
      </c>
      <c r="Q1043">
        <v>125307948000</v>
      </c>
    </row>
    <row r="1044" spans="1:17" x14ac:dyDescent="0.35">
      <c r="A1044" t="s">
        <v>1958</v>
      </c>
      <c r="B1044" t="s">
        <v>90</v>
      </c>
      <c r="C1044">
        <v>2184544940672</v>
      </c>
      <c r="D1044">
        <v>2154961961831</v>
      </c>
      <c r="E1044">
        <v>2178841091483</v>
      </c>
      <c r="F1044">
        <v>2024863457482</v>
      </c>
      <c r="G1044">
        <v>1946332457481</v>
      </c>
      <c r="H1044">
        <v>2067154457481</v>
      </c>
      <c r="I1044">
        <v>1980484457480</v>
      </c>
      <c r="J1044">
        <v>1884877490662</v>
      </c>
      <c r="K1044">
        <v>1939633300077</v>
      </c>
      <c r="L1044">
        <v>1883603300077</v>
      </c>
      <c r="M1044">
        <v>2045767486523</v>
      </c>
      <c r="N1044">
        <v>1981257486523</v>
      </c>
      <c r="O1044">
        <v>1916607486522</v>
      </c>
      <c r="P1044">
        <v>1858207942474</v>
      </c>
      <c r="Q1044">
        <v>1795347486522</v>
      </c>
    </row>
    <row r="1045" spans="1:17" x14ac:dyDescent="0.35">
      <c r="A1045" t="s">
        <v>1958</v>
      </c>
      <c r="B1045" t="s">
        <v>91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7" x14ac:dyDescent="0.35">
      <c r="A1046" t="s">
        <v>1958</v>
      </c>
      <c r="B1046" t="s">
        <v>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7" x14ac:dyDescent="0.35">
      <c r="A1047" t="s">
        <v>1958</v>
      </c>
      <c r="B1047" t="s">
        <v>93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7" x14ac:dyDescent="0.35">
      <c r="A1048" t="s">
        <v>1958</v>
      </c>
      <c r="B1048" t="s">
        <v>94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7" x14ac:dyDescent="0.35">
      <c r="A1049" t="s">
        <v>1958</v>
      </c>
      <c r="B1049" t="s">
        <v>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7" x14ac:dyDescent="0.35">
      <c r="A1050" t="s">
        <v>1958</v>
      </c>
      <c r="B1050" t="s">
        <v>96</v>
      </c>
      <c r="C1050">
        <v>1633316367486</v>
      </c>
      <c r="D1050">
        <v>1653447513247</v>
      </c>
      <c r="E1050">
        <v>1679132135344</v>
      </c>
      <c r="F1050">
        <v>1712654802094</v>
      </c>
      <c r="G1050">
        <v>1738364495326</v>
      </c>
      <c r="H1050">
        <v>1757765697459</v>
      </c>
      <c r="I1050">
        <v>1808941981253</v>
      </c>
      <c r="J1050">
        <v>1865289407134</v>
      </c>
      <c r="K1050">
        <v>1908479595581</v>
      </c>
      <c r="L1050">
        <v>1933720315330</v>
      </c>
      <c r="M1050">
        <v>1933466253743</v>
      </c>
      <c r="N1050">
        <v>1946825702887</v>
      </c>
      <c r="O1050">
        <v>1981752890752</v>
      </c>
      <c r="P1050">
        <v>1988896944450</v>
      </c>
      <c r="Q1050">
        <v>2011794138902</v>
      </c>
    </row>
    <row r="1051" spans="1:17" x14ac:dyDescent="0.35">
      <c r="A1051" t="s">
        <v>1958</v>
      </c>
      <c r="B1051" t="s">
        <v>97</v>
      </c>
      <c r="C1051">
        <v>1633316367486</v>
      </c>
      <c r="D1051">
        <v>1653447513247</v>
      </c>
      <c r="E1051">
        <v>1679132135344</v>
      </c>
      <c r="F1051">
        <v>1712654802094</v>
      </c>
      <c r="G1051">
        <v>1738364495326</v>
      </c>
      <c r="H1051">
        <v>1757765697459</v>
      </c>
      <c r="I1051">
        <v>1808941981253</v>
      </c>
      <c r="J1051">
        <v>1865289407134</v>
      </c>
      <c r="K1051">
        <v>1908479595581</v>
      </c>
      <c r="L1051">
        <v>1933720315330</v>
      </c>
      <c r="M1051">
        <v>1933466253743</v>
      </c>
      <c r="N1051">
        <v>1946825702887</v>
      </c>
      <c r="O1051">
        <v>1981752890752</v>
      </c>
      <c r="P1051">
        <v>1988896944450</v>
      </c>
      <c r="Q1051">
        <v>2011794138902</v>
      </c>
    </row>
    <row r="1052" spans="1:17" x14ac:dyDescent="0.35">
      <c r="A1052" t="s">
        <v>1958</v>
      </c>
      <c r="B1052" t="s">
        <v>98</v>
      </c>
      <c r="C1052">
        <v>1350000000000</v>
      </c>
      <c r="D1052">
        <v>1350000000000</v>
      </c>
      <c r="E1052">
        <v>1350000000000</v>
      </c>
      <c r="F1052">
        <v>1350000000000</v>
      </c>
      <c r="G1052">
        <v>1457999040000</v>
      </c>
      <c r="H1052">
        <v>1457999040000</v>
      </c>
      <c r="I1052">
        <v>1457999040000</v>
      </c>
      <c r="J1052">
        <v>1457999040000</v>
      </c>
      <c r="K1052">
        <v>1574629370000</v>
      </c>
      <c r="L1052">
        <v>1574629370000</v>
      </c>
      <c r="M1052">
        <v>1574629370000</v>
      </c>
      <c r="N1052">
        <v>1574629370000</v>
      </c>
      <c r="O1052">
        <v>1700575930000</v>
      </c>
      <c r="P1052">
        <v>1700575930000</v>
      </c>
      <c r="Q1052">
        <v>1700575930000</v>
      </c>
    </row>
    <row r="1053" spans="1:17" x14ac:dyDescent="0.35">
      <c r="A1053" t="s">
        <v>1958</v>
      </c>
      <c r="B1053" t="s">
        <v>99</v>
      </c>
      <c r="C1053">
        <v>1350000000000</v>
      </c>
      <c r="D1053">
        <v>1350000000000</v>
      </c>
      <c r="E1053">
        <v>1350000000000</v>
      </c>
      <c r="F1053">
        <v>1350000000000</v>
      </c>
      <c r="G1053">
        <v>1457999040000</v>
      </c>
      <c r="H1053">
        <v>1457999040000</v>
      </c>
      <c r="I1053">
        <v>1457999040000</v>
      </c>
      <c r="J1053">
        <v>1457999040000</v>
      </c>
      <c r="K1053">
        <v>1574629370000</v>
      </c>
      <c r="L1053">
        <v>1574629370000</v>
      </c>
      <c r="M1053">
        <v>1574629370000</v>
      </c>
      <c r="N1053">
        <v>1574629370000</v>
      </c>
      <c r="O1053">
        <v>1700575930000</v>
      </c>
      <c r="P1053">
        <v>1700575930000</v>
      </c>
      <c r="Q1053">
        <v>1700575930000</v>
      </c>
    </row>
    <row r="1054" spans="1:17" x14ac:dyDescent="0.35">
      <c r="A1054" t="s">
        <v>1958</v>
      </c>
      <c r="B1054" t="s">
        <v>100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7" x14ac:dyDescent="0.35">
      <c r="A1055" t="s">
        <v>1958</v>
      </c>
      <c r="B1055" t="s">
        <v>101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7" x14ac:dyDescent="0.35">
      <c r="A1056" t="s">
        <v>1958</v>
      </c>
      <c r="B1056" t="s">
        <v>102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7" x14ac:dyDescent="0.35">
      <c r="A1057" t="s">
        <v>1958</v>
      </c>
      <c r="B1057" t="s">
        <v>103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7" x14ac:dyDescent="0.35">
      <c r="A1058" t="s">
        <v>1958</v>
      </c>
      <c r="B1058" t="s">
        <v>104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7" x14ac:dyDescent="0.35">
      <c r="A1059" t="s">
        <v>1958</v>
      </c>
      <c r="B1059" t="s">
        <v>105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7" x14ac:dyDescent="0.35">
      <c r="A1060" t="s">
        <v>1958</v>
      </c>
      <c r="B1060" t="s">
        <v>106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7" x14ac:dyDescent="0.35">
      <c r="A1061" t="s">
        <v>1958</v>
      </c>
      <c r="B1061" t="s">
        <v>107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7" x14ac:dyDescent="0.35">
      <c r="A1062" t="s">
        <v>1958</v>
      </c>
      <c r="B1062" t="s">
        <v>108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7" x14ac:dyDescent="0.35">
      <c r="A1063" t="s">
        <v>1958</v>
      </c>
      <c r="B1063" t="s">
        <v>109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7" x14ac:dyDescent="0.35">
      <c r="A1064" t="s">
        <v>1958</v>
      </c>
      <c r="B1064" t="s">
        <v>110</v>
      </c>
      <c r="C1064">
        <v>283316367486</v>
      </c>
      <c r="D1064">
        <v>303447513247</v>
      </c>
      <c r="E1064">
        <v>329132135344</v>
      </c>
      <c r="F1064">
        <v>362654802094</v>
      </c>
      <c r="G1064">
        <v>280365455326</v>
      </c>
      <c r="H1064">
        <v>299766657459</v>
      </c>
      <c r="I1064">
        <v>350942941253</v>
      </c>
      <c r="J1064">
        <v>407290367134</v>
      </c>
      <c r="K1064">
        <v>333850225581</v>
      </c>
      <c r="L1064">
        <v>359090945330</v>
      </c>
      <c r="M1064">
        <v>358836883743</v>
      </c>
      <c r="N1064">
        <v>372196332887</v>
      </c>
      <c r="O1064">
        <v>281176960752</v>
      </c>
      <c r="P1064">
        <v>288321014450</v>
      </c>
      <c r="Q1064">
        <v>311218208902</v>
      </c>
    </row>
    <row r="1065" spans="1:17" x14ac:dyDescent="0.35">
      <c r="A1065" t="s">
        <v>1958</v>
      </c>
      <c r="B1065" t="s">
        <v>111</v>
      </c>
      <c r="C1065">
        <v>86240881629</v>
      </c>
      <c r="D1065">
        <v>106372027390</v>
      </c>
      <c r="E1065">
        <v>26438685950</v>
      </c>
      <c r="F1065">
        <v>67298430512</v>
      </c>
      <c r="G1065">
        <v>93009083744</v>
      </c>
      <c r="H1065">
        <v>112409325877</v>
      </c>
      <c r="I1065">
        <v>48974847705</v>
      </c>
      <c r="J1065">
        <v>113198919304</v>
      </c>
      <c r="K1065">
        <v>156389107751</v>
      </c>
      <c r="L1065">
        <v>177461117830</v>
      </c>
      <c r="M1065">
        <v>340766201532</v>
      </c>
      <c r="N1065">
        <v>329967896510</v>
      </c>
      <c r="O1065">
        <v>204021336510</v>
      </c>
      <c r="P1065">
        <v>204021336510</v>
      </c>
      <c r="Q1065">
        <v>65750305101</v>
      </c>
    </row>
    <row r="1066" spans="1:17" x14ac:dyDescent="0.35">
      <c r="A1066" t="s">
        <v>1958</v>
      </c>
      <c r="B1066" t="s">
        <v>112</v>
      </c>
      <c r="C1066">
        <v>197075485857</v>
      </c>
      <c r="D1066">
        <v>197075485857</v>
      </c>
      <c r="E1066">
        <v>302693449394</v>
      </c>
      <c r="F1066">
        <v>295356371582</v>
      </c>
      <c r="G1066">
        <v>187356371582</v>
      </c>
      <c r="H1066">
        <v>187357331582</v>
      </c>
      <c r="I1066">
        <v>301968093548</v>
      </c>
      <c r="J1066">
        <v>294091447830</v>
      </c>
      <c r="K1066">
        <v>177461117830</v>
      </c>
      <c r="L1066">
        <v>181629827500</v>
      </c>
      <c r="M1066">
        <v>18070682211</v>
      </c>
      <c r="N1066">
        <v>42228436377</v>
      </c>
      <c r="O1066">
        <v>77155624242</v>
      </c>
      <c r="P1066">
        <v>84299677940</v>
      </c>
      <c r="Q1066">
        <v>245467903801</v>
      </c>
    </row>
    <row r="1067" spans="1:17" x14ac:dyDescent="0.35">
      <c r="A1067" t="s">
        <v>1958</v>
      </c>
      <c r="B1067" t="s">
        <v>113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7" x14ac:dyDescent="0.35">
      <c r="A1068" t="s">
        <v>1958</v>
      </c>
      <c r="B1068" t="s">
        <v>114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7" x14ac:dyDescent="0.35">
      <c r="A1069" t="s">
        <v>1958</v>
      </c>
      <c r="B1069" t="s">
        <v>115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7" x14ac:dyDescent="0.35">
      <c r="A1070" t="s">
        <v>1958</v>
      </c>
      <c r="B1070" t="s">
        <v>116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7" x14ac:dyDescent="0.35">
      <c r="A1071" t="s">
        <v>1958</v>
      </c>
      <c r="B1071" t="s">
        <v>117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7" x14ac:dyDescent="0.35">
      <c r="A1072" t="s">
        <v>1958</v>
      </c>
      <c r="B1072" t="s">
        <v>118</v>
      </c>
      <c r="C1072">
        <v>4662399572164</v>
      </c>
      <c r="D1072">
        <v>4717285454180</v>
      </c>
      <c r="E1072">
        <v>4716725151083</v>
      </c>
      <c r="F1072">
        <v>4737624948825</v>
      </c>
      <c r="G1072">
        <v>4699830748881</v>
      </c>
      <c r="H1072">
        <v>4746867199141</v>
      </c>
      <c r="I1072">
        <v>4745404690880</v>
      </c>
      <c r="J1072">
        <v>4706438603939</v>
      </c>
      <c r="K1072">
        <v>4663764293221</v>
      </c>
      <c r="L1072">
        <v>4605530855763</v>
      </c>
      <c r="M1072">
        <v>4543378042857</v>
      </c>
      <c r="N1072">
        <v>4461576514982</v>
      </c>
      <c r="O1072">
        <v>4450552403545</v>
      </c>
      <c r="P1072">
        <v>4384447006092</v>
      </c>
      <c r="Q1072">
        <v>4341255042186</v>
      </c>
    </row>
    <row r="1073" spans="1:18" x14ac:dyDescent="0.35">
      <c r="A1073" t="s">
        <v>1944</v>
      </c>
      <c r="B1073" t="s">
        <v>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8" x14ac:dyDescent="0.35">
      <c r="A1074" t="s">
        <v>1944</v>
      </c>
      <c r="B1074" t="s">
        <v>7</v>
      </c>
      <c r="C1074">
        <v>2561027786063</v>
      </c>
      <c r="D1074">
        <v>2705270497902</v>
      </c>
      <c r="E1074">
        <v>2489647786938</v>
      </c>
      <c r="F1074">
        <v>2655096342777</v>
      </c>
      <c r="G1074">
        <v>3705794079353</v>
      </c>
      <c r="H1074">
        <v>3575129621527</v>
      </c>
      <c r="I1074">
        <v>3105854893205</v>
      </c>
      <c r="J1074">
        <v>2055180841983</v>
      </c>
      <c r="K1074">
        <v>2129522675616</v>
      </c>
      <c r="L1074">
        <v>2098129113741</v>
      </c>
      <c r="M1074">
        <v>1992059054105</v>
      </c>
      <c r="N1074">
        <v>2037831782942</v>
      </c>
      <c r="O1074">
        <v>2033964641545</v>
      </c>
      <c r="P1074">
        <v>1618585655514</v>
      </c>
      <c r="Q1074">
        <v>1438209916028</v>
      </c>
      <c r="R1074">
        <v>1315350665565</v>
      </c>
    </row>
    <row r="1075" spans="1:18" x14ac:dyDescent="0.35">
      <c r="A1075" t="s">
        <v>1944</v>
      </c>
      <c r="B1075" t="s">
        <v>8</v>
      </c>
      <c r="C1075">
        <v>275416052947</v>
      </c>
      <c r="D1075">
        <v>302027563394</v>
      </c>
      <c r="E1075">
        <v>309482430012</v>
      </c>
      <c r="F1075">
        <v>141964758796</v>
      </c>
      <c r="G1075">
        <v>300522205793</v>
      </c>
      <c r="H1075">
        <v>319646400604</v>
      </c>
      <c r="I1075">
        <v>297880121757</v>
      </c>
      <c r="J1075">
        <v>242908856512</v>
      </c>
      <c r="K1075">
        <v>193910895461</v>
      </c>
      <c r="L1075">
        <v>198299196901</v>
      </c>
      <c r="M1075">
        <v>148541738103</v>
      </c>
      <c r="N1075">
        <v>177451198946</v>
      </c>
      <c r="O1075">
        <v>209197039389</v>
      </c>
      <c r="P1075">
        <v>127329031923</v>
      </c>
      <c r="Q1075">
        <v>229456872510</v>
      </c>
      <c r="R1075">
        <v>132923310728</v>
      </c>
    </row>
    <row r="1076" spans="1:18" x14ac:dyDescent="0.35">
      <c r="A1076" t="s">
        <v>1944</v>
      </c>
      <c r="B1076" t="s">
        <v>9</v>
      </c>
      <c r="C1076">
        <v>58416052947</v>
      </c>
      <c r="D1076">
        <v>161568601954</v>
      </c>
      <c r="E1076">
        <v>48482430012</v>
      </c>
      <c r="F1076">
        <v>68964758796</v>
      </c>
      <c r="G1076">
        <v>65072205793</v>
      </c>
      <c r="H1076">
        <v>67846400604</v>
      </c>
      <c r="I1076">
        <v>111880121757</v>
      </c>
      <c r="J1076">
        <v>95408856512</v>
      </c>
      <c r="K1076">
        <v>111410895461</v>
      </c>
      <c r="L1076">
        <v>89753201780</v>
      </c>
      <c r="M1076">
        <v>97041738103</v>
      </c>
      <c r="N1076">
        <v>68951198946</v>
      </c>
      <c r="O1076">
        <v>81197039389</v>
      </c>
      <c r="P1076">
        <v>54829031923</v>
      </c>
      <c r="Q1076">
        <v>57556872510</v>
      </c>
      <c r="R1076">
        <v>63123310728</v>
      </c>
    </row>
    <row r="1077" spans="1:18" x14ac:dyDescent="0.35">
      <c r="A1077" t="s">
        <v>1944</v>
      </c>
      <c r="B1077" t="s">
        <v>10</v>
      </c>
      <c r="C1077">
        <v>217000000000</v>
      </c>
      <c r="D1077">
        <v>140458961440</v>
      </c>
      <c r="E1077">
        <v>261000000000</v>
      </c>
      <c r="F1077">
        <v>73000000000</v>
      </c>
      <c r="G1077">
        <v>235450000000</v>
      </c>
      <c r="H1077">
        <v>251800000000</v>
      </c>
      <c r="I1077">
        <v>186000000000</v>
      </c>
      <c r="J1077">
        <v>147500000000</v>
      </c>
      <c r="K1077">
        <v>82500000000</v>
      </c>
      <c r="L1077">
        <v>108545995121</v>
      </c>
      <c r="M1077">
        <v>51500000000</v>
      </c>
      <c r="N1077">
        <v>108500000000</v>
      </c>
      <c r="O1077">
        <v>128000000000</v>
      </c>
      <c r="P1077">
        <v>72500000000</v>
      </c>
      <c r="Q1077">
        <v>171900000000</v>
      </c>
      <c r="R1077">
        <v>69800000000</v>
      </c>
    </row>
    <row r="1078" spans="1:18" x14ac:dyDescent="0.35">
      <c r="A1078" t="s">
        <v>1944</v>
      </c>
      <c r="B1078" t="s">
        <v>11</v>
      </c>
      <c r="C1078">
        <v>482900000000</v>
      </c>
      <c r="D1078">
        <v>643700000000</v>
      </c>
      <c r="E1078">
        <v>689700000000</v>
      </c>
      <c r="F1078">
        <v>507234492305</v>
      </c>
      <c r="G1078">
        <v>250534492305</v>
      </c>
      <c r="H1078">
        <v>194034492305</v>
      </c>
      <c r="I1078">
        <v>136034492305</v>
      </c>
      <c r="J1078">
        <v>124034492305</v>
      </c>
      <c r="K1078">
        <v>158034492305</v>
      </c>
      <c r="L1078">
        <v>146000000000</v>
      </c>
      <c r="M1078">
        <v>110000000000</v>
      </c>
      <c r="N1078">
        <v>67000000000</v>
      </c>
      <c r="O1078">
        <v>67000000000</v>
      </c>
      <c r="P1078">
        <v>145000000000</v>
      </c>
      <c r="Q1078">
        <v>63000000000</v>
      </c>
      <c r="R1078">
        <v>28000000000</v>
      </c>
    </row>
    <row r="1079" spans="1:18" x14ac:dyDescent="0.35">
      <c r="A1079" t="s">
        <v>1944</v>
      </c>
      <c r="B1079" t="s">
        <v>12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8" x14ac:dyDescent="0.35">
      <c r="A1080" t="s">
        <v>1944</v>
      </c>
      <c r="B1080" t="s">
        <v>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8" x14ac:dyDescent="0.35">
      <c r="A1081" t="s">
        <v>1944</v>
      </c>
      <c r="B1081" t="s">
        <v>14</v>
      </c>
      <c r="C1081">
        <v>482900000000</v>
      </c>
      <c r="D1081">
        <v>643700000000</v>
      </c>
      <c r="E1081">
        <v>689700000000</v>
      </c>
      <c r="F1081">
        <v>507234492305</v>
      </c>
      <c r="G1081">
        <v>250534492305</v>
      </c>
      <c r="H1081">
        <v>194034492305</v>
      </c>
      <c r="I1081">
        <v>136034492305</v>
      </c>
      <c r="J1081">
        <v>124034492305</v>
      </c>
      <c r="K1081">
        <v>158034492305</v>
      </c>
      <c r="L1081">
        <v>146000000000</v>
      </c>
      <c r="M1081">
        <v>110000000000</v>
      </c>
      <c r="N1081">
        <v>67000000000</v>
      </c>
      <c r="O1081">
        <v>67000000000</v>
      </c>
      <c r="P1081">
        <v>145000000000</v>
      </c>
      <c r="Q1081">
        <v>63000000000</v>
      </c>
      <c r="R1081">
        <v>28000000000</v>
      </c>
    </row>
    <row r="1082" spans="1:18" x14ac:dyDescent="0.35">
      <c r="A1082" t="s">
        <v>1944</v>
      </c>
      <c r="B1082" t="s">
        <v>15</v>
      </c>
      <c r="C1082">
        <v>1328057587483</v>
      </c>
      <c r="D1082">
        <v>1570012606432</v>
      </c>
      <c r="E1082">
        <v>1212723252118</v>
      </c>
      <c r="F1082">
        <v>1586180969203</v>
      </c>
      <c r="G1082">
        <v>2906669793234</v>
      </c>
      <c r="H1082">
        <v>2694193869891</v>
      </c>
      <c r="I1082">
        <v>2306983337948</v>
      </c>
      <c r="J1082">
        <v>1445461396393</v>
      </c>
      <c r="K1082">
        <v>1591276333300</v>
      </c>
      <c r="L1082">
        <v>1628470632510</v>
      </c>
      <c r="M1082">
        <v>1599340703920</v>
      </c>
      <c r="N1082">
        <v>1641716421329</v>
      </c>
      <c r="O1082">
        <v>1599841446973</v>
      </c>
      <c r="P1082">
        <v>1249918128726</v>
      </c>
      <c r="Q1082">
        <v>1010276957061</v>
      </c>
      <c r="R1082">
        <v>1008785248940</v>
      </c>
    </row>
    <row r="1083" spans="1:18" x14ac:dyDescent="0.35">
      <c r="A1083" t="s">
        <v>1944</v>
      </c>
      <c r="B1083" t="s">
        <v>16</v>
      </c>
      <c r="C1083">
        <v>554919420025</v>
      </c>
      <c r="D1083">
        <v>901720084044</v>
      </c>
      <c r="E1083">
        <v>547973710094</v>
      </c>
      <c r="F1083">
        <v>1557570164642</v>
      </c>
      <c r="G1083">
        <v>2881760550636</v>
      </c>
      <c r="H1083">
        <v>2682665665272</v>
      </c>
      <c r="I1083">
        <v>2219440818984</v>
      </c>
      <c r="J1083">
        <v>1378373676597</v>
      </c>
      <c r="K1083">
        <v>1541732599022</v>
      </c>
      <c r="L1083">
        <v>1591390266802</v>
      </c>
      <c r="M1083">
        <v>1540188193802</v>
      </c>
      <c r="N1083">
        <v>1567643120694</v>
      </c>
      <c r="O1083">
        <v>1497046464641</v>
      </c>
      <c r="P1083">
        <v>1178538447369</v>
      </c>
      <c r="Q1083">
        <v>939538405525</v>
      </c>
      <c r="R1083">
        <v>965370719910</v>
      </c>
    </row>
    <row r="1084" spans="1:18" x14ac:dyDescent="0.35">
      <c r="A1084" t="s">
        <v>1944</v>
      </c>
      <c r="B1084" t="s">
        <v>17</v>
      </c>
      <c r="C1084">
        <v>760819275385</v>
      </c>
      <c r="D1084">
        <v>675353406313</v>
      </c>
      <c r="E1084">
        <v>668617237902</v>
      </c>
      <c r="F1084">
        <v>38881150596</v>
      </c>
      <c r="G1084">
        <v>32154955061</v>
      </c>
      <c r="H1084">
        <v>26259943582</v>
      </c>
      <c r="I1084">
        <v>34554447489</v>
      </c>
      <c r="J1084">
        <v>23331378275</v>
      </c>
      <c r="K1084">
        <v>28073005279</v>
      </c>
      <c r="L1084">
        <v>16815076221</v>
      </c>
      <c r="M1084">
        <v>20615204029</v>
      </c>
      <c r="N1084">
        <v>38652768072</v>
      </c>
      <c r="O1084">
        <v>53007439184</v>
      </c>
      <c r="P1084">
        <v>34514249084</v>
      </c>
      <c r="Q1084">
        <v>59454086606</v>
      </c>
      <c r="R1084">
        <v>34863324611</v>
      </c>
    </row>
    <row r="1085" spans="1:18" x14ac:dyDescent="0.35">
      <c r="A1085" t="s">
        <v>1944</v>
      </c>
      <c r="B1085" t="s">
        <v>18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8" x14ac:dyDescent="0.35">
      <c r="A1086" t="s">
        <v>1944</v>
      </c>
      <c r="B1086" t="s">
        <v>19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8" x14ac:dyDescent="0.35">
      <c r="A1087" t="s">
        <v>1944</v>
      </c>
      <c r="B1087" t="s">
        <v>20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8" x14ac:dyDescent="0.35">
      <c r="A1088" t="s">
        <v>1944</v>
      </c>
      <c r="B1088" t="s">
        <v>21</v>
      </c>
      <c r="C1088">
        <v>32002291185</v>
      </c>
      <c r="D1088">
        <v>16818787124</v>
      </c>
      <c r="E1088">
        <v>23270514343</v>
      </c>
      <c r="F1088">
        <v>21798962067</v>
      </c>
      <c r="G1088">
        <v>22720147782</v>
      </c>
      <c r="H1088">
        <v>11862157362</v>
      </c>
      <c r="I1088">
        <v>83062155673</v>
      </c>
      <c r="J1088">
        <v>92899040834</v>
      </c>
      <c r="K1088">
        <v>66437021676</v>
      </c>
      <c r="L1088">
        <v>64971777049</v>
      </c>
      <c r="M1088">
        <v>80213018124</v>
      </c>
      <c r="N1088">
        <v>76126414377</v>
      </c>
      <c r="O1088">
        <v>91283092789</v>
      </c>
      <c r="P1088">
        <v>87155055656</v>
      </c>
      <c r="Q1088">
        <v>60752277619</v>
      </c>
      <c r="R1088">
        <v>57835671143</v>
      </c>
    </row>
    <row r="1089" spans="1:18" x14ac:dyDescent="0.35">
      <c r="A1089" t="s">
        <v>1944</v>
      </c>
      <c r="B1089" t="s">
        <v>22</v>
      </c>
      <c r="C1089">
        <v>-19706918645</v>
      </c>
      <c r="D1089">
        <v>-23879671049</v>
      </c>
      <c r="E1089">
        <v>-27138210221</v>
      </c>
      <c r="F1089">
        <v>-32069308102</v>
      </c>
      <c r="G1089">
        <v>-29965860245</v>
      </c>
      <c r="H1089">
        <v>-26593896325</v>
      </c>
      <c r="I1089">
        <v>-30074084198</v>
      </c>
      <c r="J1089">
        <v>-49142699313</v>
      </c>
      <c r="K1089">
        <v>-44966292677</v>
      </c>
      <c r="L1089">
        <v>-44706487562</v>
      </c>
      <c r="M1089">
        <v>-41675712035</v>
      </c>
      <c r="N1089">
        <v>-40705881814</v>
      </c>
      <c r="O1089">
        <v>-41495549641</v>
      </c>
      <c r="P1089">
        <v>-50289623383</v>
      </c>
      <c r="Q1089">
        <v>-49467812689</v>
      </c>
      <c r="R1089">
        <v>-49284466724</v>
      </c>
    </row>
    <row r="1090" spans="1:18" x14ac:dyDescent="0.35">
      <c r="A1090" t="s">
        <v>1944</v>
      </c>
      <c r="B1090" t="s">
        <v>23</v>
      </c>
      <c r="C1090">
        <v>23519533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8" x14ac:dyDescent="0.35">
      <c r="A1091" t="s">
        <v>1944</v>
      </c>
      <c r="B1091" t="s">
        <v>24</v>
      </c>
      <c r="C1091">
        <v>469100786442</v>
      </c>
      <c r="D1091">
        <v>162896911682</v>
      </c>
      <c r="E1091">
        <v>228925557355</v>
      </c>
      <c r="F1091">
        <v>362686008046</v>
      </c>
      <c r="G1091">
        <v>236267555976</v>
      </c>
      <c r="H1091">
        <v>301007833387</v>
      </c>
      <c r="I1091">
        <v>300572003671</v>
      </c>
      <c r="J1091">
        <v>187377753132</v>
      </c>
      <c r="K1091">
        <v>137285009235</v>
      </c>
      <c r="L1091">
        <v>83958011477</v>
      </c>
      <c r="M1091">
        <v>88353747903</v>
      </c>
      <c r="N1091">
        <v>108552319303</v>
      </c>
      <c r="O1091">
        <v>120255562058</v>
      </c>
      <c r="P1091">
        <v>72424261450</v>
      </c>
      <c r="Q1091">
        <v>101949052158</v>
      </c>
      <c r="R1091">
        <v>116523422745</v>
      </c>
    </row>
    <row r="1092" spans="1:18" x14ac:dyDescent="0.35">
      <c r="A1092" t="s">
        <v>1944</v>
      </c>
      <c r="B1092" t="s">
        <v>25</v>
      </c>
      <c r="C1092">
        <v>469100786442</v>
      </c>
      <c r="D1092">
        <v>162896911682</v>
      </c>
      <c r="E1092">
        <v>228925557355</v>
      </c>
      <c r="F1092">
        <v>362686008046</v>
      </c>
      <c r="G1092">
        <v>236267555976</v>
      </c>
      <c r="H1092">
        <v>301007833387</v>
      </c>
      <c r="I1092">
        <v>300572003671</v>
      </c>
      <c r="J1092">
        <v>188512332669</v>
      </c>
      <c r="K1092">
        <v>140215926392</v>
      </c>
      <c r="L1092">
        <v>87406165659</v>
      </c>
      <c r="M1092">
        <v>91801902085</v>
      </c>
      <c r="N1092">
        <v>108552319303</v>
      </c>
      <c r="O1092">
        <v>120255562058</v>
      </c>
      <c r="P1092">
        <v>72424261450</v>
      </c>
      <c r="Q1092">
        <v>101949052158</v>
      </c>
      <c r="R1092">
        <v>116523422745</v>
      </c>
    </row>
    <row r="1093" spans="1:18" x14ac:dyDescent="0.35">
      <c r="A1093" t="s">
        <v>1944</v>
      </c>
      <c r="B1093" t="s">
        <v>26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-1134579537</v>
      </c>
      <c r="K1093">
        <v>-2930917157</v>
      </c>
      <c r="L1093">
        <v>-3448154182</v>
      </c>
      <c r="M1093">
        <v>-3448154182</v>
      </c>
      <c r="N1093">
        <v>0</v>
      </c>
    </row>
    <row r="1094" spans="1:18" x14ac:dyDescent="0.35">
      <c r="A1094" t="s">
        <v>1944</v>
      </c>
      <c r="B1094" t="s">
        <v>27</v>
      </c>
      <c r="C1094">
        <v>5553359191</v>
      </c>
      <c r="D1094">
        <v>26633416394</v>
      </c>
      <c r="E1094">
        <v>48816547453</v>
      </c>
      <c r="F1094">
        <v>57030114427</v>
      </c>
      <c r="G1094">
        <v>11800032045</v>
      </c>
      <c r="H1094">
        <v>66247025340</v>
      </c>
      <c r="I1094">
        <v>64384937524</v>
      </c>
      <c r="J1094">
        <v>55398343641</v>
      </c>
      <c r="K1094">
        <v>49015945315</v>
      </c>
      <c r="L1094">
        <v>41401272853</v>
      </c>
      <c r="M1094">
        <v>45822864179</v>
      </c>
      <c r="N1094">
        <v>43111843364</v>
      </c>
      <c r="O1094">
        <v>37670593125</v>
      </c>
      <c r="P1094">
        <v>23914233415</v>
      </c>
      <c r="Q1094">
        <v>33527034299</v>
      </c>
      <c r="R1094">
        <v>29118683152</v>
      </c>
    </row>
    <row r="1095" spans="1:18" x14ac:dyDescent="0.35">
      <c r="A1095" t="s">
        <v>1944</v>
      </c>
      <c r="B1095" t="s">
        <v>28</v>
      </c>
      <c r="C1095">
        <v>4487214962</v>
      </c>
      <c r="D1095">
        <v>4427899963</v>
      </c>
      <c r="E1095">
        <v>8908678130</v>
      </c>
      <c r="F1095">
        <v>7446167478</v>
      </c>
      <c r="G1095">
        <v>5042081373</v>
      </c>
      <c r="H1095">
        <v>4306955635</v>
      </c>
      <c r="I1095">
        <v>7221735831</v>
      </c>
      <c r="J1095">
        <v>8071147971</v>
      </c>
      <c r="K1095">
        <v>6183016962</v>
      </c>
      <c r="L1095">
        <v>4550192383</v>
      </c>
      <c r="M1095">
        <v>7523238383</v>
      </c>
      <c r="N1095">
        <v>7827807286</v>
      </c>
      <c r="O1095">
        <v>7891296501</v>
      </c>
      <c r="P1095">
        <v>6283542984</v>
      </c>
      <c r="Q1095">
        <v>9677176561</v>
      </c>
      <c r="R1095">
        <v>7772883238</v>
      </c>
    </row>
    <row r="1096" spans="1:18" x14ac:dyDescent="0.35">
      <c r="A1096" t="s">
        <v>1944</v>
      </c>
      <c r="B1096" t="s">
        <v>29</v>
      </c>
      <c r="C1096">
        <v>1066144229</v>
      </c>
      <c r="D1096">
        <v>22205516431</v>
      </c>
      <c r="E1096">
        <v>37518270934</v>
      </c>
      <c r="F1096">
        <v>49354303462</v>
      </c>
      <c r="G1096">
        <v>6575430240</v>
      </c>
      <c r="H1096">
        <v>61686655050</v>
      </c>
      <c r="I1096">
        <v>56234334905</v>
      </c>
      <c r="J1096">
        <v>46089677785</v>
      </c>
      <c r="K1096">
        <v>42703773278</v>
      </c>
      <c r="L1096">
        <v>32015926744</v>
      </c>
      <c r="M1096">
        <v>36216536452</v>
      </c>
      <c r="N1096">
        <v>29446146396</v>
      </c>
      <c r="O1096">
        <v>29663696290</v>
      </c>
      <c r="P1096">
        <v>17549195290</v>
      </c>
      <c r="Q1096">
        <v>15290528874</v>
      </c>
      <c r="R1096">
        <v>21320646161</v>
      </c>
    </row>
    <row r="1097" spans="1:18" x14ac:dyDescent="0.35">
      <c r="A1097" t="s">
        <v>1944</v>
      </c>
      <c r="B1097" t="s">
        <v>30</v>
      </c>
      <c r="C1097">
        <v>0</v>
      </c>
      <c r="D1097">
        <v>0</v>
      </c>
      <c r="E1097">
        <v>2389598389</v>
      </c>
      <c r="F1097">
        <v>229643487</v>
      </c>
      <c r="G1097">
        <v>182520432</v>
      </c>
      <c r="H1097">
        <v>253414655</v>
      </c>
      <c r="I1097">
        <v>928866788</v>
      </c>
      <c r="J1097">
        <v>1237517885</v>
      </c>
      <c r="K1097">
        <v>129155075</v>
      </c>
      <c r="L1097">
        <v>4835153726</v>
      </c>
      <c r="M1097">
        <v>2083089344</v>
      </c>
      <c r="N1097">
        <v>5837889682</v>
      </c>
      <c r="O1097">
        <v>115600334</v>
      </c>
      <c r="P1097">
        <v>81495141</v>
      </c>
      <c r="Q1097">
        <v>8559328864</v>
      </c>
      <c r="R1097">
        <v>25153753</v>
      </c>
    </row>
    <row r="1098" spans="1:18" x14ac:dyDescent="0.35">
      <c r="A1098" t="s">
        <v>1944</v>
      </c>
      <c r="B1098" t="s">
        <v>31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8" x14ac:dyDescent="0.35">
      <c r="A1099" t="s">
        <v>1944</v>
      </c>
      <c r="B1099" t="s">
        <v>32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8" x14ac:dyDescent="0.35">
      <c r="A1100" t="s">
        <v>1944</v>
      </c>
      <c r="B1100" t="s">
        <v>33</v>
      </c>
      <c r="C1100">
        <v>585591988345</v>
      </c>
      <c r="D1100">
        <v>630746016928</v>
      </c>
      <c r="E1100">
        <v>650160519876</v>
      </c>
      <c r="F1100">
        <v>774746506030</v>
      </c>
      <c r="G1100">
        <v>812233413680</v>
      </c>
      <c r="H1100">
        <v>851775969009</v>
      </c>
      <c r="I1100">
        <v>846602513360</v>
      </c>
      <c r="J1100">
        <v>846735183715</v>
      </c>
      <c r="K1100">
        <v>894019458254</v>
      </c>
      <c r="L1100">
        <v>920302465315</v>
      </c>
      <c r="M1100">
        <v>881210407576</v>
      </c>
      <c r="N1100">
        <v>875717794234</v>
      </c>
      <c r="O1100">
        <v>872151659688</v>
      </c>
      <c r="P1100">
        <v>850641378409</v>
      </c>
      <c r="Q1100">
        <v>867093339407</v>
      </c>
      <c r="R1100">
        <v>858099994680</v>
      </c>
    </row>
    <row r="1101" spans="1:18" x14ac:dyDescent="0.35">
      <c r="A1101" t="s">
        <v>1944</v>
      </c>
      <c r="B1101" t="s">
        <v>34</v>
      </c>
      <c r="C1101">
        <v>3778517740</v>
      </c>
      <c r="D1101">
        <v>3786517740</v>
      </c>
      <c r="E1101">
        <v>1131100000</v>
      </c>
      <c r="F1101">
        <v>1109740000</v>
      </c>
      <c r="G1101">
        <v>1104740000</v>
      </c>
      <c r="H1101">
        <v>2000600000</v>
      </c>
      <c r="I1101">
        <v>2000600000</v>
      </c>
      <c r="J1101">
        <v>2008100000</v>
      </c>
      <c r="K1101">
        <v>2013100000</v>
      </c>
      <c r="L1101">
        <v>1950978000</v>
      </c>
      <c r="M1101">
        <v>2044511943</v>
      </c>
      <c r="N1101">
        <v>2044511943</v>
      </c>
      <c r="O1101">
        <v>2053191943</v>
      </c>
      <c r="P1101">
        <v>2073191943</v>
      </c>
      <c r="Q1101">
        <v>2081191943</v>
      </c>
      <c r="R1101">
        <v>2284611065</v>
      </c>
    </row>
    <row r="1102" spans="1:18" x14ac:dyDescent="0.35">
      <c r="A1102" t="s">
        <v>1944</v>
      </c>
      <c r="B1102" t="s">
        <v>35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8" x14ac:dyDescent="0.35">
      <c r="A1103" t="s">
        <v>1944</v>
      </c>
      <c r="B1103" t="s">
        <v>36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8" x14ac:dyDescent="0.35">
      <c r="A1104" t="s">
        <v>1944</v>
      </c>
      <c r="B1104" t="s">
        <v>37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8" x14ac:dyDescent="0.35">
      <c r="A1105" t="s">
        <v>1944</v>
      </c>
      <c r="B1105" t="s">
        <v>38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8" x14ac:dyDescent="0.35">
      <c r="A1106" t="s">
        <v>1944</v>
      </c>
      <c r="B1106" t="s">
        <v>39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8" x14ac:dyDescent="0.35">
      <c r="A1107" t="s">
        <v>1944</v>
      </c>
      <c r="B1107" t="s">
        <v>40</v>
      </c>
      <c r="C1107">
        <v>3778517740</v>
      </c>
      <c r="D1107">
        <v>3786517740</v>
      </c>
      <c r="E1107">
        <v>1131100000</v>
      </c>
      <c r="F1107">
        <v>1109740000</v>
      </c>
      <c r="G1107">
        <v>1104740000</v>
      </c>
      <c r="H1107">
        <v>2000600000</v>
      </c>
      <c r="I1107">
        <v>2000600000</v>
      </c>
      <c r="J1107">
        <v>2008100000</v>
      </c>
      <c r="K1107">
        <v>2013100000</v>
      </c>
      <c r="L1107">
        <v>1950978000</v>
      </c>
      <c r="M1107">
        <v>2044511943</v>
      </c>
      <c r="N1107">
        <v>2044511943</v>
      </c>
      <c r="O1107">
        <v>2053191943</v>
      </c>
      <c r="P1107">
        <v>2073191943</v>
      </c>
      <c r="Q1107">
        <v>2081191943</v>
      </c>
      <c r="R1107">
        <v>2284611065</v>
      </c>
    </row>
    <row r="1108" spans="1:18" x14ac:dyDescent="0.35">
      <c r="A1108" t="s">
        <v>1944</v>
      </c>
      <c r="B1108" t="s">
        <v>41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8" x14ac:dyDescent="0.35">
      <c r="A1109" t="s">
        <v>1944</v>
      </c>
      <c r="B1109" t="s">
        <v>42</v>
      </c>
      <c r="C1109">
        <v>282150581915</v>
      </c>
      <c r="D1109">
        <v>350789195471</v>
      </c>
      <c r="E1109">
        <v>347117842424</v>
      </c>
      <c r="F1109">
        <v>458337106525</v>
      </c>
      <c r="G1109">
        <v>450089198684</v>
      </c>
      <c r="H1109">
        <v>444109931723</v>
      </c>
      <c r="I1109">
        <v>434017530741</v>
      </c>
      <c r="J1109">
        <v>455323601079</v>
      </c>
      <c r="K1109">
        <v>446697675637</v>
      </c>
      <c r="L1109">
        <v>466184362727</v>
      </c>
      <c r="M1109">
        <v>458518679972</v>
      </c>
      <c r="N1109">
        <v>454007855364</v>
      </c>
      <c r="O1109">
        <v>448493955996</v>
      </c>
      <c r="P1109">
        <v>444540426031</v>
      </c>
      <c r="Q1109">
        <v>448450900620</v>
      </c>
      <c r="R1109">
        <v>443721363113</v>
      </c>
    </row>
    <row r="1110" spans="1:18" x14ac:dyDescent="0.35">
      <c r="A1110" t="s">
        <v>1944</v>
      </c>
      <c r="B1110" t="s">
        <v>43</v>
      </c>
      <c r="C1110">
        <v>121030013980</v>
      </c>
      <c r="D1110">
        <v>192525602681</v>
      </c>
      <c r="E1110">
        <v>191676340690</v>
      </c>
      <c r="F1110">
        <v>305709848943</v>
      </c>
      <c r="G1110">
        <v>300271231721</v>
      </c>
      <c r="H1110">
        <v>295210084194</v>
      </c>
      <c r="I1110">
        <v>287393737876</v>
      </c>
      <c r="J1110">
        <v>309470564956</v>
      </c>
      <c r="K1110">
        <v>302305949695</v>
      </c>
      <c r="L1110">
        <v>323619797179</v>
      </c>
      <c r="M1110">
        <v>317560222677</v>
      </c>
      <c r="N1110">
        <v>312824580775</v>
      </c>
      <c r="O1110">
        <v>308308042144</v>
      </c>
      <c r="P1110">
        <v>305166064970</v>
      </c>
      <c r="Q1110">
        <v>307479252056</v>
      </c>
      <c r="R1110">
        <v>304190386989</v>
      </c>
    </row>
    <row r="1111" spans="1:18" x14ac:dyDescent="0.35">
      <c r="A1111" t="s">
        <v>1944</v>
      </c>
      <c r="B1111" t="s">
        <v>44</v>
      </c>
      <c r="C1111">
        <v>222676871361</v>
      </c>
      <c r="D1111">
        <v>300634956666</v>
      </c>
      <c r="E1111">
        <v>305063588320</v>
      </c>
      <c r="F1111">
        <v>426099083330</v>
      </c>
      <c r="G1111">
        <v>428620344833</v>
      </c>
      <c r="H1111">
        <v>433733196280</v>
      </c>
      <c r="I1111">
        <v>434161336280</v>
      </c>
      <c r="J1111">
        <v>465869441751</v>
      </c>
      <c r="K1111">
        <v>467355580093</v>
      </c>
      <c r="L1111">
        <v>496140691043</v>
      </c>
      <c r="M1111">
        <v>500255813882</v>
      </c>
      <c r="N1111">
        <v>505554523002</v>
      </c>
      <c r="O1111">
        <v>511311674798</v>
      </c>
      <c r="P1111">
        <v>519479651798</v>
      </c>
      <c r="Q1111">
        <v>531870058441</v>
      </c>
      <c r="R1111">
        <v>537702905332</v>
      </c>
    </row>
    <row r="1112" spans="1:18" x14ac:dyDescent="0.35">
      <c r="A1112" t="s">
        <v>1944</v>
      </c>
      <c r="B1112" t="s">
        <v>45</v>
      </c>
      <c r="C1112">
        <v>-101646857381</v>
      </c>
      <c r="D1112">
        <v>-108109353985</v>
      </c>
      <c r="E1112">
        <v>-113387247630</v>
      </c>
      <c r="F1112">
        <v>-120389234387</v>
      </c>
      <c r="G1112">
        <v>-128349113112</v>
      </c>
      <c r="H1112">
        <v>-138523112086</v>
      </c>
      <c r="I1112">
        <v>-146767598404</v>
      </c>
      <c r="J1112">
        <v>-156398876795</v>
      </c>
      <c r="K1112">
        <v>-165049630398</v>
      </c>
      <c r="L1112">
        <v>-172520893864</v>
      </c>
      <c r="M1112">
        <v>-182695591205</v>
      </c>
      <c r="N1112">
        <v>-192729942227</v>
      </c>
      <c r="O1112">
        <v>-203003632654</v>
      </c>
      <c r="P1112">
        <v>-214313586828</v>
      </c>
      <c r="Q1112">
        <v>-224390806385</v>
      </c>
      <c r="R1112">
        <v>-233512518343</v>
      </c>
    </row>
    <row r="1113" spans="1:18" x14ac:dyDescent="0.35">
      <c r="A1113" t="s">
        <v>1944</v>
      </c>
      <c r="B1113" t="s">
        <v>46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8" x14ac:dyDescent="0.35">
      <c r="A1114" t="s">
        <v>1944</v>
      </c>
      <c r="B1114" t="s">
        <v>44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8" x14ac:dyDescent="0.35">
      <c r="A1115" t="s">
        <v>1944</v>
      </c>
      <c r="B1115" t="s">
        <v>45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8" x14ac:dyDescent="0.35">
      <c r="A1116" t="s">
        <v>1944</v>
      </c>
      <c r="B1116" t="s">
        <v>47</v>
      </c>
      <c r="C1116">
        <v>161120567935</v>
      </c>
      <c r="D1116">
        <v>158263592790</v>
      </c>
      <c r="E1116">
        <v>155441501734</v>
      </c>
      <c r="F1116">
        <v>152627257582</v>
      </c>
      <c r="G1116">
        <v>149817966963</v>
      </c>
      <c r="H1116">
        <v>148899847529</v>
      </c>
      <c r="I1116">
        <v>146623792865</v>
      </c>
      <c r="J1116">
        <v>145853036123</v>
      </c>
      <c r="K1116">
        <v>144391725942</v>
      </c>
      <c r="L1116">
        <v>142564565548</v>
      </c>
      <c r="M1116">
        <v>140958457295</v>
      </c>
      <c r="N1116">
        <v>141183274589</v>
      </c>
      <c r="O1116">
        <v>140185913852</v>
      </c>
      <c r="P1116">
        <v>139374361061</v>
      </c>
      <c r="Q1116">
        <v>140971648564</v>
      </c>
      <c r="R1116">
        <v>139530976124</v>
      </c>
    </row>
    <row r="1117" spans="1:18" x14ac:dyDescent="0.35">
      <c r="A1117" t="s">
        <v>1944</v>
      </c>
      <c r="B1117" t="s">
        <v>44</v>
      </c>
      <c r="C1117">
        <v>202021905121</v>
      </c>
      <c r="D1117">
        <v>202021905121</v>
      </c>
      <c r="E1117">
        <v>202021905121</v>
      </c>
      <c r="F1117">
        <v>202021905121</v>
      </c>
      <c r="G1117">
        <v>202026858654</v>
      </c>
      <c r="H1117">
        <v>204297244254</v>
      </c>
      <c r="I1117">
        <v>204297244254</v>
      </c>
      <c r="J1117">
        <v>205604365754</v>
      </c>
      <c r="K1117">
        <v>206158526754</v>
      </c>
      <c r="L1117">
        <v>206158526754</v>
      </c>
      <c r="M1117">
        <v>206158526754</v>
      </c>
      <c r="N1117">
        <v>207655526754</v>
      </c>
      <c r="O1117">
        <v>207912347524</v>
      </c>
      <c r="P1117">
        <v>208489164524</v>
      </c>
      <c r="Q1117">
        <v>211661151509</v>
      </c>
      <c r="R1117">
        <v>211711151509</v>
      </c>
    </row>
    <row r="1118" spans="1:18" x14ac:dyDescent="0.35">
      <c r="A1118" t="s">
        <v>1944</v>
      </c>
      <c r="B1118" t="s">
        <v>45</v>
      </c>
      <c r="C1118">
        <v>-40901337186</v>
      </c>
      <c r="D1118">
        <v>-43758312331</v>
      </c>
      <c r="E1118">
        <v>-46580403387</v>
      </c>
      <c r="F1118">
        <v>-49394647539</v>
      </c>
      <c r="G1118">
        <v>-52208891691</v>
      </c>
      <c r="H1118">
        <v>-55397396725</v>
      </c>
      <c r="I1118">
        <v>-57673451389</v>
      </c>
      <c r="J1118">
        <v>-59751329631</v>
      </c>
      <c r="K1118">
        <v>-61766800812</v>
      </c>
      <c r="L1118">
        <v>-63593961206</v>
      </c>
      <c r="M1118">
        <v>-65200069459</v>
      </c>
      <c r="N1118">
        <v>-66472252165</v>
      </c>
      <c r="O1118">
        <v>-67726433672</v>
      </c>
      <c r="P1118">
        <v>-69114803463</v>
      </c>
      <c r="Q1118">
        <v>-70689502945</v>
      </c>
      <c r="R1118">
        <v>-72180175385</v>
      </c>
    </row>
    <row r="1119" spans="1:18" x14ac:dyDescent="0.35">
      <c r="A1119" t="s">
        <v>1944</v>
      </c>
      <c r="B1119" t="s">
        <v>48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8" x14ac:dyDescent="0.35">
      <c r="A1120" t="s">
        <v>1944</v>
      </c>
      <c r="B1120" t="s">
        <v>44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8" x14ac:dyDescent="0.35">
      <c r="A1121" t="s">
        <v>1944</v>
      </c>
      <c r="B1121" t="s">
        <v>45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8" x14ac:dyDescent="0.35">
      <c r="A1122" t="s">
        <v>1944</v>
      </c>
      <c r="B1122" t="s">
        <v>49</v>
      </c>
      <c r="C1122">
        <v>72200557129</v>
      </c>
      <c r="D1122">
        <v>70071223819</v>
      </c>
      <c r="E1122">
        <v>93496296737</v>
      </c>
      <c r="F1122">
        <v>7628455729</v>
      </c>
      <c r="G1122">
        <v>31790132015</v>
      </c>
      <c r="H1122">
        <v>40509281907</v>
      </c>
      <c r="I1122">
        <v>48416030524</v>
      </c>
      <c r="J1122">
        <v>28216065460</v>
      </c>
      <c r="K1122">
        <v>40941006784</v>
      </c>
      <c r="L1122">
        <v>14483286172</v>
      </c>
      <c r="M1122">
        <v>12240800467</v>
      </c>
      <c r="N1122">
        <v>12035704894</v>
      </c>
      <c r="O1122">
        <v>11836214874</v>
      </c>
      <c r="P1122">
        <v>14669869473</v>
      </c>
      <c r="Q1122">
        <v>9242610950</v>
      </c>
      <c r="R1122">
        <v>5080712032</v>
      </c>
    </row>
    <row r="1123" spans="1:18" x14ac:dyDescent="0.35">
      <c r="A1123" t="s">
        <v>1944</v>
      </c>
      <c r="B1123" t="s">
        <v>50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8" x14ac:dyDescent="0.35">
      <c r="A1124" t="s">
        <v>1944</v>
      </c>
      <c r="B1124" t="s">
        <v>51</v>
      </c>
      <c r="C1124">
        <v>72200557129</v>
      </c>
      <c r="D1124">
        <v>70071223819</v>
      </c>
      <c r="E1124">
        <v>93496296737</v>
      </c>
      <c r="F1124">
        <v>7628455729</v>
      </c>
      <c r="G1124">
        <v>31790132015</v>
      </c>
      <c r="H1124">
        <v>40509281907</v>
      </c>
      <c r="I1124">
        <v>48416030524</v>
      </c>
      <c r="J1124">
        <v>28216065460</v>
      </c>
      <c r="K1124">
        <v>40941006784</v>
      </c>
      <c r="L1124">
        <v>14483286172</v>
      </c>
      <c r="M1124">
        <v>12240800467</v>
      </c>
      <c r="N1124">
        <v>12035704894</v>
      </c>
      <c r="O1124">
        <v>11836214874</v>
      </c>
      <c r="P1124">
        <v>14669869473</v>
      </c>
      <c r="Q1124">
        <v>9242610950</v>
      </c>
      <c r="R1124">
        <v>5080712032</v>
      </c>
    </row>
    <row r="1125" spans="1:18" x14ac:dyDescent="0.35">
      <c r="A1125" t="s">
        <v>1944</v>
      </c>
      <c r="B1125" t="s">
        <v>52</v>
      </c>
      <c r="C1125">
        <v>202422009598</v>
      </c>
      <c r="D1125">
        <v>202392848862</v>
      </c>
      <c r="E1125">
        <v>202771100600</v>
      </c>
      <c r="F1125">
        <v>298708550600</v>
      </c>
      <c r="G1125">
        <v>320009350600</v>
      </c>
      <c r="H1125">
        <v>356342100600</v>
      </c>
      <c r="I1125">
        <v>356342100600</v>
      </c>
      <c r="J1125">
        <v>356342100600</v>
      </c>
      <c r="K1125">
        <v>399415100600</v>
      </c>
      <c r="L1125">
        <v>431939350600</v>
      </c>
      <c r="M1125">
        <v>402262446773</v>
      </c>
      <c r="N1125">
        <v>402262446773</v>
      </c>
      <c r="O1125">
        <v>402262446773</v>
      </c>
      <c r="P1125">
        <v>382473449471</v>
      </c>
      <c r="Q1125">
        <v>400113899471</v>
      </c>
      <c r="R1125">
        <v>400113899471</v>
      </c>
    </row>
    <row r="1126" spans="1:18" x14ac:dyDescent="0.35">
      <c r="A1126" t="s">
        <v>1944</v>
      </c>
      <c r="B1126" t="s">
        <v>53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8" x14ac:dyDescent="0.35">
      <c r="A1127" t="s">
        <v>1944</v>
      </c>
      <c r="B1127" t="s">
        <v>54</v>
      </c>
      <c r="C1127">
        <v>184364250000</v>
      </c>
      <c r="D1127">
        <v>184364250000</v>
      </c>
      <c r="E1127">
        <v>184364250000</v>
      </c>
      <c r="F1127">
        <v>280301700000</v>
      </c>
      <c r="G1127">
        <v>301602500000</v>
      </c>
      <c r="H1127">
        <v>335935250000</v>
      </c>
      <c r="I1127">
        <v>335935250000</v>
      </c>
      <c r="J1127">
        <v>335935250000</v>
      </c>
      <c r="K1127">
        <v>371645250000</v>
      </c>
      <c r="L1127">
        <v>394037700000</v>
      </c>
      <c r="M1127">
        <v>394037700000</v>
      </c>
      <c r="N1127">
        <v>394037700000</v>
      </c>
      <c r="O1127">
        <v>394037700000</v>
      </c>
      <c r="P1127">
        <v>394037700000</v>
      </c>
      <c r="Q1127">
        <v>411678150000</v>
      </c>
      <c r="R1127">
        <v>411678150000</v>
      </c>
    </row>
    <row r="1128" spans="1:18" x14ac:dyDescent="0.35">
      <c r="A1128" t="s">
        <v>1944</v>
      </c>
      <c r="B1128" t="s">
        <v>55</v>
      </c>
      <c r="C1128">
        <v>18406850600</v>
      </c>
      <c r="D1128">
        <v>18406850600</v>
      </c>
      <c r="E1128">
        <v>18406850600</v>
      </c>
      <c r="F1128">
        <v>18406850600</v>
      </c>
      <c r="G1128">
        <v>18406850600</v>
      </c>
      <c r="H1128">
        <v>20406850600</v>
      </c>
      <c r="I1128">
        <v>20406850600</v>
      </c>
      <c r="J1128">
        <v>20406850600</v>
      </c>
      <c r="K1128">
        <v>27769850600</v>
      </c>
      <c r="L1128">
        <v>37901650600</v>
      </c>
      <c r="M1128">
        <v>37901650600</v>
      </c>
      <c r="N1128">
        <v>37901650600</v>
      </c>
      <c r="O1128">
        <v>37901650600</v>
      </c>
      <c r="P1128">
        <v>42024050600</v>
      </c>
      <c r="Q1128">
        <v>42024050600</v>
      </c>
      <c r="R1128">
        <v>42024050600</v>
      </c>
    </row>
    <row r="1129" spans="1:18" x14ac:dyDescent="0.35">
      <c r="A1129" t="s">
        <v>1944</v>
      </c>
      <c r="B1129" t="s">
        <v>56</v>
      </c>
      <c r="C1129">
        <v>-349091002</v>
      </c>
      <c r="D1129">
        <v>-378251738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-29676903827</v>
      </c>
      <c r="N1129">
        <v>-29676903827</v>
      </c>
      <c r="O1129">
        <v>-29676903827</v>
      </c>
      <c r="P1129">
        <v>-53588301129</v>
      </c>
      <c r="Q1129">
        <v>-53588301129</v>
      </c>
      <c r="R1129">
        <v>-53588301129</v>
      </c>
    </row>
    <row r="1130" spans="1:18" x14ac:dyDescent="0.35">
      <c r="A1130" t="s">
        <v>1944</v>
      </c>
      <c r="B1130" t="s">
        <v>57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8" x14ac:dyDescent="0.35">
      <c r="A1131" t="s">
        <v>1944</v>
      </c>
      <c r="B1131" t="s">
        <v>58</v>
      </c>
      <c r="C1131">
        <v>25040321963</v>
      </c>
      <c r="D1131">
        <v>3706231036</v>
      </c>
      <c r="E1131">
        <v>5644180115</v>
      </c>
      <c r="F1131">
        <v>8962653176</v>
      </c>
      <c r="G1131">
        <v>9239992381</v>
      </c>
      <c r="H1131">
        <v>8814054779</v>
      </c>
      <c r="I1131">
        <v>5826251495</v>
      </c>
      <c r="J1131">
        <v>4845316576</v>
      </c>
      <c r="K1131">
        <v>4952575233</v>
      </c>
      <c r="L1131">
        <v>5744487816</v>
      </c>
      <c r="M1131">
        <v>6143968421</v>
      </c>
      <c r="N1131">
        <v>5367275260</v>
      </c>
      <c r="O1131">
        <v>7505850102</v>
      </c>
      <c r="P1131">
        <v>6884441491</v>
      </c>
      <c r="Q1131">
        <v>7204736423</v>
      </c>
      <c r="R1131">
        <v>6899408999</v>
      </c>
    </row>
    <row r="1132" spans="1:18" x14ac:dyDescent="0.35">
      <c r="A1132" t="s">
        <v>1944</v>
      </c>
      <c r="B1132" t="s">
        <v>59</v>
      </c>
      <c r="C1132">
        <v>551207608</v>
      </c>
      <c r="D1132">
        <v>3030948185</v>
      </c>
      <c r="E1132">
        <v>4968897264</v>
      </c>
      <c r="F1132">
        <v>8287370325</v>
      </c>
      <c r="G1132">
        <v>8564709530</v>
      </c>
      <c r="H1132">
        <v>8138771928</v>
      </c>
      <c r="I1132">
        <v>5150968644</v>
      </c>
      <c r="J1132">
        <v>4170033725</v>
      </c>
      <c r="K1132">
        <v>4277292382</v>
      </c>
      <c r="L1132">
        <v>5364281416</v>
      </c>
      <c r="M1132">
        <v>5763762021</v>
      </c>
      <c r="N1132">
        <v>4987068860</v>
      </c>
      <c r="O1132">
        <v>7125643702</v>
      </c>
      <c r="P1132">
        <v>6504235091</v>
      </c>
      <c r="Q1132">
        <v>6343363685</v>
      </c>
      <c r="R1132">
        <v>6038036261</v>
      </c>
    </row>
    <row r="1133" spans="1:18" x14ac:dyDescent="0.35">
      <c r="A1133" t="s">
        <v>1944</v>
      </c>
      <c r="B1133" t="s">
        <v>60</v>
      </c>
      <c r="C1133">
        <v>24489114355</v>
      </c>
      <c r="D1133">
        <v>675282851</v>
      </c>
      <c r="E1133">
        <v>675282851</v>
      </c>
      <c r="F1133">
        <v>675282851</v>
      </c>
      <c r="G1133">
        <v>675282851</v>
      </c>
      <c r="H1133">
        <v>675282851</v>
      </c>
      <c r="I1133">
        <v>675282851</v>
      </c>
      <c r="J1133">
        <v>675282851</v>
      </c>
      <c r="K1133">
        <v>675282851</v>
      </c>
      <c r="L1133">
        <v>380206400</v>
      </c>
      <c r="M1133">
        <v>380206400</v>
      </c>
      <c r="N1133">
        <v>380206400</v>
      </c>
      <c r="O1133">
        <v>380206400</v>
      </c>
      <c r="P1133">
        <v>380206400</v>
      </c>
      <c r="Q1133">
        <v>861372738</v>
      </c>
      <c r="R1133">
        <v>861372738</v>
      </c>
    </row>
    <row r="1134" spans="1:18" x14ac:dyDescent="0.35">
      <c r="A1134" t="s">
        <v>1944</v>
      </c>
      <c r="B1134" t="s">
        <v>61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8" x14ac:dyDescent="0.35">
      <c r="A1135" t="s">
        <v>1944</v>
      </c>
      <c r="B1135" t="s">
        <v>62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8" x14ac:dyDescent="0.35">
      <c r="A1136" t="s">
        <v>1944</v>
      </c>
      <c r="B1136" t="s">
        <v>63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8" x14ac:dyDescent="0.35">
      <c r="A1137" t="s">
        <v>1944</v>
      </c>
      <c r="B1137" t="s">
        <v>64</v>
      </c>
      <c r="C1137">
        <v>3146619774408</v>
      </c>
      <c r="D1137">
        <v>3336016514830</v>
      </c>
      <c r="E1137">
        <v>3139808306814</v>
      </c>
      <c r="F1137">
        <v>3429842848807</v>
      </c>
      <c r="G1137">
        <v>4518027493033</v>
      </c>
      <c r="H1137">
        <v>4426905590536</v>
      </c>
      <c r="I1137">
        <v>3952457406565</v>
      </c>
      <c r="J1137">
        <v>2901916025698</v>
      </c>
      <c r="K1137">
        <v>3023542133870</v>
      </c>
      <c r="L1137">
        <v>3018431579056</v>
      </c>
      <c r="M1137">
        <v>2873269461681</v>
      </c>
      <c r="N1137">
        <v>2913549577176</v>
      </c>
      <c r="O1137">
        <v>2906116301233</v>
      </c>
      <c r="P1137">
        <v>2469227033923</v>
      </c>
      <c r="Q1137">
        <v>2305303255435</v>
      </c>
      <c r="R1137">
        <v>2173450660245</v>
      </c>
    </row>
    <row r="1138" spans="1:18" x14ac:dyDescent="0.35">
      <c r="A1138" t="s">
        <v>1944</v>
      </c>
      <c r="B1138" t="s">
        <v>65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8" x14ac:dyDescent="0.35">
      <c r="A1139" t="s">
        <v>1944</v>
      </c>
      <c r="B1139" t="s">
        <v>66</v>
      </c>
      <c r="C1139">
        <v>2095863370952</v>
      </c>
      <c r="D1139">
        <v>2168751588374</v>
      </c>
      <c r="E1139">
        <v>1944027556148</v>
      </c>
      <c r="F1139">
        <v>2225329334563</v>
      </c>
      <c r="G1139">
        <v>3212241514865</v>
      </c>
      <c r="H1139">
        <v>3050693769728</v>
      </c>
      <c r="I1139">
        <v>2562999778246</v>
      </c>
      <c r="J1139">
        <v>1567219323987</v>
      </c>
      <c r="K1139">
        <v>1678510457231</v>
      </c>
      <c r="L1139">
        <v>1638380506781</v>
      </c>
      <c r="M1139">
        <v>1508465755108</v>
      </c>
      <c r="N1139">
        <v>1610462611608</v>
      </c>
      <c r="O1139">
        <v>1585963345180</v>
      </c>
      <c r="P1139">
        <v>1135628909748</v>
      </c>
      <c r="Q1139">
        <v>960209524225</v>
      </c>
      <c r="R1139">
        <v>905318535310</v>
      </c>
    </row>
    <row r="1140" spans="1:18" x14ac:dyDescent="0.35">
      <c r="A1140" t="s">
        <v>1944</v>
      </c>
      <c r="B1140" t="s">
        <v>67</v>
      </c>
      <c r="C1140">
        <v>1677793569019</v>
      </c>
      <c r="D1140">
        <v>1764315905122</v>
      </c>
      <c r="E1140">
        <v>1664504391939</v>
      </c>
      <c r="F1140">
        <v>2031312371292</v>
      </c>
      <c r="G1140">
        <v>3002669999040</v>
      </c>
      <c r="H1140">
        <v>2928989090510</v>
      </c>
      <c r="I1140">
        <v>2511503619698</v>
      </c>
      <c r="J1140">
        <v>1513929875097</v>
      </c>
      <c r="K1140">
        <v>1642702913016</v>
      </c>
      <c r="L1140">
        <v>1601834570550</v>
      </c>
      <c r="M1140">
        <v>1471740126249</v>
      </c>
      <c r="N1140">
        <v>1572532780816</v>
      </c>
      <c r="O1140">
        <v>1547673959734</v>
      </c>
      <c r="P1140">
        <v>1095252035065</v>
      </c>
      <c r="Q1140">
        <v>903915514254</v>
      </c>
      <c r="R1140">
        <v>851711792581</v>
      </c>
    </row>
    <row r="1141" spans="1:18" x14ac:dyDescent="0.35">
      <c r="A1141" t="s">
        <v>1944</v>
      </c>
      <c r="B1141" t="s">
        <v>68</v>
      </c>
      <c r="C1141">
        <v>809889563114</v>
      </c>
      <c r="D1141">
        <v>989719035120</v>
      </c>
      <c r="E1141">
        <v>757310543044</v>
      </c>
      <c r="F1141">
        <v>1521108075930</v>
      </c>
      <c r="G1141">
        <v>2352862660439</v>
      </c>
      <c r="H1141">
        <v>2367949671835</v>
      </c>
      <c r="I1141">
        <v>1926536642041</v>
      </c>
      <c r="J1141">
        <v>906757462441</v>
      </c>
      <c r="K1141">
        <v>1111767741351</v>
      </c>
      <c r="L1141">
        <v>1104997406013</v>
      </c>
      <c r="M1141">
        <v>1069891004529</v>
      </c>
      <c r="N1141">
        <v>1082945510849</v>
      </c>
      <c r="O1141">
        <v>952025421802</v>
      </c>
      <c r="P1141">
        <v>476466258667</v>
      </c>
      <c r="Q1141">
        <v>309437244168</v>
      </c>
      <c r="R1141">
        <v>335984579424</v>
      </c>
    </row>
    <row r="1142" spans="1:18" x14ac:dyDescent="0.35">
      <c r="A1142" t="s">
        <v>1944</v>
      </c>
      <c r="B1142" t="s">
        <v>69</v>
      </c>
      <c r="C1142">
        <v>144229279485</v>
      </c>
      <c r="D1142">
        <v>234654061114</v>
      </c>
      <c r="E1142">
        <v>299032662113</v>
      </c>
      <c r="F1142">
        <v>112991110754</v>
      </c>
      <c r="G1142">
        <v>96865347857</v>
      </c>
      <c r="H1142">
        <v>69489539605</v>
      </c>
      <c r="I1142">
        <v>65203587609</v>
      </c>
      <c r="J1142">
        <v>56758911779</v>
      </c>
      <c r="K1142">
        <v>52533875228</v>
      </c>
      <c r="L1142">
        <v>44847858640</v>
      </c>
      <c r="M1142">
        <v>50838565513</v>
      </c>
      <c r="N1142">
        <v>98391732747</v>
      </c>
      <c r="O1142">
        <v>179708628722</v>
      </c>
      <c r="P1142">
        <v>49677771955</v>
      </c>
      <c r="Q1142">
        <v>147724647826</v>
      </c>
      <c r="R1142">
        <v>38097127536</v>
      </c>
    </row>
    <row r="1143" spans="1:18" x14ac:dyDescent="0.35">
      <c r="A1143" t="s">
        <v>1944</v>
      </c>
      <c r="B1143" t="s">
        <v>70</v>
      </c>
      <c r="C1143">
        <v>43323473293</v>
      </c>
      <c r="D1143">
        <v>48658749156</v>
      </c>
      <c r="E1143">
        <v>29438444302</v>
      </c>
      <c r="F1143">
        <v>25234544288</v>
      </c>
      <c r="G1143">
        <v>44469916600</v>
      </c>
      <c r="H1143">
        <v>35202883882</v>
      </c>
      <c r="I1143">
        <v>13183720192</v>
      </c>
      <c r="J1143">
        <v>5708060154</v>
      </c>
      <c r="K1143">
        <v>7705271135</v>
      </c>
      <c r="L1143">
        <v>13958937701</v>
      </c>
      <c r="M1143">
        <v>3202825420</v>
      </c>
      <c r="N1143">
        <v>5937291025</v>
      </c>
      <c r="O1143">
        <v>8672225198</v>
      </c>
      <c r="P1143">
        <v>16900360912</v>
      </c>
      <c r="Q1143">
        <v>7876566806</v>
      </c>
      <c r="R1143">
        <v>5145368770</v>
      </c>
    </row>
    <row r="1144" spans="1:18" x14ac:dyDescent="0.35">
      <c r="A1144" t="s">
        <v>1944</v>
      </c>
      <c r="B1144" t="s">
        <v>71</v>
      </c>
      <c r="C1144">
        <v>224504631455</v>
      </c>
      <c r="D1144">
        <v>199852771368</v>
      </c>
      <c r="E1144">
        <v>117872597922</v>
      </c>
      <c r="F1144">
        <v>142270297548</v>
      </c>
      <c r="G1144">
        <v>184523377658</v>
      </c>
      <c r="H1144">
        <v>195282066098</v>
      </c>
      <c r="I1144">
        <v>82873425353</v>
      </c>
      <c r="J1144">
        <v>96129439786</v>
      </c>
      <c r="K1144">
        <v>97712838607</v>
      </c>
      <c r="L1144">
        <v>116313331297</v>
      </c>
      <c r="M1144">
        <v>29021244801</v>
      </c>
      <c r="N1144">
        <v>24488529541</v>
      </c>
      <c r="O1144">
        <v>22915390521</v>
      </c>
      <c r="P1144">
        <v>159890903401</v>
      </c>
      <c r="Q1144">
        <v>63420678713</v>
      </c>
      <c r="R1144">
        <v>58965849829</v>
      </c>
    </row>
    <row r="1145" spans="1:18" x14ac:dyDescent="0.35">
      <c r="A1145" t="s">
        <v>1944</v>
      </c>
      <c r="B1145" t="s">
        <v>72</v>
      </c>
      <c r="C1145">
        <v>374180106767</v>
      </c>
      <c r="D1145">
        <v>108390505794</v>
      </c>
      <c r="E1145">
        <v>200852027826</v>
      </c>
      <c r="F1145">
        <v>43700002997</v>
      </c>
      <c r="G1145">
        <v>126955397367</v>
      </c>
      <c r="H1145">
        <v>69790412459</v>
      </c>
      <c r="I1145">
        <v>80761655577</v>
      </c>
      <c r="J1145">
        <v>78785050440</v>
      </c>
      <c r="K1145">
        <v>53639645972</v>
      </c>
      <c r="L1145">
        <v>49614382273</v>
      </c>
      <c r="M1145">
        <v>54092665747</v>
      </c>
      <c r="N1145">
        <v>40533462030</v>
      </c>
      <c r="O1145">
        <v>61560133752</v>
      </c>
      <c r="P1145">
        <v>26607159346</v>
      </c>
      <c r="Q1145">
        <v>32159369174</v>
      </c>
      <c r="R1145">
        <v>36594580825</v>
      </c>
    </row>
    <row r="1146" spans="1:18" x14ac:dyDescent="0.35">
      <c r="A1146" t="s">
        <v>1944</v>
      </c>
      <c r="B1146" t="s">
        <v>73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8" x14ac:dyDescent="0.35">
      <c r="A1147" t="s">
        <v>1944</v>
      </c>
      <c r="B1147" t="s">
        <v>74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8" x14ac:dyDescent="0.35">
      <c r="A1148" t="s">
        <v>1944</v>
      </c>
      <c r="B1148" t="s">
        <v>75</v>
      </c>
      <c r="C1148">
        <v>1865025225</v>
      </c>
      <c r="D1148">
        <v>1865025225</v>
      </c>
      <c r="E1148">
        <v>1865025225</v>
      </c>
      <c r="F1148">
        <v>2225025225</v>
      </c>
      <c r="G1148">
        <v>1865025225</v>
      </c>
      <c r="H1148">
        <v>2258025225</v>
      </c>
      <c r="I1148">
        <v>2005534315</v>
      </c>
      <c r="J1148">
        <v>751354786</v>
      </c>
      <c r="K1148">
        <v>751354786</v>
      </c>
      <c r="L1148">
        <v>751354786</v>
      </c>
      <c r="M1148">
        <v>358354786</v>
      </c>
      <c r="N1148">
        <v>358354786</v>
      </c>
      <c r="O1148">
        <v>358354786</v>
      </c>
      <c r="P1148">
        <v>358354786</v>
      </c>
      <c r="Q1148">
        <v>358354786</v>
      </c>
      <c r="R1148">
        <v>358354786</v>
      </c>
    </row>
    <row r="1149" spans="1:18" x14ac:dyDescent="0.35">
      <c r="A1149" t="s">
        <v>1944</v>
      </c>
      <c r="B1149" t="s">
        <v>76</v>
      </c>
      <c r="C1149">
        <v>6244752379</v>
      </c>
      <c r="D1149">
        <v>96845655577</v>
      </c>
      <c r="E1149">
        <v>100928207736</v>
      </c>
      <c r="F1149">
        <v>46118109402</v>
      </c>
      <c r="G1149">
        <v>50846133622</v>
      </c>
      <c r="H1149">
        <v>13770029260</v>
      </c>
      <c r="I1149">
        <v>74175538322</v>
      </c>
      <c r="J1149">
        <v>94543592136</v>
      </c>
      <c r="K1149">
        <v>99194495378</v>
      </c>
      <c r="L1149">
        <v>60562871605</v>
      </c>
      <c r="M1149">
        <v>70814919602</v>
      </c>
      <c r="N1149">
        <v>132595513055</v>
      </c>
      <c r="O1149">
        <v>136154351475</v>
      </c>
      <c r="P1149">
        <v>77894997911</v>
      </c>
      <c r="Q1149">
        <v>44475833752</v>
      </c>
      <c r="R1149">
        <v>112295361592</v>
      </c>
    </row>
    <row r="1150" spans="1:18" x14ac:dyDescent="0.35">
      <c r="A1150" t="s">
        <v>1944</v>
      </c>
      <c r="B1150" t="s">
        <v>77</v>
      </c>
      <c r="C1150">
        <v>40360784861</v>
      </c>
      <c r="D1150">
        <v>55322166900</v>
      </c>
      <c r="E1150">
        <v>128598733088</v>
      </c>
      <c r="F1150">
        <v>99605522641</v>
      </c>
      <c r="G1150">
        <v>107232524074</v>
      </c>
      <c r="H1150">
        <v>136349646693</v>
      </c>
      <c r="I1150">
        <v>159383042104</v>
      </c>
      <c r="J1150">
        <v>145268201699</v>
      </c>
      <c r="K1150">
        <v>95296712009</v>
      </c>
      <c r="L1150">
        <v>124077354475</v>
      </c>
      <c r="M1150">
        <v>108123873565</v>
      </c>
      <c r="N1150">
        <v>97168212095</v>
      </c>
      <c r="O1150">
        <v>97549634464</v>
      </c>
      <c r="P1150">
        <v>206823689835</v>
      </c>
      <c r="Q1150">
        <v>226757417976</v>
      </c>
      <c r="R1150">
        <v>177386489858</v>
      </c>
    </row>
    <row r="1151" spans="1:18" x14ac:dyDescent="0.35">
      <c r="A1151" t="s">
        <v>1944</v>
      </c>
      <c r="B1151" t="s">
        <v>78</v>
      </c>
      <c r="C1151">
        <v>11876018938</v>
      </c>
      <c r="D1151">
        <v>8291209051</v>
      </c>
      <c r="E1151">
        <v>8953692866</v>
      </c>
      <c r="F1151">
        <v>3030738193</v>
      </c>
      <c r="G1151">
        <v>2573171884</v>
      </c>
      <c r="H1151">
        <v>5092635716</v>
      </c>
      <c r="I1151">
        <v>74247994448</v>
      </c>
      <c r="J1151">
        <v>68909377254</v>
      </c>
      <c r="K1151">
        <v>68010203928</v>
      </c>
      <c r="L1151">
        <v>31049099138</v>
      </c>
      <c r="M1151">
        <v>30974043064</v>
      </c>
      <c r="N1151">
        <v>29505155141</v>
      </c>
      <c r="O1151">
        <v>29470789282</v>
      </c>
      <c r="P1151">
        <v>27212239399</v>
      </c>
      <c r="Q1151">
        <v>26955957110</v>
      </c>
      <c r="R1151">
        <v>26098547284</v>
      </c>
    </row>
    <row r="1152" spans="1:18" x14ac:dyDescent="0.35">
      <c r="A1152" t="s">
        <v>1944</v>
      </c>
      <c r="B1152" t="s">
        <v>79</v>
      </c>
      <c r="C1152">
        <v>21319933502</v>
      </c>
      <c r="D1152">
        <v>20716725817</v>
      </c>
      <c r="E1152">
        <v>19652457817</v>
      </c>
      <c r="F1152">
        <v>35028944314</v>
      </c>
      <c r="G1152">
        <v>34476444314</v>
      </c>
      <c r="H1152">
        <v>33804179737</v>
      </c>
      <c r="I1152">
        <v>33132479737</v>
      </c>
      <c r="J1152">
        <v>60318424622</v>
      </c>
      <c r="K1152">
        <v>56090774622</v>
      </c>
      <c r="L1152">
        <v>55661974622</v>
      </c>
      <c r="M1152">
        <v>54422629222</v>
      </c>
      <c r="N1152">
        <v>60609019547</v>
      </c>
      <c r="O1152">
        <v>59259029732</v>
      </c>
      <c r="P1152">
        <v>53420298853</v>
      </c>
      <c r="Q1152">
        <v>44749443943</v>
      </c>
      <c r="R1152">
        <v>60785532677</v>
      </c>
    </row>
    <row r="1153" spans="1:18" x14ac:dyDescent="0.35">
      <c r="A1153" t="s">
        <v>1944</v>
      </c>
      <c r="B1153" t="s">
        <v>80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8" x14ac:dyDescent="0.35">
      <c r="A1154" t="s">
        <v>1944</v>
      </c>
      <c r="B1154" t="s">
        <v>81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8" x14ac:dyDescent="0.35">
      <c r="A1155" t="s">
        <v>1944</v>
      </c>
      <c r="B1155" t="s">
        <v>82</v>
      </c>
      <c r="C1155">
        <v>418069801933</v>
      </c>
      <c r="D1155">
        <v>404435683252</v>
      </c>
      <c r="E1155">
        <v>279523164209</v>
      </c>
      <c r="F1155">
        <v>194016963271</v>
      </c>
      <c r="G1155">
        <v>209571515825</v>
      </c>
      <c r="H1155">
        <v>121704679218</v>
      </c>
      <c r="I1155">
        <v>51496158548</v>
      </c>
      <c r="J1155">
        <v>53289448890</v>
      </c>
      <c r="K1155">
        <v>35807544215</v>
      </c>
      <c r="L1155">
        <v>36545936231</v>
      </c>
      <c r="M1155">
        <v>36725628859</v>
      </c>
      <c r="N1155">
        <v>37929830792</v>
      </c>
      <c r="O1155">
        <v>38289385446</v>
      </c>
      <c r="P1155">
        <v>40376874683</v>
      </c>
      <c r="Q1155">
        <v>56294009971</v>
      </c>
      <c r="R1155">
        <v>53606742729</v>
      </c>
    </row>
    <row r="1156" spans="1:18" x14ac:dyDescent="0.35">
      <c r="A1156" t="s">
        <v>1944</v>
      </c>
      <c r="B1156" t="s">
        <v>83</v>
      </c>
      <c r="C1156">
        <v>0</v>
      </c>
      <c r="D1156">
        <v>0</v>
      </c>
      <c r="E1156">
        <v>36514198</v>
      </c>
      <c r="F1156">
        <v>47602198</v>
      </c>
      <c r="G1156">
        <v>47602198</v>
      </c>
      <c r="H1156">
        <v>0</v>
      </c>
      <c r="I1156">
        <v>11088000</v>
      </c>
      <c r="J1156">
        <v>0</v>
      </c>
      <c r="K1156">
        <v>47989376</v>
      </c>
      <c r="L1156">
        <v>47989376</v>
      </c>
      <c r="M1156">
        <v>47989376</v>
      </c>
      <c r="N1156">
        <v>47989376</v>
      </c>
    </row>
    <row r="1157" spans="1:18" x14ac:dyDescent="0.35">
      <c r="A1157" t="s">
        <v>1944</v>
      </c>
      <c r="B1157" t="s">
        <v>84</v>
      </c>
      <c r="C1157">
        <v>266027896028</v>
      </c>
      <c r="D1157">
        <v>171425110827</v>
      </c>
      <c r="E1157">
        <v>45617690406</v>
      </c>
      <c r="F1157">
        <v>2241081250</v>
      </c>
      <c r="G1157">
        <v>2241081250</v>
      </c>
      <c r="H1157">
        <v>2241081250</v>
      </c>
      <c r="I1157">
        <v>2241081250</v>
      </c>
      <c r="J1157">
        <v>2241081250</v>
      </c>
      <c r="K1157">
        <v>2241081250</v>
      </c>
      <c r="L1157">
        <v>2241081250</v>
      </c>
      <c r="M1157">
        <v>2241081250</v>
      </c>
      <c r="N1157">
        <v>2241081250</v>
      </c>
      <c r="O1157">
        <v>2241081250</v>
      </c>
      <c r="P1157">
        <v>2241081250</v>
      </c>
      <c r="Q1157">
        <v>2241081250</v>
      </c>
      <c r="R1157">
        <v>2241081250</v>
      </c>
    </row>
    <row r="1158" spans="1:18" x14ac:dyDescent="0.35">
      <c r="A1158" t="s">
        <v>1944</v>
      </c>
      <c r="B1158" t="s">
        <v>85</v>
      </c>
      <c r="C1158">
        <v>1344553553</v>
      </c>
      <c r="D1158">
        <v>1482494554</v>
      </c>
      <c r="E1158">
        <v>1589897900</v>
      </c>
      <c r="F1158">
        <v>1740296607</v>
      </c>
      <c r="G1158">
        <v>1871334114</v>
      </c>
      <c r="H1158">
        <v>2002371621</v>
      </c>
      <c r="I1158">
        <v>2130757240</v>
      </c>
      <c r="J1158">
        <v>2262266418</v>
      </c>
      <c r="K1158">
        <v>0</v>
      </c>
      <c r="L1158">
        <v>0</v>
      </c>
      <c r="M1158">
        <v>0</v>
      </c>
      <c r="N1158">
        <v>0</v>
      </c>
    </row>
    <row r="1159" spans="1:18" x14ac:dyDescent="0.35">
      <c r="A1159" t="s">
        <v>1944</v>
      </c>
      <c r="B1159" t="s">
        <v>86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8" x14ac:dyDescent="0.35">
      <c r="A1160" t="s">
        <v>1944</v>
      </c>
      <c r="B1160" t="s">
        <v>87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8" x14ac:dyDescent="0.35">
      <c r="A1161" t="s">
        <v>1944</v>
      </c>
      <c r="B1161" t="s">
        <v>88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8" x14ac:dyDescent="0.35">
      <c r="A1162" t="s">
        <v>1944</v>
      </c>
      <c r="B1162" t="s">
        <v>89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1511330028</v>
      </c>
      <c r="O1162">
        <v>1511330028</v>
      </c>
      <c r="P1162">
        <v>1511330028</v>
      </c>
      <c r="Q1162">
        <v>1419110028</v>
      </c>
      <c r="R1162">
        <v>1419110028</v>
      </c>
    </row>
    <row r="1163" spans="1:18" x14ac:dyDescent="0.35">
      <c r="A1163" t="s">
        <v>1944</v>
      </c>
      <c r="B1163" t="s">
        <v>90</v>
      </c>
      <c r="C1163">
        <v>17329235568</v>
      </c>
      <c r="D1163">
        <v>17329235568</v>
      </c>
      <c r="E1163">
        <v>17329235568</v>
      </c>
      <c r="F1163">
        <v>17329235568</v>
      </c>
      <c r="G1163">
        <v>17329235568</v>
      </c>
      <c r="H1163">
        <v>17329235568</v>
      </c>
      <c r="I1163">
        <v>17329235568</v>
      </c>
      <c r="J1163">
        <v>17329235568</v>
      </c>
      <c r="K1163">
        <v>0</v>
      </c>
      <c r="L1163">
        <v>0</v>
      </c>
      <c r="M1163">
        <v>0</v>
      </c>
      <c r="N1163">
        <v>0</v>
      </c>
      <c r="Q1163">
        <v>14633420000</v>
      </c>
      <c r="R1163">
        <v>9606830000</v>
      </c>
    </row>
    <row r="1164" spans="1:18" x14ac:dyDescent="0.35">
      <c r="A1164" t="s">
        <v>1944</v>
      </c>
      <c r="B1164" t="s">
        <v>91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8" x14ac:dyDescent="0.35">
      <c r="A1165" t="s">
        <v>1944</v>
      </c>
      <c r="B1165" t="s">
        <v>92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8" x14ac:dyDescent="0.35">
      <c r="A1166" t="s">
        <v>1944</v>
      </c>
      <c r="B1166" t="s">
        <v>93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8" x14ac:dyDescent="0.35">
      <c r="A1167" t="s">
        <v>1944</v>
      </c>
      <c r="B1167" t="s">
        <v>94</v>
      </c>
      <c r="C1167">
        <v>132507756412</v>
      </c>
      <c r="D1167">
        <v>213458481931</v>
      </c>
      <c r="E1167">
        <v>214209465765</v>
      </c>
      <c r="F1167">
        <v>171924387276</v>
      </c>
      <c r="G1167">
        <v>187347902323</v>
      </c>
      <c r="H1167">
        <v>99701547007</v>
      </c>
      <c r="I1167">
        <v>29383552718</v>
      </c>
      <c r="J1167">
        <v>31078421882</v>
      </c>
      <c r="K1167">
        <v>33212029817</v>
      </c>
      <c r="L1167">
        <v>34115421833</v>
      </c>
      <c r="M1167">
        <v>34295114461</v>
      </c>
      <c r="N1167">
        <v>33992986366</v>
      </c>
      <c r="O1167">
        <v>34420530396</v>
      </c>
      <c r="P1167">
        <v>36624463405</v>
      </c>
      <c r="Q1167">
        <v>38000398693</v>
      </c>
      <c r="R1167">
        <v>40339721451</v>
      </c>
    </row>
    <row r="1168" spans="1:18" x14ac:dyDescent="0.35">
      <c r="A1168" t="s">
        <v>1944</v>
      </c>
      <c r="B1168" t="s">
        <v>95</v>
      </c>
      <c r="C1168">
        <v>860360372</v>
      </c>
      <c r="D1168">
        <v>740360372</v>
      </c>
      <c r="E1168">
        <v>740360372</v>
      </c>
      <c r="F1168">
        <v>734360372</v>
      </c>
      <c r="G1168">
        <v>734360372</v>
      </c>
      <c r="H1168">
        <v>430443772</v>
      </c>
      <c r="I1168">
        <v>400443772</v>
      </c>
      <c r="J1168">
        <v>378443772</v>
      </c>
      <c r="K1168">
        <v>306443772</v>
      </c>
      <c r="L1168">
        <v>141443772</v>
      </c>
      <c r="M1168">
        <v>141443772</v>
      </c>
      <c r="N1168">
        <v>136443772</v>
      </c>
      <c r="O1168">
        <v>116443772</v>
      </c>
    </row>
    <row r="1169" spans="1:18" x14ac:dyDescent="0.35">
      <c r="A1169" t="s">
        <v>1944</v>
      </c>
      <c r="B1169" t="s">
        <v>96</v>
      </c>
      <c r="C1169">
        <v>1050756403456</v>
      </c>
      <c r="D1169">
        <v>1167264926456</v>
      </c>
      <c r="E1169">
        <v>1195780750666</v>
      </c>
      <c r="F1169">
        <v>1204513514244</v>
      </c>
      <c r="G1169">
        <v>1305785978168</v>
      </c>
      <c r="H1169">
        <v>1376211820808</v>
      </c>
      <c r="I1169">
        <v>1389457628319</v>
      </c>
      <c r="J1169">
        <v>1334696701711</v>
      </c>
      <c r="K1169">
        <v>1345031676639</v>
      </c>
      <c r="L1169">
        <v>1380051072275</v>
      </c>
      <c r="M1169">
        <v>1364803706573</v>
      </c>
      <c r="N1169">
        <v>1303086965568</v>
      </c>
      <c r="O1169">
        <v>1320152956053</v>
      </c>
      <c r="P1169">
        <v>1333598124175</v>
      </c>
      <c r="Q1169">
        <v>1345093731210</v>
      </c>
      <c r="R1169">
        <v>1268132124935</v>
      </c>
    </row>
    <row r="1170" spans="1:18" x14ac:dyDescent="0.35">
      <c r="A1170" t="s">
        <v>1944</v>
      </c>
      <c r="B1170" t="s">
        <v>97</v>
      </c>
      <c r="C1170">
        <v>1050705878059</v>
      </c>
      <c r="D1170">
        <v>1167214401059</v>
      </c>
      <c r="E1170">
        <v>1195730225269</v>
      </c>
      <c r="F1170">
        <v>1204462988847</v>
      </c>
      <c r="G1170">
        <v>1305735452771</v>
      </c>
      <c r="H1170">
        <v>1376161295411</v>
      </c>
      <c r="I1170">
        <v>1389407102922</v>
      </c>
      <c r="J1170">
        <v>1334646176314</v>
      </c>
      <c r="K1170">
        <v>1344981151242</v>
      </c>
      <c r="L1170">
        <v>1380000546878</v>
      </c>
      <c r="M1170">
        <v>1364753181176</v>
      </c>
      <c r="N1170">
        <v>1303036440171</v>
      </c>
      <c r="O1170">
        <v>1320102430656</v>
      </c>
      <c r="P1170">
        <v>1333547598778</v>
      </c>
      <c r="Q1170">
        <v>1345043205813</v>
      </c>
      <c r="R1170">
        <v>1268081599538</v>
      </c>
    </row>
    <row r="1171" spans="1:18" x14ac:dyDescent="0.35">
      <c r="A1171" t="s">
        <v>1944</v>
      </c>
      <c r="B1171" t="s">
        <v>98</v>
      </c>
      <c r="C1171">
        <v>360149520000</v>
      </c>
      <c r="D1171">
        <v>360149520000</v>
      </c>
      <c r="E1171">
        <v>360149520000</v>
      </c>
      <c r="F1171">
        <v>360149520000</v>
      </c>
      <c r="G1171">
        <v>450181410000</v>
      </c>
      <c r="H1171">
        <v>450181410000</v>
      </c>
      <c r="I1171">
        <v>450181410000</v>
      </c>
      <c r="J1171">
        <v>450181410000</v>
      </c>
      <c r="K1171">
        <v>450181410000</v>
      </c>
      <c r="L1171">
        <v>675261650000</v>
      </c>
      <c r="M1171">
        <v>675261650000</v>
      </c>
      <c r="N1171">
        <v>675261650000</v>
      </c>
      <c r="O1171">
        <v>675261650000</v>
      </c>
      <c r="P1171">
        <v>675261650000</v>
      </c>
      <c r="Q1171">
        <v>675261650000</v>
      </c>
      <c r="R1171">
        <v>675261650000</v>
      </c>
    </row>
    <row r="1172" spans="1:18" x14ac:dyDescent="0.35">
      <c r="A1172" t="s">
        <v>1944</v>
      </c>
      <c r="B1172" t="s">
        <v>99</v>
      </c>
      <c r="C1172">
        <v>360149520000</v>
      </c>
      <c r="D1172">
        <v>360149520000</v>
      </c>
      <c r="E1172">
        <v>360149520000</v>
      </c>
      <c r="F1172">
        <v>360149520000</v>
      </c>
      <c r="G1172">
        <v>0</v>
      </c>
      <c r="H1172">
        <v>450181410000</v>
      </c>
      <c r="I1172">
        <v>0</v>
      </c>
      <c r="J1172">
        <v>450181410000</v>
      </c>
      <c r="K1172">
        <v>450181410000</v>
      </c>
      <c r="L1172">
        <v>675261650000</v>
      </c>
      <c r="M1172">
        <v>675261650000</v>
      </c>
      <c r="N1172">
        <v>675261650000</v>
      </c>
      <c r="O1172">
        <v>675261650000</v>
      </c>
      <c r="P1172">
        <v>675261650000</v>
      </c>
      <c r="Q1172">
        <v>675261650000</v>
      </c>
      <c r="R1172">
        <v>675261650000</v>
      </c>
    </row>
    <row r="1173" spans="1:18" x14ac:dyDescent="0.35">
      <c r="A1173" t="s">
        <v>1944</v>
      </c>
      <c r="B1173" t="s">
        <v>100</v>
      </c>
      <c r="C1173">
        <v>0</v>
      </c>
      <c r="D1173">
        <v>0</v>
      </c>
      <c r="E1173">
        <v>0</v>
      </c>
      <c r="F1173">
        <v>0</v>
      </c>
      <c r="G1173">
        <v>450181410000</v>
      </c>
      <c r="H1173">
        <v>0</v>
      </c>
      <c r="I1173">
        <v>450181410000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8" x14ac:dyDescent="0.35">
      <c r="A1174" t="s">
        <v>1944</v>
      </c>
      <c r="B1174" t="s">
        <v>101</v>
      </c>
      <c r="C1174">
        <v>4922641050</v>
      </c>
      <c r="D1174">
        <v>4922641050</v>
      </c>
      <c r="E1174">
        <v>4922641050</v>
      </c>
      <c r="F1174">
        <v>4922641050</v>
      </c>
      <c r="G1174">
        <v>4922641050</v>
      </c>
      <c r="H1174">
        <v>4922641050</v>
      </c>
      <c r="I1174">
        <v>4922641050</v>
      </c>
      <c r="J1174">
        <v>4922641050</v>
      </c>
      <c r="K1174">
        <v>4922641050</v>
      </c>
      <c r="L1174">
        <v>4922641050</v>
      </c>
      <c r="M1174">
        <v>4922641050</v>
      </c>
      <c r="N1174">
        <v>4922641050</v>
      </c>
      <c r="O1174">
        <v>4922641050</v>
      </c>
      <c r="P1174">
        <v>4922641050</v>
      </c>
      <c r="Q1174">
        <v>4922641050</v>
      </c>
      <c r="R1174">
        <v>4922641050</v>
      </c>
    </row>
    <row r="1175" spans="1:18" x14ac:dyDescent="0.35">
      <c r="A1175" t="s">
        <v>1944</v>
      </c>
      <c r="B1175" t="s">
        <v>102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8" x14ac:dyDescent="0.35">
      <c r="A1176" t="s">
        <v>1944</v>
      </c>
      <c r="B1176" t="s">
        <v>103</v>
      </c>
      <c r="C1176">
        <v>12641457169</v>
      </c>
      <c r="D1176">
        <v>12641457169</v>
      </c>
      <c r="E1176">
        <v>12641457169</v>
      </c>
      <c r="F1176">
        <v>12641457169</v>
      </c>
      <c r="G1176">
        <v>12641457169</v>
      </c>
      <c r="H1176">
        <v>12641457169</v>
      </c>
      <c r="I1176">
        <v>12641457169</v>
      </c>
      <c r="J1176">
        <v>12641457169</v>
      </c>
      <c r="K1176">
        <v>12641457169</v>
      </c>
      <c r="L1176">
        <v>12641457169</v>
      </c>
      <c r="M1176">
        <v>12641457169</v>
      </c>
      <c r="N1176">
        <v>12641457169</v>
      </c>
      <c r="O1176">
        <v>12641457169</v>
      </c>
      <c r="P1176">
        <v>12641457169</v>
      </c>
      <c r="R1176">
        <v>12641457169</v>
      </c>
    </row>
    <row r="1177" spans="1:18" x14ac:dyDescent="0.35">
      <c r="A1177" t="s">
        <v>1944</v>
      </c>
      <c r="B1177" t="s">
        <v>104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Q1177">
        <v>12641457169</v>
      </c>
    </row>
    <row r="1178" spans="1:18" x14ac:dyDescent="0.35">
      <c r="A1178" t="s">
        <v>1944</v>
      </c>
      <c r="B1178" t="s">
        <v>105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8" x14ac:dyDescent="0.35">
      <c r="A1179" t="s">
        <v>1944</v>
      </c>
      <c r="B1179" t="s">
        <v>106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8" x14ac:dyDescent="0.35">
      <c r="A1180" t="s">
        <v>1944</v>
      </c>
      <c r="B1180" t="s">
        <v>107</v>
      </c>
      <c r="C1180">
        <v>382230283648</v>
      </c>
      <c r="D1180">
        <v>382230283648</v>
      </c>
      <c r="E1180">
        <v>382230283648</v>
      </c>
      <c r="F1180">
        <v>460889943139</v>
      </c>
      <c r="G1180">
        <v>460889943139</v>
      </c>
      <c r="H1180">
        <v>460889943139</v>
      </c>
      <c r="I1180">
        <v>460889943139</v>
      </c>
      <c r="J1180">
        <v>515241232909</v>
      </c>
      <c r="K1180">
        <v>515241232909</v>
      </c>
      <c r="L1180">
        <v>380193662909</v>
      </c>
      <c r="M1180">
        <v>380193662909</v>
      </c>
      <c r="N1180">
        <v>380193662909</v>
      </c>
      <c r="O1180">
        <v>380193662909</v>
      </c>
      <c r="P1180">
        <v>380193662909</v>
      </c>
      <c r="Q1180">
        <v>380193662909</v>
      </c>
      <c r="R1180">
        <v>390822867041</v>
      </c>
    </row>
    <row r="1181" spans="1:18" x14ac:dyDescent="0.35">
      <c r="A1181" t="s">
        <v>1944</v>
      </c>
      <c r="B1181" t="s">
        <v>108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8" x14ac:dyDescent="0.35">
      <c r="A1182" t="s">
        <v>1944</v>
      </c>
      <c r="B1182" t="s">
        <v>109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8" x14ac:dyDescent="0.35">
      <c r="A1183" t="s">
        <v>1944</v>
      </c>
      <c r="B1183" t="s">
        <v>110</v>
      </c>
      <c r="C1183">
        <v>290755457992</v>
      </c>
      <c r="D1183">
        <v>407263844992</v>
      </c>
      <c r="E1183">
        <v>435779635202</v>
      </c>
      <c r="F1183">
        <v>365852739289</v>
      </c>
      <c r="G1183">
        <v>377093313213</v>
      </c>
      <c r="H1183">
        <v>447519155853</v>
      </c>
      <c r="I1183">
        <v>460764963364</v>
      </c>
      <c r="J1183">
        <v>351652746986</v>
      </c>
      <c r="K1183">
        <v>361987721914</v>
      </c>
      <c r="L1183">
        <v>306974447550</v>
      </c>
      <c r="M1183">
        <v>291727081848</v>
      </c>
      <c r="N1183">
        <v>230010340843</v>
      </c>
      <c r="O1183">
        <v>247076331328</v>
      </c>
      <c r="P1183">
        <v>260521499450</v>
      </c>
      <c r="Q1183">
        <v>272017106485</v>
      </c>
      <c r="R1183">
        <v>184426296078</v>
      </c>
    </row>
    <row r="1184" spans="1:18" x14ac:dyDescent="0.35">
      <c r="A1184" t="s">
        <v>1944</v>
      </c>
      <c r="B1184" t="s">
        <v>111</v>
      </c>
      <c r="C1184">
        <v>51259644613</v>
      </c>
      <c r="D1184">
        <v>116508387000</v>
      </c>
      <c r="E1184">
        <v>28515790210</v>
      </c>
      <c r="F1184">
        <v>71542352075</v>
      </c>
      <c r="G1184">
        <v>101272463924</v>
      </c>
      <c r="H1184">
        <v>70425842640</v>
      </c>
      <c r="I1184">
        <v>13245807511</v>
      </c>
      <c r="J1184">
        <v>18027859277</v>
      </c>
      <c r="K1184">
        <v>10244951308</v>
      </c>
      <c r="L1184">
        <v>271955051914</v>
      </c>
      <c r="M1184">
        <v>283232924488</v>
      </c>
      <c r="N1184">
        <v>216001194704</v>
      </c>
      <c r="O1184">
        <v>207507037344</v>
      </c>
      <c r="P1184">
        <v>207507037344</v>
      </c>
      <c r="Q1184">
        <v>260653058006</v>
      </c>
      <c r="R1184">
        <v>160634441874</v>
      </c>
    </row>
    <row r="1185" spans="1:18" x14ac:dyDescent="0.35">
      <c r="A1185" t="s">
        <v>1944</v>
      </c>
      <c r="B1185" t="s">
        <v>112</v>
      </c>
      <c r="C1185">
        <v>239495813379</v>
      </c>
      <c r="D1185">
        <v>290755457992</v>
      </c>
      <c r="E1185">
        <v>407263844992</v>
      </c>
      <c r="F1185">
        <v>294310387214</v>
      </c>
      <c r="G1185">
        <v>275820849289</v>
      </c>
      <c r="H1185">
        <v>377093313213</v>
      </c>
      <c r="I1185">
        <v>447519155853</v>
      </c>
      <c r="J1185">
        <v>333624887709</v>
      </c>
      <c r="K1185">
        <v>351742770606</v>
      </c>
      <c r="L1185">
        <v>35019395636</v>
      </c>
      <c r="M1185">
        <v>8494157360</v>
      </c>
      <c r="N1185">
        <v>14009146139</v>
      </c>
      <c r="O1185">
        <v>39569293984</v>
      </c>
      <c r="P1185">
        <v>53014462106</v>
      </c>
      <c r="Q1185">
        <v>11364048479</v>
      </c>
      <c r="R1185">
        <v>23791854204</v>
      </c>
    </row>
    <row r="1186" spans="1:18" x14ac:dyDescent="0.35">
      <c r="A1186" t="s">
        <v>1944</v>
      </c>
      <c r="B1186" t="s">
        <v>113</v>
      </c>
      <c r="C1186">
        <v>6518200</v>
      </c>
      <c r="D1186">
        <v>6654200</v>
      </c>
      <c r="E1186">
        <v>6688200</v>
      </c>
      <c r="F1186">
        <v>6688200</v>
      </c>
      <c r="G1186">
        <v>6688200</v>
      </c>
      <c r="H1186">
        <v>6688200</v>
      </c>
      <c r="I1186">
        <v>6688200</v>
      </c>
      <c r="J1186">
        <v>6688200</v>
      </c>
      <c r="K1186">
        <v>6688200</v>
      </c>
      <c r="L1186">
        <v>6688200</v>
      </c>
      <c r="M1186">
        <v>6688200</v>
      </c>
      <c r="N1186">
        <v>6688200</v>
      </c>
      <c r="O1186">
        <v>6688200</v>
      </c>
      <c r="P1186">
        <v>6688200</v>
      </c>
      <c r="Q1186">
        <v>6688200</v>
      </c>
      <c r="R1186">
        <v>6688200</v>
      </c>
    </row>
    <row r="1187" spans="1:18" x14ac:dyDescent="0.35">
      <c r="A1187" t="s">
        <v>1944</v>
      </c>
      <c r="B1187" t="s">
        <v>114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8" x14ac:dyDescent="0.35">
      <c r="A1188" t="s">
        <v>1944</v>
      </c>
      <c r="B1188" t="s">
        <v>115</v>
      </c>
      <c r="C1188">
        <v>50525397</v>
      </c>
      <c r="D1188">
        <v>50525397</v>
      </c>
      <c r="E1188">
        <v>50525397</v>
      </c>
      <c r="F1188">
        <v>50525397</v>
      </c>
      <c r="G1188">
        <v>50525397</v>
      </c>
      <c r="H1188">
        <v>50525397</v>
      </c>
      <c r="I1188">
        <v>50525397</v>
      </c>
      <c r="J1188">
        <v>50525397</v>
      </c>
      <c r="K1188">
        <v>50525397</v>
      </c>
      <c r="L1188">
        <v>50525397</v>
      </c>
      <c r="M1188">
        <v>50525397</v>
      </c>
      <c r="N1188">
        <v>50525397</v>
      </c>
      <c r="O1188">
        <v>50525397</v>
      </c>
      <c r="P1188">
        <v>50525397</v>
      </c>
      <c r="Q1188">
        <v>50525397</v>
      </c>
      <c r="R1188">
        <v>50525397</v>
      </c>
    </row>
    <row r="1189" spans="1:18" x14ac:dyDescent="0.35">
      <c r="A1189" t="s">
        <v>1944</v>
      </c>
      <c r="B1189" t="s">
        <v>116</v>
      </c>
      <c r="C1189">
        <v>50525397</v>
      </c>
      <c r="D1189">
        <v>50525397</v>
      </c>
      <c r="E1189">
        <v>50525397</v>
      </c>
      <c r="F1189">
        <v>50525397</v>
      </c>
      <c r="G1189">
        <v>50525397</v>
      </c>
      <c r="H1189">
        <v>50525397</v>
      </c>
      <c r="I1189">
        <v>50525397</v>
      </c>
      <c r="J1189">
        <v>50525397</v>
      </c>
      <c r="K1189">
        <v>50525397</v>
      </c>
      <c r="L1189">
        <v>50525397</v>
      </c>
      <c r="M1189">
        <v>50525397</v>
      </c>
      <c r="N1189">
        <v>50525397</v>
      </c>
      <c r="O1189">
        <v>50525397</v>
      </c>
      <c r="P1189">
        <v>50525397</v>
      </c>
      <c r="Q1189">
        <v>50525397</v>
      </c>
      <c r="R1189">
        <v>50525397</v>
      </c>
    </row>
    <row r="1190" spans="1:18" x14ac:dyDescent="0.35">
      <c r="A1190" t="s">
        <v>1944</v>
      </c>
      <c r="B1190" t="s">
        <v>117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8" x14ac:dyDescent="0.35">
      <c r="A1191" t="s">
        <v>1944</v>
      </c>
      <c r="B1191" t="s">
        <v>118</v>
      </c>
      <c r="C1191">
        <v>3146619774408</v>
      </c>
      <c r="D1191">
        <v>3336016514830</v>
      </c>
      <c r="E1191">
        <v>3139808306814</v>
      </c>
      <c r="F1191">
        <v>3429842848807</v>
      </c>
      <c r="G1191">
        <v>4518027493033</v>
      </c>
      <c r="H1191">
        <v>4426905590536</v>
      </c>
      <c r="I1191">
        <v>3952457406565</v>
      </c>
      <c r="J1191">
        <v>2901916025698</v>
      </c>
      <c r="K1191">
        <v>3023542133870</v>
      </c>
      <c r="L1191">
        <v>3018431579056</v>
      </c>
      <c r="M1191">
        <v>2873269461681</v>
      </c>
      <c r="N1191">
        <v>2913549577176</v>
      </c>
      <c r="O1191">
        <v>2906116301233</v>
      </c>
      <c r="P1191">
        <v>2469227033923</v>
      </c>
      <c r="Q1191">
        <v>2305303255435</v>
      </c>
      <c r="R1191">
        <v>2173450660245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6830-FA94-49AC-A038-C0AB80028D96}">
  <dimension ref="A1:R231"/>
  <sheetViews>
    <sheetView workbookViewId="0">
      <selection activeCell="R4" sqref="R4"/>
    </sheetView>
  </sheetViews>
  <sheetFormatPr defaultRowHeight="14.5" x14ac:dyDescent="0.35"/>
  <cols>
    <col min="1" max="1" width="16.453125" bestFit="1" customWidth="1"/>
    <col min="2" max="2" width="64.54296875" bestFit="1" customWidth="1"/>
    <col min="3" max="3" width="11.81640625" bestFit="1" customWidth="1"/>
    <col min="4" max="18" width="12.453125" bestFit="1" customWidth="1"/>
  </cols>
  <sheetData>
    <row r="1" spans="1:18" x14ac:dyDescent="0.35">
      <c r="A1" t="s">
        <v>0</v>
      </c>
      <c r="B1" t="s">
        <v>204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199</v>
      </c>
      <c r="P1" t="s">
        <v>200</v>
      </c>
      <c r="Q1" t="s">
        <v>201</v>
      </c>
      <c r="R1" t="s">
        <v>202</v>
      </c>
    </row>
    <row r="2" spans="1:18" x14ac:dyDescent="0.35">
      <c r="A2" t="s">
        <v>1936</v>
      </c>
      <c r="B2" t="s">
        <v>176</v>
      </c>
      <c r="C2">
        <v>2855242944054</v>
      </c>
      <c r="D2">
        <v>3672180466959</v>
      </c>
      <c r="E2">
        <v>2796545340863</v>
      </c>
      <c r="F2">
        <v>3514339947865</v>
      </c>
      <c r="G2">
        <v>2429087226949</v>
      </c>
      <c r="H2">
        <v>2724705180185</v>
      </c>
      <c r="I2">
        <v>3226451625770</v>
      </c>
      <c r="J2">
        <v>4024160793931</v>
      </c>
      <c r="K2">
        <v>3359759780444</v>
      </c>
      <c r="L2">
        <v>3197318597435</v>
      </c>
      <c r="M2">
        <v>3064345439329</v>
      </c>
      <c r="N2">
        <v>3256748627830</v>
      </c>
      <c r="O2">
        <v>2876710354808</v>
      </c>
      <c r="P2">
        <v>2789102110205</v>
      </c>
      <c r="Q2">
        <v>2552172857245</v>
      </c>
      <c r="R2">
        <v>3375904109502</v>
      </c>
    </row>
    <row r="3" spans="1:18" x14ac:dyDescent="0.35">
      <c r="A3" t="s">
        <v>1936</v>
      </c>
      <c r="B3" t="s">
        <v>177</v>
      </c>
      <c r="C3">
        <v>29371541879</v>
      </c>
      <c r="D3">
        <v>11692158115</v>
      </c>
      <c r="E3">
        <v>14852733796</v>
      </c>
      <c r="F3">
        <v>39372472522</v>
      </c>
      <c r="G3">
        <v>13694105536</v>
      </c>
      <c r="H3">
        <v>-696801173</v>
      </c>
      <c r="I3">
        <v>16937544172</v>
      </c>
      <c r="J3">
        <v>12720582382</v>
      </c>
      <c r="K3">
        <v>15693908837</v>
      </c>
      <c r="L3">
        <v>13116790499</v>
      </c>
      <c r="M3">
        <v>13931212749</v>
      </c>
      <c r="N3">
        <v>1898273208</v>
      </c>
      <c r="O3">
        <v>2158682977</v>
      </c>
      <c r="P3">
        <v>397094160</v>
      </c>
      <c r="Q3">
        <v>3632995644</v>
      </c>
      <c r="R3">
        <v>185965998</v>
      </c>
    </row>
    <row r="4" spans="1:18" x14ac:dyDescent="0.35">
      <c r="A4" t="s">
        <v>1936</v>
      </c>
      <c r="B4" t="s">
        <v>178</v>
      </c>
      <c r="C4">
        <v>2825871402175</v>
      </c>
      <c r="D4">
        <v>3660488308844</v>
      </c>
      <c r="E4">
        <v>2781692607067</v>
      </c>
      <c r="F4">
        <v>3474967475343</v>
      </c>
      <c r="G4">
        <v>2415393121413</v>
      </c>
      <c r="H4">
        <v>2725401981358</v>
      </c>
      <c r="I4">
        <v>3209514081598</v>
      </c>
      <c r="J4">
        <v>4011440211549</v>
      </c>
      <c r="K4">
        <v>3344065871607</v>
      </c>
      <c r="L4">
        <v>3184201806936</v>
      </c>
      <c r="M4">
        <v>3050414226580</v>
      </c>
      <c r="N4">
        <v>3254850354622</v>
      </c>
      <c r="O4">
        <v>2874551671831</v>
      </c>
      <c r="P4">
        <v>2788705016045</v>
      </c>
      <c r="Q4">
        <v>2548539861601</v>
      </c>
      <c r="R4">
        <v>3375718143504</v>
      </c>
    </row>
    <row r="5" spans="1:18" x14ac:dyDescent="0.35">
      <c r="A5" t="s">
        <v>1936</v>
      </c>
      <c r="B5" t="s">
        <v>179</v>
      </c>
      <c r="C5">
        <v>2533270015681</v>
      </c>
      <c r="D5">
        <v>3287210392593</v>
      </c>
      <c r="E5">
        <v>2451211152281</v>
      </c>
      <c r="F5">
        <v>3132516486988</v>
      </c>
      <c r="G5">
        <v>2128506739794</v>
      </c>
      <c r="H5">
        <v>2385803951967</v>
      </c>
      <c r="I5">
        <v>2691144677696</v>
      </c>
      <c r="J5">
        <v>3375725896085</v>
      </c>
      <c r="K5">
        <v>2900720403936</v>
      </c>
      <c r="L5">
        <v>2851196151228</v>
      </c>
      <c r="M5">
        <v>2670580941726</v>
      </c>
      <c r="N5">
        <v>2867362142420</v>
      </c>
      <c r="O5">
        <v>2569933946480</v>
      </c>
      <c r="P5">
        <v>2515035018815</v>
      </c>
      <c r="Q5">
        <v>2227908348728</v>
      </c>
      <c r="R5">
        <v>2982792694993</v>
      </c>
    </row>
    <row r="6" spans="1:18" x14ac:dyDescent="0.35">
      <c r="A6" t="s">
        <v>1936</v>
      </c>
      <c r="B6" t="s">
        <v>180</v>
      </c>
      <c r="C6">
        <v>292601386494</v>
      </c>
      <c r="D6">
        <v>373277916251</v>
      </c>
      <c r="E6">
        <v>330481454786</v>
      </c>
      <c r="F6">
        <v>342450988355</v>
      </c>
      <c r="G6">
        <v>286886381619</v>
      </c>
      <c r="H6">
        <v>339598029391</v>
      </c>
      <c r="I6">
        <v>518369403902</v>
      </c>
      <c r="J6">
        <v>635714315464</v>
      </c>
      <c r="K6">
        <v>443345467671</v>
      </c>
      <c r="L6">
        <v>333005655708</v>
      </c>
      <c r="M6">
        <v>379833284854</v>
      </c>
      <c r="N6">
        <v>387488212202</v>
      </c>
      <c r="O6">
        <v>304617725351</v>
      </c>
      <c r="P6">
        <v>273669997230</v>
      </c>
      <c r="Q6">
        <v>320631512873</v>
      </c>
      <c r="R6">
        <v>392925448511</v>
      </c>
    </row>
    <row r="7" spans="1:18" x14ac:dyDescent="0.35">
      <c r="A7" t="s">
        <v>1936</v>
      </c>
      <c r="B7" t="s">
        <v>181</v>
      </c>
      <c r="C7">
        <v>55969947143</v>
      </c>
      <c r="D7">
        <v>62605860069</v>
      </c>
      <c r="E7">
        <v>70831740839</v>
      </c>
      <c r="F7">
        <v>32745013341</v>
      </c>
      <c r="G7">
        <v>33047905840</v>
      </c>
      <c r="H7">
        <v>63817096388</v>
      </c>
      <c r="I7">
        <v>101704271480</v>
      </c>
      <c r="J7">
        <v>67166024897</v>
      </c>
      <c r="K7">
        <v>56218888441</v>
      </c>
      <c r="L7">
        <v>55912546383</v>
      </c>
      <c r="M7">
        <v>29531399485</v>
      </c>
      <c r="N7">
        <v>56191121653</v>
      </c>
      <c r="O7">
        <v>55946665112</v>
      </c>
      <c r="P7">
        <v>91876329250</v>
      </c>
      <c r="Q7">
        <v>29346339067</v>
      </c>
      <c r="R7">
        <v>50960402533</v>
      </c>
    </row>
    <row r="8" spans="1:18" x14ac:dyDescent="0.35">
      <c r="A8" t="s">
        <v>1936</v>
      </c>
      <c r="B8" t="s">
        <v>182</v>
      </c>
      <c r="C8">
        <v>129345618741</v>
      </c>
      <c r="D8">
        <v>138203131675</v>
      </c>
      <c r="E8">
        <v>120807481967</v>
      </c>
      <c r="F8">
        <v>129916455198</v>
      </c>
      <c r="G8">
        <v>115743822556</v>
      </c>
      <c r="H8">
        <v>96715059849</v>
      </c>
      <c r="I8">
        <v>109916139220</v>
      </c>
      <c r="J8">
        <v>136100890373</v>
      </c>
      <c r="K8">
        <v>122031990660</v>
      </c>
      <c r="L8">
        <v>181319610525</v>
      </c>
      <c r="M8">
        <v>200536208987</v>
      </c>
      <c r="N8">
        <v>219963689408</v>
      </c>
      <c r="O8">
        <v>167775678903</v>
      </c>
      <c r="P8">
        <v>203082347827</v>
      </c>
      <c r="Q8">
        <v>151344550861</v>
      </c>
      <c r="R8">
        <v>195069352007</v>
      </c>
    </row>
    <row r="9" spans="1:18" x14ac:dyDescent="0.35">
      <c r="A9" t="s">
        <v>1936</v>
      </c>
      <c r="B9" t="s">
        <v>183</v>
      </c>
      <c r="C9">
        <v>128582689840</v>
      </c>
      <c r="D9">
        <v>134751130627</v>
      </c>
      <c r="E9">
        <v>118590623444</v>
      </c>
      <c r="F9">
        <v>124676817244</v>
      </c>
      <c r="G9">
        <v>114135826976</v>
      </c>
      <c r="H9">
        <v>85943159519</v>
      </c>
      <c r="I9">
        <v>104949982383</v>
      </c>
      <c r="J9">
        <v>102058267791</v>
      </c>
      <c r="K9">
        <v>122154112576</v>
      </c>
      <c r="L9">
        <v>145563227984</v>
      </c>
      <c r="M9">
        <v>191515720944</v>
      </c>
      <c r="N9">
        <v>212091731203</v>
      </c>
      <c r="O9">
        <v>161922811851</v>
      </c>
      <c r="P9">
        <v>176223998111</v>
      </c>
      <c r="Q9">
        <v>147694848360</v>
      </c>
      <c r="R9">
        <v>173563331559</v>
      </c>
    </row>
    <row r="10" spans="1:18" x14ac:dyDescent="0.35">
      <c r="A10" t="s">
        <v>1936</v>
      </c>
      <c r="B10" t="s">
        <v>184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8" x14ac:dyDescent="0.35">
      <c r="A11" t="s">
        <v>1936</v>
      </c>
      <c r="B11" t="s">
        <v>185</v>
      </c>
      <c r="C11">
        <v>39172543975</v>
      </c>
      <c r="D11">
        <v>70252889529</v>
      </c>
      <c r="E11">
        <v>39552192157</v>
      </c>
      <c r="F11">
        <v>72120493307</v>
      </c>
      <c r="G11">
        <v>63168991344</v>
      </c>
      <c r="H11">
        <v>57399626427</v>
      </c>
      <c r="I11">
        <v>94315997095</v>
      </c>
      <c r="J11">
        <v>140391445680</v>
      </c>
      <c r="K11">
        <v>76765062508</v>
      </c>
      <c r="L11">
        <v>59466115450</v>
      </c>
      <c r="M11">
        <v>46127902183</v>
      </c>
      <c r="N11">
        <v>36012096317</v>
      </c>
      <c r="O11">
        <v>35680756583</v>
      </c>
      <c r="P11">
        <v>47028011402</v>
      </c>
      <c r="Q11">
        <v>44455577541</v>
      </c>
      <c r="R11">
        <v>54394392891</v>
      </c>
    </row>
    <row r="12" spans="1:18" x14ac:dyDescent="0.35">
      <c r="A12" t="s">
        <v>1936</v>
      </c>
      <c r="B12" t="s">
        <v>186</v>
      </c>
      <c r="C12">
        <v>52903198552</v>
      </c>
      <c r="D12">
        <v>68807286355</v>
      </c>
      <c r="E12">
        <v>67163623273</v>
      </c>
      <c r="F12">
        <v>53804388868</v>
      </c>
      <c r="G12">
        <v>40249600642</v>
      </c>
      <c r="H12">
        <v>45715510996</v>
      </c>
      <c r="I12">
        <v>58976364762</v>
      </c>
      <c r="J12">
        <v>54787578904</v>
      </c>
      <c r="K12">
        <v>51187753777</v>
      </c>
      <c r="L12">
        <v>82839872879</v>
      </c>
      <c r="M12">
        <v>70557780558</v>
      </c>
      <c r="N12">
        <v>69590931980</v>
      </c>
      <c r="O12">
        <v>72539989053</v>
      </c>
      <c r="P12">
        <v>86886717462</v>
      </c>
      <c r="Q12">
        <v>71748545331</v>
      </c>
      <c r="R12">
        <v>71492277633</v>
      </c>
    </row>
    <row r="13" spans="1:18" x14ac:dyDescent="0.35">
      <c r="A13" t="s">
        <v>1936</v>
      </c>
      <c r="B13" t="s">
        <v>187</v>
      </c>
      <c r="C13">
        <v>127149972369</v>
      </c>
      <c r="D13">
        <v>158620468761</v>
      </c>
      <c r="E13">
        <v>173789898228</v>
      </c>
      <c r="F13">
        <v>119354664323</v>
      </c>
      <c r="G13">
        <v>100771872917</v>
      </c>
      <c r="H13">
        <v>203584928507</v>
      </c>
      <c r="I13">
        <v>356865174305</v>
      </c>
      <c r="J13">
        <v>371600425404</v>
      </c>
      <c r="K13">
        <v>249579549167</v>
      </c>
      <c r="L13">
        <v>65292603237</v>
      </c>
      <c r="M13">
        <v>92142792611</v>
      </c>
      <c r="N13">
        <v>118112616150</v>
      </c>
      <c r="O13">
        <v>84567965924</v>
      </c>
      <c r="P13">
        <v>28549249789</v>
      </c>
      <c r="Q13">
        <v>82429178207</v>
      </c>
      <c r="R13">
        <v>122929828513</v>
      </c>
    </row>
    <row r="14" spans="1:18" x14ac:dyDescent="0.35">
      <c r="A14" t="s">
        <v>1936</v>
      </c>
      <c r="B14" t="s">
        <v>188</v>
      </c>
      <c r="C14">
        <v>3467587202</v>
      </c>
      <c r="D14">
        <v>-1203764867</v>
      </c>
      <c r="E14">
        <v>2853952946</v>
      </c>
      <c r="F14">
        <v>16445210180</v>
      </c>
      <c r="G14">
        <v>180929743673</v>
      </c>
      <c r="H14">
        <v>7815348928</v>
      </c>
      <c r="I14">
        <v>9017113083</v>
      </c>
      <c r="J14">
        <v>18048616134</v>
      </c>
      <c r="K14">
        <v>6161062819</v>
      </c>
      <c r="L14">
        <v>-3132239321</v>
      </c>
      <c r="M14">
        <v>5385038110</v>
      </c>
      <c r="N14">
        <v>7123196796</v>
      </c>
      <c r="O14">
        <v>2194790608</v>
      </c>
      <c r="P14">
        <v>3044222488</v>
      </c>
      <c r="Q14">
        <v>5320837071</v>
      </c>
      <c r="R14">
        <v>5035701188</v>
      </c>
    </row>
    <row r="15" spans="1:18" x14ac:dyDescent="0.35">
      <c r="A15" t="s">
        <v>1936</v>
      </c>
      <c r="B15" t="s">
        <v>189</v>
      </c>
      <c r="C15">
        <v>3277501742</v>
      </c>
      <c r="D15">
        <v>-3139052439</v>
      </c>
      <c r="E15">
        <v>7195031915</v>
      </c>
      <c r="F15">
        <v>12408432771</v>
      </c>
      <c r="G15">
        <v>585467952</v>
      </c>
      <c r="H15">
        <v>4549523161</v>
      </c>
      <c r="I15">
        <v>3875152172</v>
      </c>
      <c r="J15">
        <v>2407888022</v>
      </c>
      <c r="K15">
        <v>3053404160</v>
      </c>
      <c r="L15">
        <v>-11729781338</v>
      </c>
      <c r="M15">
        <v>2351181663</v>
      </c>
      <c r="N15">
        <v>6704536119</v>
      </c>
      <c r="O15">
        <v>10758173908</v>
      </c>
      <c r="P15">
        <v>2938565393</v>
      </c>
      <c r="Q15">
        <v>2848016523</v>
      </c>
      <c r="R15">
        <v>5081912232</v>
      </c>
    </row>
    <row r="16" spans="1:18" x14ac:dyDescent="0.35">
      <c r="A16" t="s">
        <v>1936</v>
      </c>
      <c r="B16" t="s">
        <v>190</v>
      </c>
      <c r="C16">
        <v>190085460</v>
      </c>
      <c r="D16">
        <v>1935287572</v>
      </c>
      <c r="E16">
        <v>-4341078969</v>
      </c>
      <c r="F16">
        <v>4036777409</v>
      </c>
      <c r="G16">
        <v>180344275721</v>
      </c>
      <c r="H16">
        <v>3265825767</v>
      </c>
      <c r="I16">
        <v>5141960911</v>
      </c>
      <c r="J16">
        <v>15640728112</v>
      </c>
      <c r="K16">
        <v>3107658659</v>
      </c>
      <c r="L16">
        <v>8597542017</v>
      </c>
      <c r="M16">
        <v>3033856447</v>
      </c>
      <c r="N16">
        <v>418660677</v>
      </c>
      <c r="O16">
        <v>-8563383300</v>
      </c>
      <c r="P16">
        <v>105657095</v>
      </c>
      <c r="Q16">
        <v>2472820548</v>
      </c>
      <c r="R16">
        <v>-46211044</v>
      </c>
    </row>
    <row r="17" spans="1:18" x14ac:dyDescent="0.35">
      <c r="A17" t="s">
        <v>1936</v>
      </c>
      <c r="B17" t="s">
        <v>191</v>
      </c>
      <c r="C17">
        <v>127340057829</v>
      </c>
      <c r="D17">
        <v>160555756333</v>
      </c>
      <c r="E17">
        <v>169448819259</v>
      </c>
      <c r="F17">
        <v>123391441732</v>
      </c>
      <c r="G17">
        <v>281116148638</v>
      </c>
      <c r="H17">
        <v>206850754274</v>
      </c>
      <c r="I17">
        <v>362007135216</v>
      </c>
      <c r="J17">
        <v>387241153516</v>
      </c>
      <c r="K17">
        <v>252687207826</v>
      </c>
      <c r="L17">
        <v>73890145254</v>
      </c>
      <c r="M17">
        <v>95176649058</v>
      </c>
      <c r="N17">
        <v>118531276827</v>
      </c>
      <c r="O17">
        <v>76004582624</v>
      </c>
      <c r="P17">
        <v>28654906884</v>
      </c>
      <c r="Q17">
        <v>84901998755</v>
      </c>
      <c r="R17">
        <v>122883617469</v>
      </c>
    </row>
    <row r="18" spans="1:18" x14ac:dyDescent="0.35">
      <c r="A18" t="s">
        <v>1936</v>
      </c>
      <c r="B18" t="s">
        <v>192</v>
      </c>
      <c r="C18">
        <v>8882169527</v>
      </c>
      <c r="D18">
        <v>17234305557</v>
      </c>
      <c r="E18">
        <v>18901042488</v>
      </c>
      <c r="F18">
        <v>24184272419</v>
      </c>
      <c r="G18">
        <v>15225873590</v>
      </c>
      <c r="H18">
        <v>25691804585</v>
      </c>
      <c r="I18">
        <v>36174561856</v>
      </c>
      <c r="J18">
        <v>34282858011</v>
      </c>
      <c r="K18">
        <v>26397205709</v>
      </c>
      <c r="L18">
        <v>8016362063</v>
      </c>
      <c r="M18">
        <v>7858516556</v>
      </c>
      <c r="N18">
        <v>12733524256</v>
      </c>
      <c r="O18">
        <v>10262257279</v>
      </c>
      <c r="P18">
        <v>16174563930</v>
      </c>
      <c r="Q18">
        <v>8288598430</v>
      </c>
      <c r="R18">
        <v>17813189716</v>
      </c>
    </row>
    <row r="19" spans="1:18" x14ac:dyDescent="0.35">
      <c r="A19" t="s">
        <v>1936</v>
      </c>
      <c r="B19" t="s">
        <v>193</v>
      </c>
      <c r="C19">
        <v>0</v>
      </c>
      <c r="D19">
        <v>-42681687</v>
      </c>
      <c r="E19">
        <v>399440373</v>
      </c>
      <c r="F19">
        <v>-2738486565</v>
      </c>
      <c r="G19">
        <v>-1539899438</v>
      </c>
      <c r="H19">
        <v>945002728</v>
      </c>
      <c r="I19">
        <v>1743684555</v>
      </c>
      <c r="J19">
        <v>220096344</v>
      </c>
      <c r="K19">
        <v>1538796722</v>
      </c>
      <c r="L19">
        <v>186311903</v>
      </c>
      <c r="M19">
        <v>1424008637</v>
      </c>
      <c r="N19">
        <v>70915445</v>
      </c>
      <c r="O19">
        <v>-698940808</v>
      </c>
      <c r="P19">
        <v>-3995735469</v>
      </c>
      <c r="Q19">
        <v>1058347054</v>
      </c>
      <c r="R19">
        <v>501401062</v>
      </c>
    </row>
    <row r="20" spans="1:18" x14ac:dyDescent="0.35">
      <c r="A20" t="s">
        <v>1936</v>
      </c>
      <c r="B20" t="s">
        <v>194</v>
      </c>
      <c r="C20">
        <v>118457888302</v>
      </c>
      <c r="D20">
        <v>143364132463</v>
      </c>
      <c r="E20">
        <v>150148336398</v>
      </c>
      <c r="F20">
        <v>101945655878</v>
      </c>
      <c r="G20">
        <v>267430174486</v>
      </c>
      <c r="H20">
        <v>180213946961</v>
      </c>
      <c r="I20">
        <v>324088888805</v>
      </c>
      <c r="J20">
        <v>352738199161</v>
      </c>
      <c r="K20">
        <v>224751205395</v>
      </c>
      <c r="L20">
        <v>65687471288</v>
      </c>
      <c r="M20">
        <v>85894123865</v>
      </c>
      <c r="N20">
        <v>105726837126</v>
      </c>
      <c r="O20">
        <v>66441266153</v>
      </c>
      <c r="P20">
        <v>16476078423</v>
      </c>
      <c r="Q20">
        <v>75555053271</v>
      </c>
      <c r="R20">
        <v>104569026691</v>
      </c>
    </row>
    <row r="21" spans="1:18" x14ac:dyDescent="0.35">
      <c r="A21" t="s">
        <v>1936</v>
      </c>
      <c r="B21" t="s">
        <v>195</v>
      </c>
      <c r="C21">
        <v>98431154980</v>
      </c>
      <c r="D21">
        <v>119404713589</v>
      </c>
      <c r="E21">
        <v>113868120251</v>
      </c>
      <c r="F21">
        <v>86085592824</v>
      </c>
      <c r="G21">
        <v>260859532270</v>
      </c>
      <c r="H21">
        <v>135446511067</v>
      </c>
      <c r="I21">
        <v>208816194139</v>
      </c>
      <c r="J21">
        <v>232362798654</v>
      </c>
      <c r="K21">
        <v>152635315910</v>
      </c>
      <c r="L21">
        <v>43755956451</v>
      </c>
      <c r="M21">
        <v>69255742140</v>
      </c>
      <c r="N21">
        <v>80496699671</v>
      </c>
      <c r="O21">
        <v>45340608112</v>
      </c>
      <c r="P21">
        <v>15601912241</v>
      </c>
      <c r="Q21">
        <v>58476947976</v>
      </c>
      <c r="R21">
        <v>87821116858</v>
      </c>
    </row>
    <row r="22" spans="1:18" x14ac:dyDescent="0.35">
      <c r="A22" t="s">
        <v>1936</v>
      </c>
      <c r="B22" t="s">
        <v>196</v>
      </c>
      <c r="C22">
        <v>20026733322</v>
      </c>
      <c r="D22">
        <v>23959418874</v>
      </c>
      <c r="E22">
        <v>36280216147</v>
      </c>
      <c r="F22">
        <v>15860063054</v>
      </c>
      <c r="G22">
        <v>6570642216</v>
      </c>
      <c r="H22">
        <v>44767435894</v>
      </c>
      <c r="I22">
        <v>115272694666</v>
      </c>
      <c r="J22">
        <v>120375400507</v>
      </c>
      <c r="K22">
        <v>72115889485</v>
      </c>
      <c r="L22">
        <v>21931514837</v>
      </c>
      <c r="M22">
        <v>16638381725</v>
      </c>
      <c r="N22">
        <v>25230137455</v>
      </c>
      <c r="O22">
        <v>21100658041</v>
      </c>
      <c r="P22">
        <v>874166182</v>
      </c>
      <c r="Q22">
        <v>17078105295</v>
      </c>
      <c r="R22">
        <v>16747909833</v>
      </c>
    </row>
    <row r="23" spans="1:18" x14ac:dyDescent="0.35">
      <c r="A23" t="s">
        <v>1936</v>
      </c>
      <c r="B23" t="s">
        <v>197</v>
      </c>
      <c r="C23">
        <v>380</v>
      </c>
      <c r="D23">
        <v>0</v>
      </c>
      <c r="E23">
        <v>440</v>
      </c>
      <c r="F23">
        <v>0</v>
      </c>
      <c r="G23">
        <v>0</v>
      </c>
      <c r="H23">
        <v>0</v>
      </c>
      <c r="I23">
        <v>759</v>
      </c>
      <c r="J23">
        <v>0</v>
      </c>
      <c r="K23">
        <v>0</v>
      </c>
      <c r="L23">
        <v>0</v>
      </c>
      <c r="M23">
        <v>206</v>
      </c>
      <c r="N23">
        <v>0</v>
      </c>
      <c r="Q23">
        <v>174</v>
      </c>
    </row>
    <row r="24" spans="1:18" x14ac:dyDescent="0.35">
      <c r="A24" t="s">
        <v>1936</v>
      </c>
      <c r="B24" t="s">
        <v>198</v>
      </c>
      <c r="C24">
        <v>380</v>
      </c>
      <c r="D24">
        <v>0</v>
      </c>
      <c r="E24">
        <v>440</v>
      </c>
      <c r="F24">
        <v>0</v>
      </c>
      <c r="G24">
        <v>0</v>
      </c>
      <c r="H24">
        <v>0</v>
      </c>
      <c r="I24">
        <v>471</v>
      </c>
      <c r="J24">
        <v>0</v>
      </c>
      <c r="K24">
        <v>0</v>
      </c>
      <c r="L24">
        <v>0</v>
      </c>
      <c r="M24">
        <v>206</v>
      </c>
      <c r="N24">
        <v>0</v>
      </c>
      <c r="Q24">
        <v>174</v>
      </c>
    </row>
    <row r="25" spans="1:18" x14ac:dyDescent="0.35">
      <c r="A25" t="s">
        <v>1937</v>
      </c>
      <c r="B25" t="s">
        <v>176</v>
      </c>
      <c r="C25">
        <v>781702508459</v>
      </c>
      <c r="D25">
        <v>213665165642</v>
      </c>
      <c r="E25">
        <v>634341027191</v>
      </c>
      <c r="F25">
        <v>814268970347</v>
      </c>
      <c r="G25">
        <v>457439869146</v>
      </c>
      <c r="H25">
        <v>713245591475</v>
      </c>
      <c r="I25">
        <v>1263576179637</v>
      </c>
      <c r="J25">
        <v>912350051889</v>
      </c>
      <c r="K25">
        <v>1178152168876</v>
      </c>
      <c r="L25">
        <v>1242306732051</v>
      </c>
      <c r="M25">
        <v>726503748399</v>
      </c>
      <c r="N25">
        <v>1152087300553</v>
      </c>
      <c r="O25">
        <v>1040644442182</v>
      </c>
      <c r="P25">
        <v>1195308669489</v>
      </c>
      <c r="Q25">
        <v>999276150119</v>
      </c>
      <c r="R25">
        <v>1167255723644</v>
      </c>
    </row>
    <row r="26" spans="1:18" x14ac:dyDescent="0.35">
      <c r="A26" t="s">
        <v>1937</v>
      </c>
      <c r="B26" t="s">
        <v>177</v>
      </c>
      <c r="C26">
        <v>6095956</v>
      </c>
      <c r="D26">
        <v>40579229</v>
      </c>
      <c r="E26">
        <v>483908564</v>
      </c>
      <c r="F26">
        <v>3714286</v>
      </c>
      <c r="G26">
        <v>0</v>
      </c>
      <c r="H26">
        <v>28538366807</v>
      </c>
      <c r="I26">
        <v>10720594991</v>
      </c>
      <c r="J26">
        <v>31349346063</v>
      </c>
      <c r="K26">
        <v>1428257459</v>
      </c>
      <c r="L26">
        <v>21243395031</v>
      </c>
      <c r="M26">
        <v>25235788304</v>
      </c>
      <c r="N26">
        <v>37729385244</v>
      </c>
      <c r="O26">
        <v>22713814418</v>
      </c>
      <c r="P26">
        <v>17162016916</v>
      </c>
      <c r="Q26">
        <v>13838910415</v>
      </c>
      <c r="R26">
        <v>52435667110</v>
      </c>
    </row>
    <row r="27" spans="1:18" x14ac:dyDescent="0.35">
      <c r="A27" t="s">
        <v>1937</v>
      </c>
      <c r="B27" t="s">
        <v>178</v>
      </c>
      <c r="C27">
        <v>781696412503</v>
      </c>
      <c r="D27">
        <v>213624586413</v>
      </c>
      <c r="E27">
        <v>633857118627</v>
      </c>
      <c r="F27">
        <v>814265256061</v>
      </c>
      <c r="G27">
        <v>457439869146</v>
      </c>
      <c r="H27">
        <v>684707224668</v>
      </c>
      <c r="I27">
        <v>1252855584646</v>
      </c>
      <c r="J27">
        <v>881000705826</v>
      </c>
      <c r="K27">
        <v>1176723911417</v>
      </c>
      <c r="L27">
        <v>1221063337020</v>
      </c>
      <c r="M27">
        <v>701267960095</v>
      </c>
      <c r="N27">
        <v>1114357915309</v>
      </c>
      <c r="O27">
        <v>1017930627764</v>
      </c>
      <c r="P27">
        <v>1178146652573</v>
      </c>
      <c r="Q27">
        <v>985437239704</v>
      </c>
      <c r="R27">
        <v>1114820056534</v>
      </c>
    </row>
    <row r="28" spans="1:18" x14ac:dyDescent="0.35">
      <c r="A28" t="s">
        <v>1937</v>
      </c>
      <c r="B28" t="s">
        <v>179</v>
      </c>
      <c r="C28">
        <v>557562668901</v>
      </c>
      <c r="D28">
        <v>95064709983</v>
      </c>
      <c r="E28">
        <v>430386701990</v>
      </c>
      <c r="F28">
        <v>511752646030</v>
      </c>
      <c r="G28">
        <v>236220072140</v>
      </c>
      <c r="H28">
        <v>469452952942</v>
      </c>
      <c r="I28">
        <v>710574555242</v>
      </c>
      <c r="J28">
        <v>612284461138</v>
      </c>
      <c r="K28">
        <v>822123893980</v>
      </c>
      <c r="L28">
        <v>1089423358966</v>
      </c>
      <c r="M28">
        <v>494833889819</v>
      </c>
      <c r="N28">
        <v>698567951535</v>
      </c>
      <c r="O28">
        <v>729949603003</v>
      </c>
      <c r="P28">
        <v>877239827149</v>
      </c>
      <c r="Q28">
        <v>709191197187</v>
      </c>
      <c r="R28">
        <v>777788961123</v>
      </c>
    </row>
    <row r="29" spans="1:18" x14ac:dyDescent="0.35">
      <c r="A29" t="s">
        <v>1937</v>
      </c>
      <c r="B29" t="s">
        <v>180</v>
      </c>
      <c r="C29">
        <v>224133743602</v>
      </c>
      <c r="D29">
        <v>118559876430</v>
      </c>
      <c r="E29">
        <v>203470416637</v>
      </c>
      <c r="F29">
        <v>302512610031</v>
      </c>
      <c r="G29">
        <v>221219797006</v>
      </c>
      <c r="H29">
        <v>215254271726</v>
      </c>
      <c r="I29">
        <v>542281029404</v>
      </c>
      <c r="J29">
        <v>268716244688</v>
      </c>
      <c r="K29">
        <v>354600017437</v>
      </c>
      <c r="L29">
        <v>131639978054</v>
      </c>
      <c r="M29">
        <v>206434070276</v>
      </c>
      <c r="N29">
        <v>415789963774</v>
      </c>
      <c r="O29">
        <v>287981024761</v>
      </c>
      <c r="P29">
        <v>300906825424</v>
      </c>
      <c r="Q29">
        <v>276246042517</v>
      </c>
      <c r="R29">
        <v>337031095411</v>
      </c>
    </row>
    <row r="30" spans="1:18" x14ac:dyDescent="0.35">
      <c r="A30" t="s">
        <v>1937</v>
      </c>
      <c r="B30" t="s">
        <v>181</v>
      </c>
      <c r="C30">
        <v>102459516732</v>
      </c>
      <c r="D30">
        <v>445373853095</v>
      </c>
      <c r="E30">
        <v>313279274081</v>
      </c>
      <c r="F30">
        <v>713578337186</v>
      </c>
      <c r="G30">
        <v>596332427247</v>
      </c>
      <c r="H30">
        <v>681255014912</v>
      </c>
      <c r="I30">
        <v>732155308425</v>
      </c>
      <c r="J30">
        <v>929685566236</v>
      </c>
      <c r="K30">
        <v>433776520251</v>
      </c>
      <c r="L30">
        <v>385219569481</v>
      </c>
      <c r="M30">
        <v>484517753862</v>
      </c>
      <c r="N30">
        <v>626778537584</v>
      </c>
      <c r="O30">
        <v>525697974951</v>
      </c>
      <c r="P30">
        <v>440709691780</v>
      </c>
      <c r="Q30">
        <v>375911464214</v>
      </c>
      <c r="R30">
        <v>587041021800</v>
      </c>
    </row>
    <row r="31" spans="1:18" x14ac:dyDescent="0.35">
      <c r="A31" t="s">
        <v>1937</v>
      </c>
      <c r="B31" t="s">
        <v>182</v>
      </c>
      <c r="C31">
        <v>145187919618</v>
      </c>
      <c r="D31">
        <v>224088699741</v>
      </c>
      <c r="E31">
        <v>222417999448</v>
      </c>
      <c r="F31">
        <v>423276562599</v>
      </c>
      <c r="G31">
        <v>434941280589</v>
      </c>
      <c r="H31">
        <v>406262964345</v>
      </c>
      <c r="I31">
        <v>461614617184</v>
      </c>
      <c r="J31">
        <v>703373847765</v>
      </c>
      <c r="K31">
        <v>563502043336</v>
      </c>
      <c r="L31">
        <v>640199168607</v>
      </c>
      <c r="M31">
        <v>546379860471</v>
      </c>
      <c r="N31">
        <v>738217433807</v>
      </c>
      <c r="O31">
        <v>631108741571</v>
      </c>
      <c r="P31">
        <v>473952077801</v>
      </c>
      <c r="Q31">
        <v>408049867359</v>
      </c>
      <c r="R31">
        <v>464161149093</v>
      </c>
    </row>
    <row r="32" spans="1:18" x14ac:dyDescent="0.35">
      <c r="A32" t="s">
        <v>1937</v>
      </c>
      <c r="B32" t="s">
        <v>183</v>
      </c>
      <c r="C32">
        <v>78852521378</v>
      </c>
      <c r="D32">
        <v>155377429410</v>
      </c>
      <c r="E32">
        <v>134961790681</v>
      </c>
      <c r="F32">
        <v>213892280271</v>
      </c>
      <c r="G32">
        <v>318315830656</v>
      </c>
      <c r="H32">
        <v>302414490904</v>
      </c>
      <c r="I32">
        <v>311694883492</v>
      </c>
      <c r="J32">
        <v>407623975286</v>
      </c>
      <c r="K32">
        <v>295731581033</v>
      </c>
      <c r="L32">
        <v>385572436602</v>
      </c>
      <c r="M32">
        <v>395763891717</v>
      </c>
      <c r="N32">
        <v>414835141491</v>
      </c>
      <c r="O32">
        <v>385855012123</v>
      </c>
      <c r="P32">
        <v>396749445879</v>
      </c>
      <c r="Q32">
        <v>266330192707</v>
      </c>
      <c r="R32">
        <v>289213815271</v>
      </c>
    </row>
    <row r="33" spans="1:18" x14ac:dyDescent="0.35">
      <c r="A33" t="s">
        <v>1937</v>
      </c>
      <c r="B33" t="s">
        <v>184</v>
      </c>
      <c r="C33">
        <v>-9541976816</v>
      </c>
      <c r="D33">
        <v>-6692381986</v>
      </c>
      <c r="E33">
        <v>-5306445506</v>
      </c>
      <c r="F33">
        <v>-30032195473</v>
      </c>
      <c r="G33">
        <v>-9119241536</v>
      </c>
      <c r="H33">
        <v>-17265131861</v>
      </c>
      <c r="I33">
        <v>-9194462093</v>
      </c>
      <c r="J33">
        <v>31486520084</v>
      </c>
      <c r="K33">
        <v>-11247687427</v>
      </c>
      <c r="L33">
        <v>-15217823158</v>
      </c>
      <c r="M33">
        <v>-2994094840</v>
      </c>
      <c r="N33">
        <v>35662356724</v>
      </c>
      <c r="O33">
        <v>12244960792</v>
      </c>
      <c r="P33">
        <v>-85571260261</v>
      </c>
      <c r="Q33">
        <v>-21010773104</v>
      </c>
      <c r="R33">
        <v>-11031117151</v>
      </c>
    </row>
    <row r="34" spans="1:18" x14ac:dyDescent="0.35">
      <c r="A34" t="s">
        <v>1937</v>
      </c>
      <c r="B34" t="s">
        <v>185</v>
      </c>
      <c r="C34">
        <v>28759313807</v>
      </c>
      <c r="D34">
        <v>25068284060</v>
      </c>
      <c r="E34">
        <v>23528083286</v>
      </c>
      <c r="F34">
        <v>30339765768</v>
      </c>
      <c r="G34">
        <v>18457745610</v>
      </c>
      <c r="H34">
        <v>26087807462</v>
      </c>
      <c r="I34">
        <v>31041890335</v>
      </c>
      <c r="J34">
        <v>35351423874</v>
      </c>
      <c r="K34">
        <v>41862170836</v>
      </c>
      <c r="L34">
        <v>63530708948</v>
      </c>
      <c r="M34">
        <v>24602777193</v>
      </c>
      <c r="N34">
        <v>71867623199</v>
      </c>
      <c r="O34">
        <v>54834261637</v>
      </c>
      <c r="P34">
        <v>41037423545</v>
      </c>
      <c r="Q34">
        <v>46942306860</v>
      </c>
      <c r="R34">
        <v>43409332574</v>
      </c>
    </row>
    <row r="35" spans="1:18" x14ac:dyDescent="0.35">
      <c r="A35" t="s">
        <v>1937</v>
      </c>
      <c r="B35" t="s">
        <v>186</v>
      </c>
      <c r="C35">
        <v>42569930590</v>
      </c>
      <c r="D35">
        <v>77807969376</v>
      </c>
      <c r="E35">
        <v>71517714823</v>
      </c>
      <c r="F35">
        <v>133592364846</v>
      </c>
      <c r="G35">
        <v>77550084566</v>
      </c>
      <c r="H35">
        <v>104805508864</v>
      </c>
      <c r="I35">
        <v>119881867342</v>
      </c>
      <c r="J35">
        <v>119642804544</v>
      </c>
      <c r="K35">
        <v>114686693835</v>
      </c>
      <c r="L35">
        <v>129083678454</v>
      </c>
      <c r="M35">
        <v>83838611515</v>
      </c>
      <c r="N35">
        <v>103683250001</v>
      </c>
      <c r="O35">
        <v>114185403418</v>
      </c>
      <c r="P35">
        <v>141821889322</v>
      </c>
      <c r="Q35">
        <v>102480538348</v>
      </c>
      <c r="R35">
        <v>107976959240</v>
      </c>
    </row>
    <row r="36" spans="1:18" x14ac:dyDescent="0.35">
      <c r="A36" t="s">
        <v>1937</v>
      </c>
      <c r="B36" t="s">
        <v>187</v>
      </c>
      <c r="C36">
        <v>100534119503</v>
      </c>
      <c r="D36">
        <v>230276394362</v>
      </c>
      <c r="E36">
        <v>193979447655</v>
      </c>
      <c r="F36">
        <v>398850058531</v>
      </c>
      <c r="G36">
        <v>277483871952</v>
      </c>
      <c r="H36">
        <v>342087874106</v>
      </c>
      <c r="I36">
        <v>652703500875</v>
      </c>
      <c r="J36">
        <v>371520254825</v>
      </c>
      <c r="K36">
        <v>57077942254</v>
      </c>
      <c r="L36">
        <v>-331171831632</v>
      </c>
      <c r="M36">
        <v>33136480119</v>
      </c>
      <c r="N36">
        <v>164462551075</v>
      </c>
      <c r="O36">
        <v>25795553878</v>
      </c>
      <c r="P36">
        <v>-766133725</v>
      </c>
      <c r="Q36">
        <v>73674021060</v>
      </c>
      <c r="R36">
        <v>297493559153</v>
      </c>
    </row>
    <row r="37" spans="1:18" x14ac:dyDescent="0.35">
      <c r="A37" t="s">
        <v>1937</v>
      </c>
      <c r="B37" t="s">
        <v>188</v>
      </c>
      <c r="C37">
        <v>5347610521</v>
      </c>
      <c r="D37">
        <v>1499780160</v>
      </c>
      <c r="E37">
        <v>6887332052</v>
      </c>
      <c r="F37">
        <v>1933023743</v>
      </c>
      <c r="G37">
        <v>562717786</v>
      </c>
      <c r="H37">
        <v>10689988260</v>
      </c>
      <c r="I37">
        <v>8726171215</v>
      </c>
      <c r="J37">
        <v>39688859754</v>
      </c>
      <c r="K37">
        <v>4257447090</v>
      </c>
      <c r="L37">
        <v>18347332460</v>
      </c>
      <c r="M37">
        <v>9140383584</v>
      </c>
      <c r="N37">
        <v>28005436466</v>
      </c>
      <c r="O37">
        <v>13283532482</v>
      </c>
      <c r="P37">
        <v>17699470263</v>
      </c>
      <c r="Q37">
        <v>51189618814</v>
      </c>
      <c r="R37">
        <v>93401797586</v>
      </c>
    </row>
    <row r="38" spans="1:18" x14ac:dyDescent="0.35">
      <c r="A38" t="s">
        <v>1937</v>
      </c>
      <c r="B38" t="s">
        <v>189</v>
      </c>
      <c r="C38">
        <v>3975697993</v>
      </c>
      <c r="D38">
        <v>4853945774</v>
      </c>
      <c r="E38">
        <v>782027413</v>
      </c>
      <c r="F38">
        <v>5311190736</v>
      </c>
      <c r="G38">
        <v>7899842941</v>
      </c>
      <c r="H38">
        <v>10666771247</v>
      </c>
      <c r="I38">
        <v>2149325094</v>
      </c>
      <c r="J38">
        <v>6465703251</v>
      </c>
      <c r="K38">
        <v>2057140170</v>
      </c>
      <c r="L38">
        <v>5499053166</v>
      </c>
      <c r="M38">
        <v>6865895858</v>
      </c>
      <c r="N38">
        <v>4515613253</v>
      </c>
      <c r="O38">
        <v>3311067447</v>
      </c>
      <c r="P38">
        <v>14475006747</v>
      </c>
      <c r="Q38">
        <v>7776948983</v>
      </c>
      <c r="R38">
        <v>4675099607</v>
      </c>
    </row>
    <row r="39" spans="1:18" x14ac:dyDescent="0.35">
      <c r="A39" t="s">
        <v>1937</v>
      </c>
      <c r="B39" t="s">
        <v>190</v>
      </c>
      <c r="C39">
        <v>1371912528</v>
      </c>
      <c r="D39">
        <v>-3354165614</v>
      </c>
      <c r="E39">
        <v>6105304639</v>
      </c>
      <c r="F39">
        <v>-3378166993</v>
      </c>
      <c r="G39">
        <v>-7337125155</v>
      </c>
      <c r="H39">
        <v>23217013</v>
      </c>
      <c r="I39">
        <v>6576846121</v>
      </c>
      <c r="J39">
        <v>33223156503</v>
      </c>
      <c r="K39">
        <v>2200306920</v>
      </c>
      <c r="L39">
        <v>12848279294</v>
      </c>
      <c r="M39">
        <v>2274487726</v>
      </c>
      <c r="N39">
        <v>23489823213</v>
      </c>
      <c r="O39">
        <v>9972465035</v>
      </c>
      <c r="P39">
        <v>3224463516</v>
      </c>
      <c r="Q39">
        <v>43412669831</v>
      </c>
      <c r="R39">
        <v>88726697979</v>
      </c>
    </row>
    <row r="40" spans="1:18" x14ac:dyDescent="0.35">
      <c r="A40" t="s">
        <v>1937</v>
      </c>
      <c r="B40" t="s">
        <v>191</v>
      </c>
      <c r="C40">
        <v>101906032031</v>
      </c>
      <c r="D40">
        <v>226922228748</v>
      </c>
      <c r="E40">
        <v>200084752294</v>
      </c>
      <c r="F40">
        <v>395471891538</v>
      </c>
      <c r="G40">
        <v>270146746797</v>
      </c>
      <c r="H40">
        <v>342111091119</v>
      </c>
      <c r="I40">
        <v>659280346996</v>
      </c>
      <c r="J40">
        <v>404743411328</v>
      </c>
      <c r="K40">
        <v>59278249174</v>
      </c>
      <c r="L40">
        <v>-318323552338</v>
      </c>
      <c r="M40">
        <v>35410967845</v>
      </c>
      <c r="N40">
        <v>187952374288</v>
      </c>
      <c r="O40">
        <v>35768018913</v>
      </c>
      <c r="P40">
        <v>2458329791</v>
      </c>
      <c r="Q40">
        <v>117086690891</v>
      </c>
      <c r="R40">
        <v>386220257132</v>
      </c>
    </row>
    <row r="41" spans="1:18" x14ac:dyDescent="0.35">
      <c r="A41" t="s">
        <v>1937</v>
      </c>
      <c r="B41" t="s">
        <v>192</v>
      </c>
      <c r="C41">
        <v>25799999183</v>
      </c>
      <c r="D41">
        <v>51109215988</v>
      </c>
      <c r="E41">
        <v>39499482294</v>
      </c>
      <c r="F41">
        <v>92051370377</v>
      </c>
      <c r="G41">
        <v>54520464823</v>
      </c>
      <c r="H41">
        <v>78554023452</v>
      </c>
      <c r="I41">
        <v>130938334383</v>
      </c>
      <c r="J41">
        <v>119995008230</v>
      </c>
      <c r="K41">
        <v>62907370328</v>
      </c>
      <c r="L41">
        <v>-77607304715</v>
      </c>
      <c r="M41">
        <v>23595600616</v>
      </c>
      <c r="N41">
        <v>32003108833</v>
      </c>
      <c r="O41">
        <v>25427826547</v>
      </c>
      <c r="P41">
        <v>10511778737</v>
      </c>
      <c r="Q41">
        <v>20003947559</v>
      </c>
      <c r="R41">
        <v>67774714615</v>
      </c>
    </row>
    <row r="42" spans="1:18" x14ac:dyDescent="0.35">
      <c r="A42" t="s">
        <v>1937</v>
      </c>
      <c r="B42" t="s">
        <v>193</v>
      </c>
      <c r="C42">
        <v>-89337621</v>
      </c>
      <c r="D42">
        <v>-804038586</v>
      </c>
      <c r="E42">
        <v>-2131725169</v>
      </c>
      <c r="F42">
        <v>-12142745368</v>
      </c>
      <c r="G42">
        <v>-2291369975</v>
      </c>
      <c r="H42">
        <v>-7917993096</v>
      </c>
      <c r="I42">
        <v>6041535176</v>
      </c>
      <c r="J42">
        <v>-70015728293</v>
      </c>
      <c r="K42">
        <v>-43128356871</v>
      </c>
      <c r="L42">
        <v>98144963430</v>
      </c>
      <c r="M42">
        <v>3015507552</v>
      </c>
      <c r="N42">
        <v>-4787504379</v>
      </c>
      <c r="O42">
        <v>1195424733</v>
      </c>
      <c r="P42">
        <v>-11417013848</v>
      </c>
      <c r="Q42">
        <v>-1098542592</v>
      </c>
      <c r="R42">
        <v>-186636344</v>
      </c>
    </row>
    <row r="43" spans="1:18" x14ac:dyDescent="0.35">
      <c r="A43" t="s">
        <v>1937</v>
      </c>
      <c r="B43" t="s">
        <v>194</v>
      </c>
      <c r="C43">
        <v>76195370469</v>
      </c>
      <c r="D43">
        <v>176617051346</v>
      </c>
      <c r="E43">
        <v>162716995169</v>
      </c>
      <c r="F43">
        <v>315563266529</v>
      </c>
      <c r="G43">
        <v>217917651949</v>
      </c>
      <c r="H43">
        <v>271475060763</v>
      </c>
      <c r="I43">
        <v>522300477437</v>
      </c>
      <c r="J43">
        <v>354764131391</v>
      </c>
      <c r="K43">
        <v>39499235717</v>
      </c>
      <c r="L43">
        <v>-338861211053</v>
      </c>
      <c r="M43">
        <v>8799859677</v>
      </c>
      <c r="N43">
        <v>160736769834</v>
      </c>
      <c r="O43">
        <v>9144767633</v>
      </c>
      <c r="P43">
        <v>3363564902</v>
      </c>
      <c r="Q43">
        <v>98181285924</v>
      </c>
      <c r="R43">
        <v>318632178861</v>
      </c>
    </row>
    <row r="44" spans="1:18" x14ac:dyDescent="0.35">
      <c r="A44" t="s">
        <v>1937</v>
      </c>
      <c r="B44" t="s">
        <v>195</v>
      </c>
      <c r="C44">
        <v>32540777776</v>
      </c>
      <c r="D44">
        <v>165258040039</v>
      </c>
      <c r="E44">
        <v>117965264922</v>
      </c>
      <c r="F44">
        <v>217924342307</v>
      </c>
      <c r="G44">
        <v>165854339868</v>
      </c>
      <c r="H44">
        <v>97610652496</v>
      </c>
      <c r="I44">
        <v>270673884678</v>
      </c>
      <c r="J44">
        <v>264022583215</v>
      </c>
      <c r="K44">
        <v>26416924742</v>
      </c>
      <c r="L44">
        <v>-202162475404</v>
      </c>
      <c r="M44">
        <v>13009796619</v>
      </c>
      <c r="N44">
        <v>114616678466</v>
      </c>
      <c r="O44">
        <v>5693019749</v>
      </c>
      <c r="P44">
        <v>-64467072423</v>
      </c>
      <c r="Q44">
        <v>13634044335</v>
      </c>
      <c r="R44">
        <v>131430404060</v>
      </c>
    </row>
    <row r="45" spans="1:18" x14ac:dyDescent="0.35">
      <c r="A45" t="s">
        <v>1937</v>
      </c>
      <c r="B45" t="s">
        <v>196</v>
      </c>
      <c r="C45">
        <v>43654592693</v>
      </c>
      <c r="D45">
        <v>11359011307</v>
      </c>
      <c r="E45">
        <v>44751730247</v>
      </c>
      <c r="F45">
        <v>97638924222</v>
      </c>
      <c r="G45">
        <v>52063312081</v>
      </c>
      <c r="H45">
        <v>173864408267</v>
      </c>
      <c r="I45">
        <v>251626592759</v>
      </c>
      <c r="J45">
        <v>90741548176</v>
      </c>
      <c r="K45">
        <v>13082310975</v>
      </c>
      <c r="L45">
        <v>-136698735649</v>
      </c>
      <c r="M45">
        <v>-4209936942</v>
      </c>
      <c r="N45">
        <v>46120091368</v>
      </c>
      <c r="O45">
        <v>3451747884</v>
      </c>
      <c r="P45">
        <v>67830637325</v>
      </c>
      <c r="Q45">
        <v>84547241589</v>
      </c>
      <c r="R45">
        <v>187201774801</v>
      </c>
    </row>
    <row r="46" spans="1:18" x14ac:dyDescent="0.35">
      <c r="A46" t="s">
        <v>1937</v>
      </c>
      <c r="B46" t="s">
        <v>197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8" x14ac:dyDescent="0.35">
      <c r="A47" t="s">
        <v>1937</v>
      </c>
      <c r="B47" t="s">
        <v>198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8" x14ac:dyDescent="0.35">
      <c r="A48" t="s">
        <v>1938</v>
      </c>
      <c r="B48" t="s">
        <v>176</v>
      </c>
      <c r="C48">
        <v>828872704697</v>
      </c>
      <c r="D48">
        <v>1140948144567</v>
      </c>
      <c r="E48">
        <v>580228716868</v>
      </c>
      <c r="F48">
        <v>760530461600</v>
      </c>
      <c r="G48">
        <v>868417128527</v>
      </c>
      <c r="H48">
        <v>1275043081596</v>
      </c>
      <c r="I48">
        <v>501711062211</v>
      </c>
      <c r="J48">
        <v>1039086341514</v>
      </c>
      <c r="K48">
        <v>664252236065</v>
      </c>
      <c r="L48">
        <v>838487545349</v>
      </c>
      <c r="M48">
        <v>609134975541</v>
      </c>
      <c r="N48">
        <v>673975692866</v>
      </c>
      <c r="O48">
        <v>547635179384</v>
      </c>
      <c r="P48">
        <v>1049232787748</v>
      </c>
      <c r="Q48">
        <v>611622362836</v>
      </c>
      <c r="R48">
        <v>815940775234</v>
      </c>
    </row>
    <row r="49" spans="1:18" x14ac:dyDescent="0.35">
      <c r="A49" t="s">
        <v>1938</v>
      </c>
      <c r="B49" t="s">
        <v>177</v>
      </c>
      <c r="C49">
        <v>0</v>
      </c>
      <c r="D49">
        <v>-1785922041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8" x14ac:dyDescent="0.35">
      <c r="A50" t="s">
        <v>1938</v>
      </c>
      <c r="B50" t="s">
        <v>178</v>
      </c>
      <c r="C50">
        <v>828872704697</v>
      </c>
      <c r="D50">
        <v>1142734066608</v>
      </c>
      <c r="E50">
        <v>580228716868</v>
      </c>
      <c r="F50">
        <v>760530461600</v>
      </c>
      <c r="G50">
        <v>868417128527</v>
      </c>
      <c r="H50">
        <v>1275043081596</v>
      </c>
      <c r="I50">
        <v>501711062211</v>
      </c>
      <c r="J50">
        <v>1039086341514</v>
      </c>
      <c r="K50">
        <v>664252236065</v>
      </c>
      <c r="L50">
        <v>838487545349</v>
      </c>
      <c r="M50">
        <v>609134975541</v>
      </c>
      <c r="N50">
        <v>673975692866</v>
      </c>
      <c r="O50">
        <v>547635179384</v>
      </c>
      <c r="P50">
        <v>1049232787748</v>
      </c>
      <c r="Q50">
        <v>611622362836</v>
      </c>
      <c r="R50">
        <v>815940775234</v>
      </c>
    </row>
    <row r="51" spans="1:18" x14ac:dyDescent="0.35">
      <c r="A51" t="s">
        <v>1938</v>
      </c>
      <c r="B51" t="s">
        <v>179</v>
      </c>
      <c r="C51">
        <v>689428203642</v>
      </c>
      <c r="D51">
        <v>996694017032</v>
      </c>
      <c r="E51">
        <v>475491159925</v>
      </c>
      <c r="F51">
        <v>626296974722</v>
      </c>
      <c r="G51">
        <v>774834000953</v>
      </c>
      <c r="H51">
        <v>1090148377067</v>
      </c>
      <c r="I51">
        <v>413781528012</v>
      </c>
      <c r="J51">
        <v>932989865990</v>
      </c>
      <c r="K51">
        <v>562351756367</v>
      </c>
      <c r="L51">
        <v>776344453863</v>
      </c>
      <c r="M51">
        <v>486202289854</v>
      </c>
      <c r="N51">
        <v>549048739949</v>
      </c>
      <c r="O51">
        <v>467518043844</v>
      </c>
      <c r="P51">
        <v>891713049209</v>
      </c>
      <c r="Q51">
        <v>514813868632</v>
      </c>
      <c r="R51">
        <v>728173332492</v>
      </c>
    </row>
    <row r="52" spans="1:18" x14ac:dyDescent="0.35">
      <c r="A52" t="s">
        <v>1938</v>
      </c>
      <c r="B52" t="s">
        <v>180</v>
      </c>
      <c r="C52">
        <v>139444501055</v>
      </c>
      <c r="D52">
        <v>146040049576</v>
      </c>
      <c r="E52">
        <v>104737556943</v>
      </c>
      <c r="F52">
        <v>134233486878</v>
      </c>
      <c r="G52">
        <v>93583127574</v>
      </c>
      <c r="H52">
        <v>184894704529</v>
      </c>
      <c r="I52">
        <v>87929534199</v>
      </c>
      <c r="J52">
        <v>106096475524</v>
      </c>
      <c r="K52">
        <v>101900479698</v>
      </c>
      <c r="L52">
        <v>62143091486</v>
      </c>
      <c r="M52">
        <v>122932685687</v>
      </c>
      <c r="N52">
        <v>124926952917</v>
      </c>
      <c r="O52">
        <v>80117135540</v>
      </c>
      <c r="P52">
        <v>157519738539</v>
      </c>
      <c r="Q52">
        <v>96808494204</v>
      </c>
      <c r="R52">
        <v>87767442742</v>
      </c>
    </row>
    <row r="53" spans="1:18" x14ac:dyDescent="0.35">
      <c r="A53" t="s">
        <v>1938</v>
      </c>
      <c r="B53" t="s">
        <v>181</v>
      </c>
      <c r="C53">
        <v>5950193951</v>
      </c>
      <c r="D53">
        <v>2544889192</v>
      </c>
      <c r="E53">
        <v>5406923793</v>
      </c>
      <c r="F53">
        <v>3044217905</v>
      </c>
      <c r="G53">
        <v>10777422213</v>
      </c>
      <c r="H53">
        <v>-494382526</v>
      </c>
      <c r="I53">
        <v>10526261275</v>
      </c>
      <c r="J53">
        <v>10662452488</v>
      </c>
      <c r="K53">
        <v>16748002084</v>
      </c>
      <c r="L53">
        <v>123447041636</v>
      </c>
      <c r="M53">
        <v>5706161200</v>
      </c>
      <c r="N53">
        <v>5185294516</v>
      </c>
      <c r="O53">
        <v>12439336201</v>
      </c>
      <c r="P53">
        <v>-259261886</v>
      </c>
      <c r="Q53">
        <v>9010452551</v>
      </c>
      <c r="R53">
        <v>7381042871</v>
      </c>
    </row>
    <row r="54" spans="1:18" x14ac:dyDescent="0.35">
      <c r="A54" t="s">
        <v>1938</v>
      </c>
      <c r="B54" t="s">
        <v>182</v>
      </c>
      <c r="C54">
        <v>26446342370</v>
      </c>
      <c r="D54">
        <v>25788099918</v>
      </c>
      <c r="E54">
        <v>29339786992</v>
      </c>
      <c r="F54">
        <v>38834166362</v>
      </c>
      <c r="G54">
        <v>37035614437</v>
      </c>
      <c r="H54">
        <v>47893615893</v>
      </c>
      <c r="I54">
        <v>46915009565</v>
      </c>
      <c r="J54">
        <v>53685425779</v>
      </c>
      <c r="K54">
        <v>55825977483</v>
      </c>
      <c r="L54">
        <v>65260464356</v>
      </c>
      <c r="M54">
        <v>69149975528</v>
      </c>
      <c r="N54">
        <v>71717823787</v>
      </c>
      <c r="O54">
        <v>44872221596</v>
      </c>
      <c r="P54">
        <v>101680603547</v>
      </c>
      <c r="Q54">
        <v>48423004486</v>
      </c>
      <c r="R54">
        <v>36867004052</v>
      </c>
    </row>
    <row r="55" spans="1:18" x14ac:dyDescent="0.35">
      <c r="A55" t="s">
        <v>1938</v>
      </c>
      <c r="B55" t="s">
        <v>183</v>
      </c>
      <c r="C55">
        <v>25724704908</v>
      </c>
      <c r="D55">
        <v>25725042940</v>
      </c>
      <c r="E55">
        <v>28642995757</v>
      </c>
      <c r="F55">
        <v>35754207990</v>
      </c>
      <c r="G55">
        <v>35774707058</v>
      </c>
      <c r="H55">
        <v>46641918909</v>
      </c>
      <c r="I55">
        <v>46035124366</v>
      </c>
      <c r="J55">
        <v>52840588902</v>
      </c>
      <c r="K55">
        <v>54723735168</v>
      </c>
      <c r="L55">
        <v>59306157188</v>
      </c>
      <c r="M55">
        <v>66417949461</v>
      </c>
      <c r="N55">
        <v>70640320138</v>
      </c>
      <c r="O55">
        <v>43660608113</v>
      </c>
      <c r="P55">
        <v>79841305054</v>
      </c>
      <c r="Q55">
        <v>47644645983</v>
      </c>
      <c r="R55">
        <v>35912707404</v>
      </c>
    </row>
    <row r="56" spans="1:18" x14ac:dyDescent="0.35">
      <c r="A56" t="s">
        <v>1938</v>
      </c>
      <c r="B56" t="s">
        <v>184</v>
      </c>
      <c r="C56">
        <v>0</v>
      </c>
      <c r="D56">
        <v>-5587495106</v>
      </c>
      <c r="E56">
        <v>-6329935783</v>
      </c>
      <c r="F56">
        <v>-7423409834</v>
      </c>
      <c r="G56">
        <v>-5221520062</v>
      </c>
      <c r="H56">
        <v>0</v>
      </c>
      <c r="I56">
        <v>-5951947666</v>
      </c>
      <c r="J56">
        <v>0</v>
      </c>
      <c r="K56">
        <v>0</v>
      </c>
      <c r="L56">
        <v>0</v>
      </c>
      <c r="M56">
        <v>0</v>
      </c>
      <c r="N56">
        <v>0</v>
      </c>
      <c r="R56">
        <v>48771776</v>
      </c>
    </row>
    <row r="57" spans="1:18" x14ac:dyDescent="0.35">
      <c r="A57" t="s">
        <v>1938</v>
      </c>
      <c r="B57" t="s">
        <v>185</v>
      </c>
      <c r="C57">
        <v>5374646000</v>
      </c>
      <c r="D57">
        <v>55640926869</v>
      </c>
      <c r="E57">
        <v>46693634580</v>
      </c>
      <c r="F57">
        <v>48617795097</v>
      </c>
      <c r="G57">
        <v>38937796500</v>
      </c>
      <c r="H57">
        <v>6088710199</v>
      </c>
      <c r="I57">
        <v>45524217274</v>
      </c>
      <c r="J57">
        <v>5035610649</v>
      </c>
      <c r="K57">
        <v>6936415913</v>
      </c>
      <c r="L57">
        <v>9117114528</v>
      </c>
      <c r="M57">
        <v>4625640035</v>
      </c>
      <c r="N57">
        <v>4974505974</v>
      </c>
      <c r="O57">
        <v>3546359465</v>
      </c>
      <c r="P57">
        <v>7658976166</v>
      </c>
      <c r="Q57">
        <v>5213904920</v>
      </c>
      <c r="R57">
        <v>4868254543</v>
      </c>
    </row>
    <row r="58" spans="1:18" x14ac:dyDescent="0.35">
      <c r="A58" t="s">
        <v>1938</v>
      </c>
      <c r="B58" t="s">
        <v>186</v>
      </c>
      <c r="C58">
        <v>49922950034</v>
      </c>
      <c r="D58">
        <v>0</v>
      </c>
      <c r="E58">
        <v>0</v>
      </c>
      <c r="F58">
        <v>0</v>
      </c>
      <c r="G58">
        <v>0</v>
      </c>
      <c r="H58">
        <v>63663607716</v>
      </c>
      <c r="I58">
        <v>0</v>
      </c>
      <c r="J58">
        <v>47173210451</v>
      </c>
      <c r="K58">
        <v>50965808092</v>
      </c>
      <c r="L58">
        <v>73114350344</v>
      </c>
      <c r="M58">
        <v>46183457178</v>
      </c>
      <c r="N58">
        <v>49528215182</v>
      </c>
      <c r="O58">
        <v>44792801142</v>
      </c>
      <c r="P58">
        <v>68337932267</v>
      </c>
      <c r="Q58">
        <v>49739884800</v>
      </c>
      <c r="R58">
        <v>51918090852</v>
      </c>
    </row>
    <row r="59" spans="1:18" x14ac:dyDescent="0.35">
      <c r="A59" t="s">
        <v>1938</v>
      </c>
      <c r="B59" t="s">
        <v>187</v>
      </c>
      <c r="C59">
        <v>63650756602</v>
      </c>
      <c r="D59">
        <v>61568416875</v>
      </c>
      <c r="E59">
        <v>27781123381</v>
      </c>
      <c r="F59">
        <v>42402333490</v>
      </c>
      <c r="G59">
        <v>23165618788</v>
      </c>
      <c r="H59">
        <v>66754388195</v>
      </c>
      <c r="I59">
        <v>64620969</v>
      </c>
      <c r="J59">
        <v>10864681133</v>
      </c>
      <c r="K59">
        <v>4920280294</v>
      </c>
      <c r="L59">
        <v>38098203894</v>
      </c>
      <c r="M59">
        <v>8679774146</v>
      </c>
      <c r="N59">
        <v>3891702490</v>
      </c>
      <c r="O59">
        <v>-654910462</v>
      </c>
      <c r="P59">
        <v>-20417035327</v>
      </c>
      <c r="Q59">
        <v>2442152549</v>
      </c>
      <c r="R59">
        <v>1543907942</v>
      </c>
    </row>
    <row r="60" spans="1:18" x14ac:dyDescent="0.35">
      <c r="A60" t="s">
        <v>1938</v>
      </c>
      <c r="B60" t="s">
        <v>188</v>
      </c>
      <c r="C60">
        <v>6339299583</v>
      </c>
      <c r="D60">
        <v>-3177033845</v>
      </c>
      <c r="E60">
        <v>2200442070</v>
      </c>
      <c r="F60">
        <v>3815349409</v>
      </c>
      <c r="G60">
        <v>557240973</v>
      </c>
      <c r="H60">
        <v>1035934896</v>
      </c>
      <c r="I60">
        <v>819992710</v>
      </c>
      <c r="J60">
        <v>1140289420</v>
      </c>
      <c r="K60">
        <v>1466140412</v>
      </c>
      <c r="L60">
        <v>60816458304</v>
      </c>
      <c r="M60">
        <v>1686952112</v>
      </c>
      <c r="N60">
        <v>1612263948</v>
      </c>
      <c r="O60">
        <v>895490542</v>
      </c>
      <c r="P60">
        <v>10855646258</v>
      </c>
      <c r="Q60">
        <v>1254472683</v>
      </c>
      <c r="R60">
        <v>5350145710</v>
      </c>
    </row>
    <row r="61" spans="1:18" x14ac:dyDescent="0.35">
      <c r="A61" t="s">
        <v>1938</v>
      </c>
      <c r="B61" t="s">
        <v>189</v>
      </c>
      <c r="C61">
        <v>11067007850</v>
      </c>
      <c r="D61">
        <v>-5629147247</v>
      </c>
      <c r="E61">
        <v>4666137486</v>
      </c>
      <c r="F61">
        <v>2974672152</v>
      </c>
      <c r="G61">
        <v>-614227483</v>
      </c>
      <c r="H61">
        <v>336844247</v>
      </c>
      <c r="I61">
        <v>2043618682</v>
      </c>
      <c r="J61">
        <v>1965546169</v>
      </c>
      <c r="K61">
        <v>1593323378</v>
      </c>
      <c r="L61">
        <v>35174219095</v>
      </c>
      <c r="M61">
        <v>5792252577</v>
      </c>
      <c r="N61">
        <v>4219404206</v>
      </c>
      <c r="O61">
        <v>-852880543</v>
      </c>
      <c r="P61">
        <v>14543624935</v>
      </c>
      <c r="Q61">
        <v>2047091920</v>
      </c>
      <c r="R61">
        <v>1241097048</v>
      </c>
    </row>
    <row r="62" spans="1:18" x14ac:dyDescent="0.35">
      <c r="A62" t="s">
        <v>1938</v>
      </c>
      <c r="B62" t="s">
        <v>190</v>
      </c>
      <c r="C62">
        <v>-4727708267</v>
      </c>
      <c r="D62">
        <v>2452113402</v>
      </c>
      <c r="E62">
        <v>-2465695416</v>
      </c>
      <c r="F62">
        <v>840677257</v>
      </c>
      <c r="G62">
        <v>1171468456</v>
      </c>
      <c r="H62">
        <v>699090649</v>
      </c>
      <c r="I62">
        <v>-1223625972</v>
      </c>
      <c r="J62">
        <v>-825256749</v>
      </c>
      <c r="K62">
        <v>-127182966</v>
      </c>
      <c r="L62">
        <v>25642239209</v>
      </c>
      <c r="M62">
        <v>-4105300465</v>
      </c>
      <c r="N62">
        <v>-2607140258</v>
      </c>
      <c r="O62">
        <v>1748371085</v>
      </c>
      <c r="P62">
        <v>-3687978677</v>
      </c>
      <c r="Q62">
        <v>-792619237</v>
      </c>
      <c r="R62">
        <v>4109048662</v>
      </c>
    </row>
    <row r="63" spans="1:18" x14ac:dyDescent="0.35">
      <c r="A63" t="s">
        <v>1938</v>
      </c>
      <c r="B63" t="s">
        <v>191</v>
      </c>
      <c r="C63">
        <v>58923048335</v>
      </c>
      <c r="D63">
        <v>64020530277</v>
      </c>
      <c r="E63">
        <v>25315427965</v>
      </c>
      <c r="F63">
        <v>43243010747</v>
      </c>
      <c r="G63">
        <v>24337087244</v>
      </c>
      <c r="H63">
        <v>67453478844</v>
      </c>
      <c r="I63">
        <v>-1159005003</v>
      </c>
      <c r="J63">
        <v>10039424384</v>
      </c>
      <c r="K63">
        <v>4793097328</v>
      </c>
      <c r="L63">
        <v>63740443103</v>
      </c>
      <c r="M63">
        <v>4574473681</v>
      </c>
      <c r="N63">
        <v>1284562232</v>
      </c>
      <c r="O63">
        <v>1093460623</v>
      </c>
      <c r="P63">
        <v>-24105014004</v>
      </c>
      <c r="Q63">
        <v>1649533312</v>
      </c>
      <c r="R63">
        <v>5652956604</v>
      </c>
    </row>
    <row r="64" spans="1:18" x14ac:dyDescent="0.35">
      <c r="A64" t="s">
        <v>1938</v>
      </c>
      <c r="B64" t="s">
        <v>192</v>
      </c>
      <c r="C64">
        <v>10580796722</v>
      </c>
      <c r="D64">
        <v>13643454043</v>
      </c>
      <c r="E64">
        <v>7986850298</v>
      </c>
      <c r="F64">
        <v>8237066768</v>
      </c>
      <c r="G64">
        <v>4124995700</v>
      </c>
      <c r="H64">
        <v>23665425157</v>
      </c>
      <c r="I64">
        <v>5538152719</v>
      </c>
      <c r="J64">
        <v>2161446157</v>
      </c>
      <c r="K64">
        <v>4062032777</v>
      </c>
      <c r="L64">
        <v>19940138503</v>
      </c>
      <c r="M64">
        <v>1785058980</v>
      </c>
      <c r="N64">
        <v>2778670209</v>
      </c>
      <c r="O64">
        <v>927378821</v>
      </c>
      <c r="P64">
        <v>20390548257</v>
      </c>
      <c r="Q64">
        <v>1392902905</v>
      </c>
      <c r="R64">
        <v>4933374291</v>
      </c>
    </row>
    <row r="65" spans="1:18" x14ac:dyDescent="0.35">
      <c r="A65" t="s">
        <v>1938</v>
      </c>
      <c r="B65" t="s">
        <v>193</v>
      </c>
      <c r="C65">
        <v>1564639561</v>
      </c>
      <c r="D65">
        <v>10875284</v>
      </c>
      <c r="E65">
        <v>-44128553</v>
      </c>
      <c r="F65">
        <v>-16847809</v>
      </c>
      <c r="G65">
        <v>-17371067</v>
      </c>
      <c r="H65">
        <v>21773627</v>
      </c>
      <c r="I65">
        <v>-27807456</v>
      </c>
      <c r="J65">
        <v>-28306194</v>
      </c>
      <c r="K65">
        <v>-18385533</v>
      </c>
      <c r="L65">
        <v>-5507379522</v>
      </c>
      <c r="M65">
        <v>-22636371</v>
      </c>
      <c r="N65">
        <v>-53987996</v>
      </c>
      <c r="O65">
        <v>-47106712</v>
      </c>
      <c r="P65">
        <v>219966820</v>
      </c>
      <c r="Q65">
        <v>-378811524</v>
      </c>
      <c r="R65">
        <v>-657168</v>
      </c>
    </row>
    <row r="66" spans="1:18" x14ac:dyDescent="0.35">
      <c r="A66" t="s">
        <v>1938</v>
      </c>
      <c r="B66" t="s">
        <v>194</v>
      </c>
      <c r="C66">
        <v>46777612052</v>
      </c>
      <c r="D66">
        <v>50366200950</v>
      </c>
      <c r="E66">
        <v>17372706220</v>
      </c>
      <c r="F66">
        <v>35022791788</v>
      </c>
      <c r="G66">
        <v>20229462611</v>
      </c>
      <c r="H66">
        <v>43766280060</v>
      </c>
      <c r="I66">
        <v>-6669350266</v>
      </c>
      <c r="J66">
        <v>7906284421</v>
      </c>
      <c r="K66">
        <v>749450084</v>
      </c>
      <c r="L66">
        <v>49307684122</v>
      </c>
      <c r="M66">
        <v>2812051072</v>
      </c>
      <c r="N66">
        <v>-1440119981</v>
      </c>
      <c r="O66">
        <v>213188514</v>
      </c>
      <c r="P66">
        <v>-44715529081</v>
      </c>
      <c r="Q66">
        <v>635441931</v>
      </c>
      <c r="R66">
        <v>720239481</v>
      </c>
    </row>
    <row r="67" spans="1:18" x14ac:dyDescent="0.35">
      <c r="A67" t="s">
        <v>1938</v>
      </c>
      <c r="B67" t="s">
        <v>195</v>
      </c>
      <c r="C67">
        <v>41778180395</v>
      </c>
      <c r="D67">
        <v>47138295857</v>
      </c>
      <c r="E67">
        <v>17983348798</v>
      </c>
      <c r="F67">
        <v>34053319377</v>
      </c>
      <c r="G67">
        <v>18699586202</v>
      </c>
      <c r="H67">
        <v>39244210974</v>
      </c>
      <c r="I67">
        <v>-7149342375</v>
      </c>
      <c r="J67">
        <v>15180192223</v>
      </c>
      <c r="K67">
        <v>5579067129</v>
      </c>
      <c r="L67">
        <v>25516173577</v>
      </c>
      <c r="M67">
        <v>9838538020</v>
      </c>
      <c r="N67">
        <v>-11567470376</v>
      </c>
      <c r="O67">
        <v>9515686149</v>
      </c>
      <c r="P67">
        <v>-1205947306</v>
      </c>
      <c r="Q67">
        <v>7962703428</v>
      </c>
      <c r="R67">
        <v>11585360150</v>
      </c>
    </row>
    <row r="68" spans="1:18" x14ac:dyDescent="0.35">
      <c r="A68" t="s">
        <v>1938</v>
      </c>
      <c r="B68" t="s">
        <v>196</v>
      </c>
      <c r="C68">
        <v>4999431657</v>
      </c>
      <c r="D68">
        <v>3227905093</v>
      </c>
      <c r="E68">
        <v>-610642578</v>
      </c>
      <c r="F68">
        <v>969472411</v>
      </c>
      <c r="G68">
        <v>1529876409</v>
      </c>
      <c r="H68">
        <v>4522069086</v>
      </c>
      <c r="I68">
        <v>479992109</v>
      </c>
      <c r="J68">
        <v>-7273907802</v>
      </c>
      <c r="K68">
        <v>-4829617045</v>
      </c>
      <c r="L68">
        <v>23791510545</v>
      </c>
      <c r="M68">
        <v>-7026486948</v>
      </c>
      <c r="N68">
        <v>10127350395</v>
      </c>
      <c r="O68">
        <v>-9302497635</v>
      </c>
      <c r="P68">
        <v>-43509581775</v>
      </c>
      <c r="Q68">
        <v>-7327261497</v>
      </c>
      <c r="R68">
        <v>-10865120669</v>
      </c>
    </row>
    <row r="69" spans="1:18" x14ac:dyDescent="0.35">
      <c r="A69" t="s">
        <v>1938</v>
      </c>
      <c r="B69" t="s">
        <v>197</v>
      </c>
      <c r="C69">
        <v>349</v>
      </c>
      <c r="D69">
        <v>392</v>
      </c>
      <c r="E69">
        <v>143</v>
      </c>
      <c r="F69">
        <v>255</v>
      </c>
      <c r="G69">
        <v>149</v>
      </c>
      <c r="H69">
        <v>292</v>
      </c>
      <c r="I69">
        <v>-45</v>
      </c>
      <c r="J69">
        <v>96</v>
      </c>
      <c r="K69">
        <v>35</v>
      </c>
      <c r="L69">
        <v>163</v>
      </c>
      <c r="M69">
        <v>-45</v>
      </c>
      <c r="N69">
        <v>65</v>
      </c>
      <c r="O69">
        <v>60</v>
      </c>
      <c r="P69">
        <v>-276</v>
      </c>
      <c r="Q69">
        <v>-47</v>
      </c>
      <c r="R69">
        <v>74</v>
      </c>
    </row>
    <row r="70" spans="1:18" x14ac:dyDescent="0.35">
      <c r="A70" t="s">
        <v>1938</v>
      </c>
      <c r="B70" t="s">
        <v>198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8" x14ac:dyDescent="0.35">
      <c r="A71" t="s">
        <v>1939</v>
      </c>
      <c r="B71" t="s">
        <v>176</v>
      </c>
      <c r="C71">
        <v>353409230810</v>
      </c>
      <c r="D71">
        <v>534494882117</v>
      </c>
      <c r="E71">
        <v>304691590021</v>
      </c>
      <c r="F71">
        <v>320033799019</v>
      </c>
      <c r="G71">
        <v>313167430980</v>
      </c>
      <c r="H71">
        <v>442729426912</v>
      </c>
      <c r="I71">
        <v>570161003170</v>
      </c>
      <c r="J71">
        <v>505666934459</v>
      </c>
      <c r="K71">
        <v>521524754366</v>
      </c>
      <c r="L71">
        <v>495880143407</v>
      </c>
      <c r="M71">
        <v>548461842707</v>
      </c>
      <c r="N71">
        <v>479482001564</v>
      </c>
      <c r="O71">
        <v>565912510859</v>
      </c>
      <c r="P71">
        <v>568774007788</v>
      </c>
      <c r="Q71">
        <v>739214916619</v>
      </c>
    </row>
    <row r="72" spans="1:18" x14ac:dyDescent="0.35">
      <c r="A72" t="s">
        <v>1939</v>
      </c>
      <c r="B72" t="s">
        <v>177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8" x14ac:dyDescent="0.35">
      <c r="A73" t="s">
        <v>1939</v>
      </c>
      <c r="B73" t="s">
        <v>178</v>
      </c>
      <c r="C73">
        <v>353409230810</v>
      </c>
      <c r="D73">
        <v>534494882117</v>
      </c>
      <c r="E73">
        <v>304691590021</v>
      </c>
      <c r="F73">
        <v>320033799019</v>
      </c>
      <c r="G73">
        <v>313167430980</v>
      </c>
      <c r="H73">
        <v>442729426912</v>
      </c>
      <c r="I73">
        <v>570161003170</v>
      </c>
      <c r="J73">
        <v>505666934459</v>
      </c>
      <c r="K73">
        <v>521524754366</v>
      </c>
      <c r="L73">
        <v>495880143407</v>
      </c>
      <c r="M73">
        <v>548461842707</v>
      </c>
      <c r="N73">
        <v>479482001564</v>
      </c>
      <c r="O73">
        <v>565912510859</v>
      </c>
      <c r="P73">
        <v>568774007788</v>
      </c>
      <c r="Q73">
        <v>739214916619</v>
      </c>
    </row>
    <row r="74" spans="1:18" x14ac:dyDescent="0.35">
      <c r="A74" t="s">
        <v>1939</v>
      </c>
      <c r="B74" t="s">
        <v>179</v>
      </c>
      <c r="C74">
        <v>160752497182</v>
      </c>
      <c r="D74">
        <v>325841411890</v>
      </c>
      <c r="E74">
        <v>129742063573</v>
      </c>
      <c r="F74">
        <v>127686725481</v>
      </c>
      <c r="G74">
        <v>131960814405</v>
      </c>
      <c r="H74">
        <v>224259454911</v>
      </c>
      <c r="I74">
        <v>222961874194</v>
      </c>
      <c r="J74">
        <v>281034251817</v>
      </c>
      <c r="K74">
        <v>302639305085</v>
      </c>
      <c r="L74">
        <v>275197970537</v>
      </c>
      <c r="M74">
        <v>235603084142</v>
      </c>
      <c r="N74">
        <v>217826788207</v>
      </c>
      <c r="O74">
        <v>272927632589</v>
      </c>
      <c r="P74">
        <v>316171065016</v>
      </c>
      <c r="Q74">
        <v>321118871630</v>
      </c>
    </row>
    <row r="75" spans="1:18" x14ac:dyDescent="0.35">
      <c r="A75" t="s">
        <v>1939</v>
      </c>
      <c r="B75" t="s">
        <v>180</v>
      </c>
      <c r="C75">
        <v>192656733628</v>
      </c>
      <c r="D75">
        <v>208653470227</v>
      </c>
      <c r="E75">
        <v>174949526448</v>
      </c>
      <c r="F75">
        <v>192347073538</v>
      </c>
      <c r="G75">
        <v>181206616575</v>
      </c>
      <c r="H75">
        <v>218469972001</v>
      </c>
      <c r="I75">
        <v>347199128976</v>
      </c>
      <c r="J75">
        <v>224632682642</v>
      </c>
      <c r="K75">
        <v>218885449281</v>
      </c>
      <c r="L75">
        <v>220682172870</v>
      </c>
      <c r="M75">
        <v>312858758565</v>
      </c>
      <c r="N75">
        <v>261655213357</v>
      </c>
      <c r="O75">
        <v>292984878270</v>
      </c>
      <c r="P75">
        <v>252602942772</v>
      </c>
      <c r="Q75">
        <v>418096044989</v>
      </c>
    </row>
    <row r="76" spans="1:18" x14ac:dyDescent="0.35">
      <c r="A76" t="s">
        <v>1939</v>
      </c>
      <c r="B76" t="s">
        <v>181</v>
      </c>
      <c r="C76">
        <v>7084877314</v>
      </c>
      <c r="D76">
        <v>7033111520</v>
      </c>
      <c r="E76">
        <v>4402136653</v>
      </c>
      <c r="F76">
        <v>7653771080</v>
      </c>
      <c r="G76">
        <v>17476472971</v>
      </c>
      <c r="H76">
        <v>8125309996</v>
      </c>
      <c r="I76">
        <v>7644859335</v>
      </c>
      <c r="J76">
        <v>7879129432</v>
      </c>
      <c r="K76">
        <v>174560359045</v>
      </c>
      <c r="L76">
        <v>23836079348</v>
      </c>
      <c r="M76">
        <v>11244550311</v>
      </c>
      <c r="N76">
        <v>13657341857</v>
      </c>
      <c r="O76">
        <v>12778504230</v>
      </c>
      <c r="P76">
        <v>62921057280</v>
      </c>
      <c r="Q76">
        <v>9379344534</v>
      </c>
    </row>
    <row r="77" spans="1:18" x14ac:dyDescent="0.35">
      <c r="A77" t="s">
        <v>1939</v>
      </c>
      <c r="B77" t="s">
        <v>182</v>
      </c>
      <c r="C77">
        <v>102153048073</v>
      </c>
      <c r="D77">
        <v>86976897756</v>
      </c>
      <c r="E77">
        <v>79292354782</v>
      </c>
      <c r="F77">
        <v>91886577638</v>
      </c>
      <c r="G77">
        <v>85941637378</v>
      </c>
      <c r="H77">
        <v>151278258563</v>
      </c>
      <c r="I77">
        <v>146342476495</v>
      </c>
      <c r="J77">
        <v>155045357835</v>
      </c>
      <c r="K77">
        <v>177621560654</v>
      </c>
      <c r="L77">
        <v>178078749997</v>
      </c>
      <c r="M77">
        <v>190121994935</v>
      </c>
      <c r="N77">
        <v>213329804949</v>
      </c>
      <c r="O77">
        <v>251784579483</v>
      </c>
      <c r="P77">
        <v>225732248150</v>
      </c>
      <c r="Q77">
        <v>245541068704</v>
      </c>
    </row>
    <row r="78" spans="1:18" x14ac:dyDescent="0.35">
      <c r="A78" t="s">
        <v>1939</v>
      </c>
      <c r="B78" t="s">
        <v>183</v>
      </c>
      <c r="C78">
        <v>88177850844</v>
      </c>
      <c r="D78">
        <v>83758892223</v>
      </c>
      <c r="E78">
        <v>78188018080</v>
      </c>
      <c r="F78">
        <v>88725485749</v>
      </c>
      <c r="G78">
        <v>83335010937</v>
      </c>
      <c r="H78">
        <v>133117840967</v>
      </c>
      <c r="I78">
        <v>145298468965</v>
      </c>
      <c r="J78">
        <v>145123268928</v>
      </c>
      <c r="K78">
        <v>146607010583</v>
      </c>
      <c r="L78">
        <v>155733736251</v>
      </c>
      <c r="M78">
        <v>178129526093</v>
      </c>
      <c r="N78">
        <v>205923515326</v>
      </c>
      <c r="O78">
        <v>236448106715</v>
      </c>
      <c r="P78">
        <v>221110697765</v>
      </c>
      <c r="Q78">
        <v>241715610003</v>
      </c>
    </row>
    <row r="79" spans="1:18" x14ac:dyDescent="0.35">
      <c r="A79" t="s">
        <v>1939</v>
      </c>
      <c r="B79" t="s">
        <v>184</v>
      </c>
      <c r="C79">
        <v>0</v>
      </c>
      <c r="D79">
        <v>0</v>
      </c>
      <c r="E79">
        <v>0</v>
      </c>
      <c r="F79">
        <v>0</v>
      </c>
      <c r="G79">
        <v>-6383444607</v>
      </c>
      <c r="H79">
        <v>12705441531</v>
      </c>
      <c r="I79">
        <v>3229536439</v>
      </c>
      <c r="J79">
        <v>5305188570</v>
      </c>
      <c r="K79">
        <v>-7012098479</v>
      </c>
      <c r="L79">
        <v>11305340733</v>
      </c>
      <c r="M79">
        <v>5075344568</v>
      </c>
      <c r="N79">
        <v>-2631297577</v>
      </c>
      <c r="O79">
        <v>-8407691844</v>
      </c>
      <c r="P79">
        <v>11174024290</v>
      </c>
      <c r="Q79">
        <v>-554693467</v>
      </c>
    </row>
    <row r="80" spans="1:18" x14ac:dyDescent="0.35">
      <c r="A80" t="s">
        <v>1939</v>
      </c>
      <c r="B80" t="s">
        <v>185</v>
      </c>
      <c r="C80">
        <v>161005358</v>
      </c>
      <c r="D80">
        <v>1291802715</v>
      </c>
      <c r="E80">
        <v>119911760</v>
      </c>
      <c r="F80">
        <v>105516735</v>
      </c>
      <c r="G80">
        <v>41163401</v>
      </c>
      <c r="H80">
        <v>204863062</v>
      </c>
      <c r="I80">
        <v>241564845</v>
      </c>
      <c r="J80">
        <v>0</v>
      </c>
      <c r="K80">
        <v>56503228</v>
      </c>
      <c r="L80">
        <v>81106845</v>
      </c>
      <c r="M80">
        <v>404390939</v>
      </c>
      <c r="N80">
        <v>124180224</v>
      </c>
      <c r="O80">
        <v>206873589</v>
      </c>
      <c r="P80">
        <v>249822605</v>
      </c>
      <c r="Q80">
        <v>135147589</v>
      </c>
    </row>
    <row r="81" spans="1:18" x14ac:dyDescent="0.35">
      <c r="A81" t="s">
        <v>1939</v>
      </c>
      <c r="B81" t="s">
        <v>186</v>
      </c>
      <c r="C81">
        <v>29264321829</v>
      </c>
      <c r="D81">
        <v>32778642575</v>
      </c>
      <c r="E81">
        <v>23456298544</v>
      </c>
      <c r="F81">
        <v>30740063214</v>
      </c>
      <c r="G81">
        <v>20210239038</v>
      </c>
      <c r="H81">
        <v>40951310335</v>
      </c>
      <c r="I81">
        <v>29637508881</v>
      </c>
      <c r="J81">
        <v>38137953727</v>
      </c>
      <c r="K81">
        <v>45413345667</v>
      </c>
      <c r="L81">
        <v>47152623597</v>
      </c>
      <c r="M81">
        <v>33067968286</v>
      </c>
      <c r="N81">
        <v>39014293351</v>
      </c>
      <c r="O81">
        <v>28287692970</v>
      </c>
      <c r="P81">
        <v>47876377532</v>
      </c>
      <c r="Q81">
        <v>43849062574</v>
      </c>
    </row>
    <row r="82" spans="1:18" x14ac:dyDescent="0.35">
      <c r="A82" t="s">
        <v>1939</v>
      </c>
      <c r="B82" t="s">
        <v>187</v>
      </c>
      <c r="C82">
        <v>68163235682</v>
      </c>
      <c r="D82">
        <v>94639238701</v>
      </c>
      <c r="E82">
        <v>76483098015</v>
      </c>
      <c r="F82">
        <v>77268687031</v>
      </c>
      <c r="G82">
        <v>86106605122</v>
      </c>
      <c r="H82">
        <v>46866291568</v>
      </c>
      <c r="I82">
        <v>181851974529</v>
      </c>
      <c r="J82">
        <v>44633689082</v>
      </c>
      <c r="K82">
        <v>163342300298</v>
      </c>
      <c r="L82">
        <v>30511112512</v>
      </c>
      <c r="M82">
        <v>105584299284</v>
      </c>
      <c r="N82">
        <v>20212979113</v>
      </c>
      <c r="O82">
        <v>17076544614</v>
      </c>
      <c r="P82">
        <v>52839576055</v>
      </c>
      <c r="Q82">
        <v>137395417189</v>
      </c>
    </row>
    <row r="83" spans="1:18" x14ac:dyDescent="0.35">
      <c r="A83" t="s">
        <v>1939</v>
      </c>
      <c r="B83" t="s">
        <v>188</v>
      </c>
      <c r="C83">
        <v>611896286</v>
      </c>
      <c r="D83">
        <v>3573753670</v>
      </c>
      <c r="E83">
        <v>6136383137</v>
      </c>
      <c r="F83">
        <v>4000186609</v>
      </c>
      <c r="G83">
        <v>0</v>
      </c>
      <c r="H83">
        <v>97196229883</v>
      </c>
      <c r="I83">
        <v>1403555874</v>
      </c>
      <c r="J83">
        <v>951283738</v>
      </c>
      <c r="K83">
        <v>145572426</v>
      </c>
      <c r="L83">
        <v>0</v>
      </c>
      <c r="M83">
        <v>1225009280</v>
      </c>
      <c r="N83">
        <v>51836460</v>
      </c>
      <c r="O83">
        <v>3089578750</v>
      </c>
      <c r="P83">
        <v>2024602665</v>
      </c>
      <c r="Q83">
        <v>547221018</v>
      </c>
    </row>
    <row r="84" spans="1:18" x14ac:dyDescent="0.35">
      <c r="A84" t="s">
        <v>1939</v>
      </c>
      <c r="B84" t="s">
        <v>189</v>
      </c>
      <c r="C84">
        <v>460229939</v>
      </c>
      <c r="D84">
        <v>307180729</v>
      </c>
      <c r="E84">
        <v>148171686</v>
      </c>
      <c r="F84">
        <v>2807958871</v>
      </c>
      <c r="G84">
        <v>17622390144</v>
      </c>
      <c r="H84">
        <v>4912502636</v>
      </c>
      <c r="I84">
        <v>162486096</v>
      </c>
      <c r="J84">
        <v>317456004</v>
      </c>
      <c r="K84">
        <v>6446101951</v>
      </c>
      <c r="L84">
        <v>9147069125</v>
      </c>
      <c r="M84">
        <v>642019798</v>
      </c>
      <c r="N84">
        <v>3974807953</v>
      </c>
      <c r="O84">
        <v>2260391431</v>
      </c>
      <c r="P84">
        <v>213463315</v>
      </c>
      <c r="Q84">
        <v>1299685240</v>
      </c>
    </row>
    <row r="85" spans="1:18" x14ac:dyDescent="0.35">
      <c r="A85" t="s">
        <v>1939</v>
      </c>
      <c r="B85" t="s">
        <v>190</v>
      </c>
      <c r="C85">
        <v>151666347</v>
      </c>
      <c r="D85">
        <v>3266572941</v>
      </c>
      <c r="E85">
        <v>5988211451</v>
      </c>
      <c r="F85">
        <v>1192227738</v>
      </c>
      <c r="G85">
        <v>-17622390144</v>
      </c>
      <c r="H85">
        <v>92283727247</v>
      </c>
      <c r="I85">
        <v>1241069778</v>
      </c>
      <c r="J85">
        <v>633827734</v>
      </c>
      <c r="K85">
        <v>-6300529525</v>
      </c>
      <c r="L85">
        <v>-9147069125</v>
      </c>
      <c r="M85">
        <v>582989482</v>
      </c>
      <c r="N85">
        <v>-3922971493</v>
      </c>
      <c r="O85">
        <v>829187319</v>
      </c>
      <c r="P85">
        <v>1811139350</v>
      </c>
      <c r="Q85">
        <v>-752464222</v>
      </c>
    </row>
    <row r="86" spans="1:18" x14ac:dyDescent="0.35">
      <c r="A86" t="s">
        <v>1939</v>
      </c>
      <c r="B86" t="s">
        <v>191</v>
      </c>
      <c r="C86">
        <v>68314902029</v>
      </c>
      <c r="D86">
        <v>97905811642</v>
      </c>
      <c r="E86">
        <v>82471309466</v>
      </c>
      <c r="F86">
        <v>78460914769</v>
      </c>
      <c r="G86">
        <v>68484214978</v>
      </c>
      <c r="H86">
        <v>139150018815</v>
      </c>
      <c r="I86">
        <v>183093044307</v>
      </c>
      <c r="J86">
        <v>45267516816</v>
      </c>
      <c r="K86">
        <v>157041770773</v>
      </c>
      <c r="L86">
        <v>21364043387</v>
      </c>
      <c r="M86">
        <v>106167288766</v>
      </c>
      <c r="N86">
        <v>16290007620</v>
      </c>
      <c r="O86">
        <v>17905731933</v>
      </c>
      <c r="P86">
        <v>54650715405</v>
      </c>
      <c r="Q86">
        <v>136642952967</v>
      </c>
    </row>
    <row r="87" spans="1:18" x14ac:dyDescent="0.35">
      <c r="A87" t="s">
        <v>1939</v>
      </c>
      <c r="B87" t="s">
        <v>192</v>
      </c>
      <c r="C87">
        <v>3500899050</v>
      </c>
      <c r="D87">
        <v>8543411738</v>
      </c>
      <c r="E87">
        <v>5381939605</v>
      </c>
      <c r="F87">
        <v>4353221368</v>
      </c>
      <c r="G87">
        <v>6373967420</v>
      </c>
      <c r="H87">
        <v>28478345395</v>
      </c>
      <c r="I87">
        <v>10943479718</v>
      </c>
      <c r="J87">
        <v>7681648928</v>
      </c>
      <c r="K87">
        <v>18915036508</v>
      </c>
      <c r="L87">
        <v>3587786974</v>
      </c>
      <c r="M87">
        <v>7170844128</v>
      </c>
      <c r="N87">
        <v>9422967741</v>
      </c>
      <c r="O87">
        <v>12408428192</v>
      </c>
      <c r="P87">
        <v>17862127402</v>
      </c>
      <c r="Q87">
        <v>11367030590</v>
      </c>
    </row>
    <row r="88" spans="1:18" x14ac:dyDescent="0.35">
      <c r="A88" t="s">
        <v>1939</v>
      </c>
      <c r="B88" t="s">
        <v>193</v>
      </c>
      <c r="C88">
        <v>743962332</v>
      </c>
      <c r="D88">
        <v>-1156198260</v>
      </c>
      <c r="E88">
        <v>579212101</v>
      </c>
      <c r="F88">
        <v>714863679</v>
      </c>
      <c r="G88">
        <v>1145003983</v>
      </c>
      <c r="H88">
        <v>-3809418429</v>
      </c>
      <c r="I88">
        <v>-1518237535</v>
      </c>
      <c r="J88">
        <v>-1501240860</v>
      </c>
      <c r="K88">
        <v>1619185622</v>
      </c>
      <c r="L88">
        <v>-3540864233</v>
      </c>
      <c r="M88">
        <v>-4676591828</v>
      </c>
      <c r="N88">
        <v>-509192440</v>
      </c>
      <c r="O88">
        <v>5181938172</v>
      </c>
      <c r="P88">
        <v>4829275245</v>
      </c>
      <c r="Q88">
        <v>-1000617024</v>
      </c>
    </row>
    <row r="89" spans="1:18" x14ac:dyDescent="0.35">
      <c r="A89" t="s">
        <v>1939</v>
      </c>
      <c r="B89" t="s">
        <v>194</v>
      </c>
      <c r="C89">
        <v>64070040647</v>
      </c>
      <c r="D89">
        <v>90518598164</v>
      </c>
      <c r="E89">
        <v>76510157760</v>
      </c>
      <c r="F89">
        <v>73392829722</v>
      </c>
      <c r="G89">
        <v>60965243575</v>
      </c>
      <c r="H89">
        <v>114481091849</v>
      </c>
      <c r="I89">
        <v>173667802124</v>
      </c>
      <c r="J89">
        <v>39087108748</v>
      </c>
      <c r="K89">
        <v>136507548643</v>
      </c>
      <c r="L89">
        <v>21317120646</v>
      </c>
      <c r="M89">
        <v>103673036466</v>
      </c>
      <c r="N89">
        <v>7376232319</v>
      </c>
      <c r="O89">
        <v>315365569</v>
      </c>
      <c r="P89">
        <v>31959312758</v>
      </c>
      <c r="Q89">
        <v>126276539401</v>
      </c>
    </row>
    <row r="90" spans="1:18" x14ac:dyDescent="0.35">
      <c r="A90" t="s">
        <v>1939</v>
      </c>
      <c r="B90" t="s">
        <v>195</v>
      </c>
      <c r="C90">
        <v>53433777516</v>
      </c>
      <c r="D90">
        <v>79626622823</v>
      </c>
      <c r="E90">
        <v>64743502239</v>
      </c>
      <c r="F90">
        <v>63577550644</v>
      </c>
      <c r="G90">
        <v>52822136064</v>
      </c>
      <c r="H90">
        <v>101603941046</v>
      </c>
      <c r="I90">
        <v>142058564268</v>
      </c>
      <c r="J90">
        <v>29526670261</v>
      </c>
      <c r="K90">
        <v>125506290811</v>
      </c>
      <c r="L90">
        <v>18601882577</v>
      </c>
      <c r="M90">
        <v>64245862224</v>
      </c>
      <c r="N90">
        <v>8707444979</v>
      </c>
      <c r="O90">
        <v>13721624574</v>
      </c>
      <c r="P90">
        <v>50568742495</v>
      </c>
      <c r="Q90">
        <v>89662202743</v>
      </c>
    </row>
    <row r="91" spans="1:18" x14ac:dyDescent="0.35">
      <c r="A91" t="s">
        <v>1939</v>
      </c>
      <c r="B91" t="s">
        <v>196</v>
      </c>
      <c r="C91">
        <v>10636263131</v>
      </c>
      <c r="D91">
        <v>10891975341</v>
      </c>
      <c r="E91">
        <v>11766655521</v>
      </c>
      <c r="F91">
        <v>9815279078</v>
      </c>
      <c r="G91">
        <v>8143107511</v>
      </c>
      <c r="H91">
        <v>12877150803</v>
      </c>
      <c r="I91">
        <v>31609237856</v>
      </c>
      <c r="J91">
        <v>9560438487</v>
      </c>
      <c r="K91">
        <v>11001257832</v>
      </c>
      <c r="L91">
        <v>2715238069</v>
      </c>
      <c r="M91">
        <v>39427174242</v>
      </c>
      <c r="N91">
        <v>-1331212660</v>
      </c>
      <c r="O91">
        <v>-13406259005</v>
      </c>
      <c r="P91">
        <v>-18609429737</v>
      </c>
      <c r="Q91">
        <v>36614336658</v>
      </c>
    </row>
    <row r="92" spans="1:18" x14ac:dyDescent="0.35">
      <c r="A92" t="s">
        <v>1939</v>
      </c>
      <c r="B92" t="s">
        <v>197</v>
      </c>
      <c r="C92">
        <v>253</v>
      </c>
      <c r="D92">
        <v>288</v>
      </c>
      <c r="E92">
        <v>231</v>
      </c>
      <c r="F92">
        <v>214</v>
      </c>
      <c r="G92">
        <v>178</v>
      </c>
      <c r="H92">
        <v>308</v>
      </c>
      <c r="I92">
        <v>456</v>
      </c>
      <c r="J92">
        <v>82</v>
      </c>
      <c r="K92">
        <v>381</v>
      </c>
      <c r="L92">
        <v>320</v>
      </c>
      <c r="M92">
        <v>193</v>
      </c>
      <c r="N92">
        <v>22</v>
      </c>
      <c r="O92">
        <v>95</v>
      </c>
      <c r="P92">
        <v>91</v>
      </c>
      <c r="Q92">
        <v>262</v>
      </c>
    </row>
    <row r="93" spans="1:18" x14ac:dyDescent="0.35">
      <c r="A93" t="s">
        <v>1939</v>
      </c>
      <c r="B93" t="s">
        <v>198</v>
      </c>
      <c r="C93">
        <v>399</v>
      </c>
      <c r="D93">
        <v>0</v>
      </c>
      <c r="E93">
        <v>231</v>
      </c>
      <c r="F93">
        <v>214</v>
      </c>
      <c r="G93">
        <v>210</v>
      </c>
      <c r="H93">
        <v>308</v>
      </c>
      <c r="I93">
        <v>456</v>
      </c>
      <c r="J93">
        <v>82</v>
      </c>
      <c r="K93">
        <v>381</v>
      </c>
      <c r="L93">
        <v>320</v>
      </c>
      <c r="M93">
        <v>193</v>
      </c>
      <c r="N93">
        <v>22</v>
      </c>
      <c r="O93">
        <v>95</v>
      </c>
      <c r="P93">
        <v>91</v>
      </c>
      <c r="Q93">
        <v>262</v>
      </c>
    </row>
    <row r="94" spans="1:18" x14ac:dyDescent="0.35">
      <c r="A94" t="s">
        <v>1940</v>
      </c>
      <c r="B94" t="s">
        <v>176</v>
      </c>
      <c r="C94">
        <v>840329128761</v>
      </c>
      <c r="D94">
        <v>1168156564966</v>
      </c>
      <c r="E94">
        <v>1353921096349</v>
      </c>
      <c r="F94">
        <v>478716917009</v>
      </c>
      <c r="G94">
        <v>648672082942</v>
      </c>
      <c r="H94">
        <v>1417904518556</v>
      </c>
      <c r="I94">
        <v>684797046521</v>
      </c>
      <c r="J94">
        <v>1024981838382</v>
      </c>
      <c r="K94">
        <v>866013969552</v>
      </c>
      <c r="L94">
        <v>1153024282249</v>
      </c>
      <c r="M94">
        <v>955894668515</v>
      </c>
      <c r="N94">
        <v>564031338253</v>
      </c>
      <c r="O94">
        <v>459677465913</v>
      </c>
      <c r="P94">
        <v>861510001181</v>
      </c>
      <c r="Q94">
        <v>847795538814</v>
      </c>
      <c r="R94">
        <v>559771948631</v>
      </c>
    </row>
    <row r="95" spans="1:18" x14ac:dyDescent="0.35">
      <c r="A95" t="s">
        <v>1940</v>
      </c>
      <c r="B95" t="s">
        <v>177</v>
      </c>
      <c r="C95">
        <v>783470347</v>
      </c>
      <c r="D95">
        <v>235977888</v>
      </c>
      <c r="E95">
        <v>57699091</v>
      </c>
      <c r="F95">
        <v>917957461</v>
      </c>
      <c r="G95">
        <v>15493908085</v>
      </c>
      <c r="H95">
        <v>30217246651</v>
      </c>
      <c r="I95">
        <v>739354249</v>
      </c>
      <c r="J95">
        <v>17428783449</v>
      </c>
      <c r="K95">
        <v>28515472706</v>
      </c>
      <c r="L95">
        <v>3675853318</v>
      </c>
      <c r="M95">
        <v>0</v>
      </c>
      <c r="N95">
        <v>7064252</v>
      </c>
      <c r="O95">
        <v>113066742</v>
      </c>
    </row>
    <row r="96" spans="1:18" x14ac:dyDescent="0.35">
      <c r="A96" t="s">
        <v>1940</v>
      </c>
      <c r="B96" t="s">
        <v>178</v>
      </c>
      <c r="C96">
        <v>839545658414</v>
      </c>
      <c r="D96">
        <v>1167920587078</v>
      </c>
      <c r="E96">
        <v>1353863397258</v>
      </c>
      <c r="F96">
        <v>477798959548</v>
      </c>
      <c r="G96">
        <v>633178174857</v>
      </c>
      <c r="H96">
        <v>1387687271905</v>
      </c>
      <c r="I96">
        <v>684057692272</v>
      </c>
      <c r="J96">
        <v>1007553054933</v>
      </c>
      <c r="K96">
        <v>837498496846</v>
      </c>
      <c r="L96">
        <v>1149348428931</v>
      </c>
      <c r="M96">
        <v>955894668515</v>
      </c>
      <c r="N96">
        <v>564024274001</v>
      </c>
      <c r="O96">
        <v>459564399171</v>
      </c>
      <c r="P96">
        <v>861510001181</v>
      </c>
      <c r="Q96">
        <v>847795538814</v>
      </c>
      <c r="R96">
        <v>559771948631</v>
      </c>
    </row>
    <row r="97" spans="1:18" x14ac:dyDescent="0.35">
      <c r="A97" t="s">
        <v>1940</v>
      </c>
      <c r="B97" t="s">
        <v>179</v>
      </c>
      <c r="C97">
        <v>484246940290</v>
      </c>
      <c r="D97">
        <v>565006691131</v>
      </c>
      <c r="E97">
        <v>722707080677</v>
      </c>
      <c r="F97">
        <v>176143087009</v>
      </c>
      <c r="G97">
        <v>219611097846</v>
      </c>
      <c r="H97">
        <v>436174396838</v>
      </c>
      <c r="I97">
        <v>219563143094</v>
      </c>
      <c r="J97">
        <v>343446303659</v>
      </c>
      <c r="K97">
        <v>331111979891</v>
      </c>
      <c r="L97">
        <v>536045196081</v>
      </c>
      <c r="M97">
        <v>380543236721</v>
      </c>
      <c r="N97">
        <v>283809580852</v>
      </c>
      <c r="O97">
        <v>214675075876</v>
      </c>
      <c r="P97">
        <v>275704992520</v>
      </c>
      <c r="Q97">
        <v>409873951924</v>
      </c>
      <c r="R97">
        <v>277427844797</v>
      </c>
    </row>
    <row r="98" spans="1:18" x14ac:dyDescent="0.35">
      <c r="A98" t="s">
        <v>1940</v>
      </c>
      <c r="B98" t="s">
        <v>180</v>
      </c>
      <c r="C98">
        <v>355298718124</v>
      </c>
      <c r="D98">
        <v>602913895947</v>
      </c>
      <c r="E98">
        <v>631156316581</v>
      </c>
      <c r="F98">
        <v>301655872539</v>
      </c>
      <c r="G98">
        <v>413567077011</v>
      </c>
      <c r="H98">
        <v>951512875067</v>
      </c>
      <c r="I98">
        <v>464494549178</v>
      </c>
      <c r="J98">
        <v>664106751274</v>
      </c>
      <c r="K98">
        <v>506386516955</v>
      </c>
      <c r="L98">
        <v>613303232850</v>
      </c>
      <c r="M98">
        <v>575351431794</v>
      </c>
      <c r="N98">
        <v>280214693149</v>
      </c>
      <c r="O98">
        <v>244889323295</v>
      </c>
      <c r="P98">
        <v>585805008661</v>
      </c>
      <c r="Q98">
        <v>437921586890</v>
      </c>
      <c r="R98">
        <v>282344103834</v>
      </c>
    </row>
    <row r="99" spans="1:18" x14ac:dyDescent="0.35">
      <c r="A99" t="s">
        <v>1940</v>
      </c>
      <c r="B99" t="s">
        <v>181</v>
      </c>
      <c r="C99">
        <v>13224860134</v>
      </c>
      <c r="D99">
        <v>-5300553458</v>
      </c>
      <c r="E99">
        <v>4689265262</v>
      </c>
      <c r="F99">
        <v>39368680087</v>
      </c>
      <c r="G99">
        <v>8963380930</v>
      </c>
      <c r="H99">
        <v>9477037270</v>
      </c>
      <c r="I99">
        <v>26642078796</v>
      </c>
      <c r="J99">
        <v>29223294896</v>
      </c>
      <c r="K99">
        <v>43070024517</v>
      </c>
      <c r="L99">
        <v>12739290465</v>
      </c>
      <c r="M99">
        <v>6625526161</v>
      </c>
      <c r="N99">
        <v>9669723496</v>
      </c>
      <c r="O99">
        <v>10562415990</v>
      </c>
      <c r="P99">
        <v>13131247679</v>
      </c>
      <c r="Q99">
        <v>13233308398</v>
      </c>
      <c r="R99">
        <v>7018309671</v>
      </c>
    </row>
    <row r="100" spans="1:18" x14ac:dyDescent="0.35">
      <c r="A100" t="s">
        <v>1940</v>
      </c>
      <c r="B100" t="s">
        <v>182</v>
      </c>
      <c r="C100">
        <v>62436160232</v>
      </c>
      <c r="D100">
        <v>135410129362</v>
      </c>
      <c r="E100">
        <v>88872918556</v>
      </c>
      <c r="F100">
        <v>104288768702</v>
      </c>
      <c r="G100">
        <v>85583255165</v>
      </c>
      <c r="H100">
        <v>130872049445</v>
      </c>
      <c r="I100">
        <v>122723344516</v>
      </c>
      <c r="J100">
        <v>126553545969</v>
      </c>
      <c r="K100">
        <v>130519746575</v>
      </c>
      <c r="L100">
        <v>193082572798</v>
      </c>
      <c r="M100">
        <v>149061698381</v>
      </c>
      <c r="N100">
        <v>140301381477</v>
      </c>
      <c r="O100">
        <v>127418259082</v>
      </c>
      <c r="P100">
        <v>154970786349</v>
      </c>
      <c r="Q100">
        <v>96294738696</v>
      </c>
      <c r="R100">
        <v>105745687648</v>
      </c>
    </row>
    <row r="101" spans="1:18" x14ac:dyDescent="0.35">
      <c r="A101" t="s">
        <v>1940</v>
      </c>
      <c r="B101" t="s">
        <v>183</v>
      </c>
      <c r="C101">
        <v>58663851094</v>
      </c>
      <c r="D101">
        <v>130227050526</v>
      </c>
      <c r="E101">
        <v>87082395087</v>
      </c>
      <c r="F101">
        <v>88988229256</v>
      </c>
      <c r="G101">
        <v>80009093216</v>
      </c>
      <c r="H101">
        <v>126895022206</v>
      </c>
      <c r="I101">
        <v>119411667076</v>
      </c>
      <c r="J101">
        <v>128881063030</v>
      </c>
      <c r="K101">
        <v>128432094195</v>
      </c>
      <c r="L101">
        <v>136082133894</v>
      </c>
      <c r="M101">
        <v>130784817545</v>
      </c>
      <c r="N101">
        <v>127358146483</v>
      </c>
      <c r="O101">
        <v>120049038455</v>
      </c>
      <c r="P101">
        <v>111160612914</v>
      </c>
      <c r="Q101">
        <v>94331517100</v>
      </c>
      <c r="R101">
        <v>86413493531</v>
      </c>
    </row>
    <row r="102" spans="1:18" x14ac:dyDescent="0.35">
      <c r="A102" t="s">
        <v>1940</v>
      </c>
      <c r="B102" t="s">
        <v>184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8" x14ac:dyDescent="0.35">
      <c r="A103" t="s">
        <v>1940</v>
      </c>
      <c r="B103" t="s">
        <v>185</v>
      </c>
      <c r="C103">
        <v>18045194456</v>
      </c>
      <c r="D103">
        <v>7726888141</v>
      </c>
      <c r="E103">
        <v>8042127594</v>
      </c>
      <c r="F103">
        <v>89117791986</v>
      </c>
      <c r="G103">
        <v>1873046364</v>
      </c>
      <c r="H103">
        <v>2298784845</v>
      </c>
      <c r="I103">
        <v>6860656236</v>
      </c>
      <c r="J103">
        <v>7182724545</v>
      </c>
      <c r="K103">
        <v>17367098042</v>
      </c>
      <c r="L103">
        <v>1535413468</v>
      </c>
      <c r="M103">
        <v>831053703</v>
      </c>
      <c r="N103">
        <v>2035122683</v>
      </c>
      <c r="O103">
        <v>1651971974</v>
      </c>
      <c r="P103">
        <v>2304220014</v>
      </c>
      <c r="Q103">
        <v>1095526289</v>
      </c>
      <c r="R103">
        <v>1340478428</v>
      </c>
    </row>
    <row r="104" spans="1:18" x14ac:dyDescent="0.35">
      <c r="A104" t="s">
        <v>1940</v>
      </c>
      <c r="B104" t="s">
        <v>186</v>
      </c>
      <c r="C104">
        <v>39780211139</v>
      </c>
      <c r="D104">
        <v>71238257144</v>
      </c>
      <c r="E104">
        <v>44670405717</v>
      </c>
      <c r="F104">
        <v>37039533572</v>
      </c>
      <c r="G104">
        <v>37319711158</v>
      </c>
      <c r="H104">
        <v>86785725642</v>
      </c>
      <c r="I104">
        <v>36291685726</v>
      </c>
      <c r="J104">
        <v>34644397465</v>
      </c>
      <c r="K104">
        <v>43471390067</v>
      </c>
      <c r="L104">
        <v>52298019719</v>
      </c>
      <c r="M104">
        <v>35681809436</v>
      </c>
      <c r="N104">
        <v>41857339061</v>
      </c>
      <c r="O104">
        <v>19061597627</v>
      </c>
      <c r="P104">
        <v>48881423887</v>
      </c>
      <c r="Q104">
        <v>32564100649</v>
      </c>
      <c r="R104">
        <v>50213883955</v>
      </c>
    </row>
    <row r="105" spans="1:18" x14ac:dyDescent="0.35">
      <c r="A105" t="s">
        <v>1940</v>
      </c>
      <c r="B105" t="s">
        <v>187</v>
      </c>
      <c r="C105">
        <v>248262012431</v>
      </c>
      <c r="D105">
        <v>383238067842</v>
      </c>
      <c r="E105">
        <v>494260129976</v>
      </c>
      <c r="F105">
        <v>110578458366</v>
      </c>
      <c r="G105">
        <v>297754445254</v>
      </c>
      <c r="H105">
        <v>741033352405</v>
      </c>
      <c r="I105">
        <v>325260941496</v>
      </c>
      <c r="J105">
        <v>524949378191</v>
      </c>
      <c r="K105">
        <v>358098306788</v>
      </c>
      <c r="L105">
        <v>379126517330</v>
      </c>
      <c r="M105">
        <v>396402396435</v>
      </c>
      <c r="N105">
        <v>105690573424</v>
      </c>
      <c r="O105">
        <v>107319910602</v>
      </c>
      <c r="P105">
        <v>392779826090</v>
      </c>
      <c r="Q105">
        <v>321200529654</v>
      </c>
      <c r="R105">
        <v>132062363474</v>
      </c>
    </row>
    <row r="106" spans="1:18" x14ac:dyDescent="0.35">
      <c r="A106" t="s">
        <v>1940</v>
      </c>
      <c r="B106" t="s">
        <v>188</v>
      </c>
      <c r="C106">
        <v>47488142</v>
      </c>
      <c r="D106">
        <v>2383832528</v>
      </c>
      <c r="E106">
        <v>1146626888</v>
      </c>
      <c r="F106">
        <v>4924269357</v>
      </c>
      <c r="G106">
        <v>1735257817</v>
      </c>
      <c r="H106">
        <v>18763475624</v>
      </c>
      <c r="I106">
        <v>203869021</v>
      </c>
      <c r="J106">
        <v>8257240966</v>
      </c>
      <c r="K106">
        <v>14629892372</v>
      </c>
      <c r="L106">
        <v>2449718122</v>
      </c>
      <c r="M106">
        <v>4620979178</v>
      </c>
      <c r="N106">
        <v>603297989</v>
      </c>
      <c r="O106">
        <v>4113688706</v>
      </c>
      <c r="P106">
        <v>11095600072</v>
      </c>
      <c r="Q106">
        <v>313031175</v>
      </c>
      <c r="R106">
        <v>11015693312</v>
      </c>
    </row>
    <row r="107" spans="1:18" x14ac:dyDescent="0.35">
      <c r="A107" t="s">
        <v>1940</v>
      </c>
      <c r="B107" t="s">
        <v>189</v>
      </c>
      <c r="C107">
        <v>216158881</v>
      </c>
      <c r="D107">
        <v>6458811567</v>
      </c>
      <c r="E107">
        <v>860404347</v>
      </c>
      <c r="F107">
        <v>1362065818</v>
      </c>
      <c r="G107">
        <v>1214035137</v>
      </c>
      <c r="H107">
        <v>28811396818</v>
      </c>
      <c r="I107">
        <v>284825168</v>
      </c>
      <c r="J107">
        <v>1204802888</v>
      </c>
      <c r="K107">
        <v>16111833259</v>
      </c>
      <c r="L107">
        <v>5833137574</v>
      </c>
      <c r="M107">
        <v>2121932711</v>
      </c>
      <c r="N107">
        <v>11544567974</v>
      </c>
      <c r="O107">
        <v>1926694837</v>
      </c>
      <c r="P107">
        <v>567006341</v>
      </c>
      <c r="Q107">
        <v>2433257597</v>
      </c>
      <c r="R107">
        <v>5272081738</v>
      </c>
    </row>
    <row r="108" spans="1:18" x14ac:dyDescent="0.35">
      <c r="A108" t="s">
        <v>1940</v>
      </c>
      <c r="B108" t="s">
        <v>190</v>
      </c>
      <c r="C108">
        <v>-168670739</v>
      </c>
      <c r="D108">
        <v>-4074979039</v>
      </c>
      <c r="E108">
        <v>286222541</v>
      </c>
      <c r="F108">
        <v>3562203539</v>
      </c>
      <c r="G108">
        <v>521222680</v>
      </c>
      <c r="H108">
        <v>-10047921194</v>
      </c>
      <c r="I108">
        <v>-80956147</v>
      </c>
      <c r="J108">
        <v>7052438078</v>
      </c>
      <c r="K108">
        <v>-1481940887</v>
      </c>
      <c r="L108">
        <v>-3383419452</v>
      </c>
      <c r="M108">
        <v>2499046467</v>
      </c>
      <c r="N108">
        <v>-10941269985</v>
      </c>
      <c r="O108">
        <v>2186993869</v>
      </c>
      <c r="P108">
        <v>10528593731</v>
      </c>
      <c r="Q108">
        <v>-2120226422</v>
      </c>
      <c r="R108">
        <v>5743611574</v>
      </c>
    </row>
    <row r="109" spans="1:18" x14ac:dyDescent="0.35">
      <c r="A109" t="s">
        <v>1940</v>
      </c>
      <c r="B109" t="s">
        <v>191</v>
      </c>
      <c r="C109">
        <v>248093341692</v>
      </c>
      <c r="D109">
        <v>379163088803</v>
      </c>
      <c r="E109">
        <v>494546352517</v>
      </c>
      <c r="F109">
        <v>114140661905</v>
      </c>
      <c r="G109">
        <v>298275667934</v>
      </c>
      <c r="H109">
        <v>730985431211</v>
      </c>
      <c r="I109">
        <v>325179985349</v>
      </c>
      <c r="J109">
        <v>532001816269</v>
      </c>
      <c r="K109">
        <v>356616365901</v>
      </c>
      <c r="L109">
        <v>375743097878</v>
      </c>
      <c r="M109">
        <v>398901442902</v>
      </c>
      <c r="N109">
        <v>94749303439</v>
      </c>
      <c r="O109">
        <v>109506904471</v>
      </c>
      <c r="P109">
        <v>403308419821</v>
      </c>
      <c r="Q109">
        <v>319080303232</v>
      </c>
      <c r="R109">
        <v>137805975048</v>
      </c>
    </row>
    <row r="110" spans="1:18" x14ac:dyDescent="0.35">
      <c r="A110" t="s">
        <v>1940</v>
      </c>
      <c r="B110" t="s">
        <v>192</v>
      </c>
      <c r="C110">
        <v>11094956197</v>
      </c>
      <c r="D110">
        <v>118862070246</v>
      </c>
      <c r="E110">
        <v>45729920119</v>
      </c>
      <c r="F110">
        <v>12654304728</v>
      </c>
      <c r="G110">
        <v>74240415039</v>
      </c>
      <c r="H110">
        <v>126247483362</v>
      </c>
      <c r="I110">
        <v>29515927316</v>
      </c>
      <c r="J110">
        <v>103738121172</v>
      </c>
      <c r="K110">
        <v>38776157493</v>
      </c>
      <c r="L110">
        <v>32659932715</v>
      </c>
      <c r="M110">
        <v>41624738066</v>
      </c>
      <c r="N110">
        <v>13390093234</v>
      </c>
      <c r="O110">
        <v>9957340337</v>
      </c>
      <c r="P110">
        <v>29918187840</v>
      </c>
      <c r="Q110">
        <v>53486173948</v>
      </c>
      <c r="R110">
        <v>26146518448</v>
      </c>
    </row>
    <row r="111" spans="1:18" x14ac:dyDescent="0.35">
      <c r="A111" t="s">
        <v>1940</v>
      </c>
      <c r="B111" t="s">
        <v>193</v>
      </c>
      <c r="C111">
        <v>49565154940</v>
      </c>
      <c r="D111">
        <v>-37705409056</v>
      </c>
      <c r="E111">
        <v>47272212272</v>
      </c>
      <c r="F111">
        <v>859539814</v>
      </c>
      <c r="G111">
        <v>-23905052603</v>
      </c>
      <c r="H111">
        <v>269354247</v>
      </c>
      <c r="I111">
        <v>-87029381</v>
      </c>
      <c r="J111">
        <v>10243210965</v>
      </c>
      <c r="K111">
        <v>7706250581</v>
      </c>
      <c r="L111">
        <v>5150041101</v>
      </c>
      <c r="M111">
        <v>0</v>
      </c>
      <c r="N111">
        <v>730120691</v>
      </c>
      <c r="P111">
        <v>878309039</v>
      </c>
      <c r="Q111">
        <v>1251448326</v>
      </c>
      <c r="R111">
        <v>350652577</v>
      </c>
    </row>
    <row r="112" spans="1:18" x14ac:dyDescent="0.35">
      <c r="A112" t="s">
        <v>1940</v>
      </c>
      <c r="B112" t="s">
        <v>194</v>
      </c>
      <c r="C112">
        <v>187433230555</v>
      </c>
      <c r="D112">
        <v>298006427613</v>
      </c>
      <c r="E112">
        <v>401544220126</v>
      </c>
      <c r="F112">
        <v>100626817363</v>
      </c>
      <c r="G112">
        <v>247940305498</v>
      </c>
      <c r="H112">
        <v>604468593602</v>
      </c>
      <c r="I112">
        <v>295751087414</v>
      </c>
      <c r="J112">
        <v>418020484132</v>
      </c>
      <c r="K112">
        <v>310133957827</v>
      </c>
      <c r="L112">
        <v>337933124062</v>
      </c>
      <c r="M112">
        <v>357276704836</v>
      </c>
      <c r="N112">
        <v>80629089514</v>
      </c>
      <c r="O112">
        <v>99549564134</v>
      </c>
      <c r="P112">
        <v>372511922942</v>
      </c>
      <c r="Q112">
        <v>264342680958</v>
      </c>
      <c r="R112">
        <v>111308804023</v>
      </c>
    </row>
    <row r="113" spans="1:18" x14ac:dyDescent="0.35">
      <c r="A113" t="s">
        <v>1940</v>
      </c>
      <c r="B113" t="s">
        <v>195</v>
      </c>
      <c r="C113">
        <v>128449207096</v>
      </c>
      <c r="D113">
        <v>203824321032</v>
      </c>
      <c r="E113">
        <v>322147811470</v>
      </c>
      <c r="F113">
        <v>32554954529</v>
      </c>
      <c r="G113">
        <v>228788095275</v>
      </c>
      <c r="H113">
        <v>520209060630</v>
      </c>
      <c r="I113">
        <v>244259464802</v>
      </c>
      <c r="J113">
        <v>361569175474</v>
      </c>
      <c r="K113">
        <v>251128865859</v>
      </c>
      <c r="L113">
        <v>248325641667</v>
      </c>
      <c r="M113">
        <v>302733452577</v>
      </c>
      <c r="N113">
        <v>44922411444</v>
      </c>
      <c r="O113">
        <v>84402022043</v>
      </c>
      <c r="P113">
        <v>288951077552</v>
      </c>
      <c r="Q113">
        <v>221347872444</v>
      </c>
      <c r="R113">
        <v>74365198773</v>
      </c>
    </row>
    <row r="114" spans="1:18" x14ac:dyDescent="0.35">
      <c r="A114" t="s">
        <v>1940</v>
      </c>
      <c r="B114" t="s">
        <v>196</v>
      </c>
      <c r="C114">
        <v>58984023459</v>
      </c>
      <c r="D114">
        <v>94182106581</v>
      </c>
      <c r="E114">
        <v>79396408656</v>
      </c>
      <c r="F114">
        <v>68071862834</v>
      </c>
      <c r="G114">
        <v>19152210223</v>
      </c>
      <c r="H114">
        <v>84259532972</v>
      </c>
      <c r="I114">
        <v>51491622612</v>
      </c>
      <c r="J114">
        <v>56451308658</v>
      </c>
      <c r="K114">
        <v>59005091968</v>
      </c>
      <c r="L114">
        <v>89607482395</v>
      </c>
      <c r="M114">
        <v>54543252259</v>
      </c>
      <c r="N114">
        <v>35706678070</v>
      </c>
      <c r="O114">
        <v>15147542091</v>
      </c>
      <c r="P114">
        <v>83560845390</v>
      </c>
      <c r="Q114">
        <v>42994808514</v>
      </c>
      <c r="R114">
        <v>36943605250</v>
      </c>
    </row>
    <row r="115" spans="1:18" x14ac:dyDescent="0.35">
      <c r="A115" t="s">
        <v>1940</v>
      </c>
      <c r="B115" t="s">
        <v>197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8" x14ac:dyDescent="0.35">
      <c r="A116" t="s">
        <v>1940</v>
      </c>
      <c r="B116" t="s">
        <v>198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8" x14ac:dyDescent="0.35">
      <c r="A117" t="s">
        <v>1941</v>
      </c>
      <c r="B117" t="s">
        <v>176</v>
      </c>
      <c r="C117">
        <v>1015619645280</v>
      </c>
      <c r="D117">
        <v>1306925982551</v>
      </c>
      <c r="E117">
        <v>470244242666</v>
      </c>
      <c r="F117">
        <v>836388965789</v>
      </c>
      <c r="G117">
        <v>346383609358</v>
      </c>
      <c r="H117">
        <v>470717600998</v>
      </c>
      <c r="I117">
        <v>181320940460</v>
      </c>
      <c r="J117">
        <v>401992505580</v>
      </c>
      <c r="K117">
        <v>181440910611</v>
      </c>
      <c r="L117">
        <v>244280482162</v>
      </c>
      <c r="M117">
        <v>242272762432</v>
      </c>
      <c r="N117">
        <v>418390494271</v>
      </c>
      <c r="O117">
        <v>477485311803</v>
      </c>
      <c r="P117">
        <v>833342491334</v>
      </c>
      <c r="Q117">
        <v>310728850638</v>
      </c>
      <c r="R117">
        <v>770318763578</v>
      </c>
    </row>
    <row r="118" spans="1:18" x14ac:dyDescent="0.35">
      <c r="A118" t="s">
        <v>1941</v>
      </c>
      <c r="B118" t="s">
        <v>177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8" x14ac:dyDescent="0.35">
      <c r="A119" t="s">
        <v>1941</v>
      </c>
      <c r="B119" t="s">
        <v>178</v>
      </c>
      <c r="C119">
        <v>1015619645280</v>
      </c>
      <c r="D119">
        <v>1306925982551</v>
      </c>
      <c r="E119">
        <v>470244242666</v>
      </c>
      <c r="F119">
        <v>836388965789</v>
      </c>
      <c r="G119">
        <v>346383609358</v>
      </c>
      <c r="H119">
        <v>470717600998</v>
      </c>
      <c r="I119">
        <v>181320940460</v>
      </c>
      <c r="J119">
        <v>401992505580</v>
      </c>
      <c r="K119">
        <v>181440910611</v>
      </c>
      <c r="L119">
        <v>244280482162</v>
      </c>
      <c r="M119">
        <v>242272762432</v>
      </c>
      <c r="N119">
        <v>418390494271</v>
      </c>
      <c r="O119">
        <v>477485311803</v>
      </c>
      <c r="P119">
        <v>833342491334</v>
      </c>
      <c r="Q119">
        <v>310728850638</v>
      </c>
      <c r="R119">
        <v>770318763578</v>
      </c>
    </row>
    <row r="120" spans="1:18" x14ac:dyDescent="0.35">
      <c r="A120" t="s">
        <v>1941</v>
      </c>
      <c r="B120" t="s">
        <v>179</v>
      </c>
      <c r="C120">
        <v>844049924646</v>
      </c>
      <c r="D120">
        <v>1252930641181</v>
      </c>
      <c r="E120">
        <v>368455345272</v>
      </c>
      <c r="F120">
        <v>666845726265</v>
      </c>
      <c r="G120">
        <v>265931615407</v>
      </c>
      <c r="H120">
        <v>391422713208</v>
      </c>
      <c r="I120">
        <v>141177334463</v>
      </c>
      <c r="J120">
        <v>366647553380</v>
      </c>
      <c r="K120">
        <v>158207029407</v>
      </c>
      <c r="L120">
        <v>215860508448</v>
      </c>
      <c r="M120">
        <v>207454524682</v>
      </c>
      <c r="N120">
        <v>364747031686</v>
      </c>
      <c r="O120">
        <v>418692575276</v>
      </c>
      <c r="P120">
        <v>663966802217</v>
      </c>
      <c r="Q120">
        <v>261653107475</v>
      </c>
      <c r="R120">
        <v>705584628550</v>
      </c>
    </row>
    <row r="121" spans="1:18" x14ac:dyDescent="0.35">
      <c r="A121" t="s">
        <v>1941</v>
      </c>
      <c r="B121" t="s">
        <v>180</v>
      </c>
      <c r="C121">
        <v>171569720634</v>
      </c>
      <c r="D121">
        <v>53995341370</v>
      </c>
      <c r="E121">
        <v>101788897394</v>
      </c>
      <c r="F121">
        <v>169543239524</v>
      </c>
      <c r="G121">
        <v>80451993951</v>
      </c>
      <c r="H121">
        <v>79294887790</v>
      </c>
      <c r="I121">
        <v>40143605997</v>
      </c>
      <c r="J121">
        <v>35344952200</v>
      </c>
      <c r="K121">
        <v>23233881204</v>
      </c>
      <c r="L121">
        <v>28419973714</v>
      </c>
      <c r="M121">
        <v>34818237750</v>
      </c>
      <c r="N121">
        <v>53643462585</v>
      </c>
      <c r="O121">
        <v>58792736527</v>
      </c>
      <c r="P121">
        <v>169375689117</v>
      </c>
      <c r="Q121">
        <v>49075743163</v>
      </c>
      <c r="R121">
        <v>64734135028</v>
      </c>
    </row>
    <row r="122" spans="1:18" x14ac:dyDescent="0.35">
      <c r="A122" t="s">
        <v>1941</v>
      </c>
      <c r="B122" t="s">
        <v>181</v>
      </c>
      <c r="C122">
        <v>1492229978</v>
      </c>
      <c r="D122">
        <v>193748265509</v>
      </c>
      <c r="E122">
        <v>366250512</v>
      </c>
      <c r="F122">
        <v>1990763307</v>
      </c>
      <c r="G122">
        <v>1176660957</v>
      </c>
      <c r="H122">
        <v>8814916472</v>
      </c>
      <c r="I122">
        <v>65767232270</v>
      </c>
      <c r="J122">
        <v>113650091343</v>
      </c>
      <c r="K122">
        <v>42956082658</v>
      </c>
      <c r="L122">
        <v>49976022527</v>
      </c>
      <c r="M122">
        <v>1924315494</v>
      </c>
      <c r="N122">
        <v>2726752683</v>
      </c>
      <c r="O122">
        <v>2186686340</v>
      </c>
      <c r="P122">
        <v>3681011304</v>
      </c>
      <c r="Q122">
        <v>2037866774</v>
      </c>
      <c r="R122">
        <v>26110803219</v>
      </c>
    </row>
    <row r="123" spans="1:18" x14ac:dyDescent="0.35">
      <c r="A123" t="s">
        <v>1941</v>
      </c>
      <c r="B123" t="s">
        <v>182</v>
      </c>
      <c r="C123">
        <v>32768032147</v>
      </c>
      <c r="D123">
        <v>67458950141</v>
      </c>
      <c r="E123">
        <v>16799842242</v>
      </c>
      <c r="F123">
        <v>32340025149</v>
      </c>
      <c r="G123">
        <v>26656408428</v>
      </c>
      <c r="H123">
        <v>23647572723</v>
      </c>
      <c r="I123">
        <v>22655197442</v>
      </c>
      <c r="J123">
        <v>19409573683</v>
      </c>
      <c r="K123">
        <v>14036175997</v>
      </c>
      <c r="L123">
        <v>13243046602</v>
      </c>
      <c r="M123">
        <v>10574622383</v>
      </c>
      <c r="N123">
        <v>12472334643</v>
      </c>
      <c r="O123">
        <v>14423740734</v>
      </c>
      <c r="P123">
        <v>7536052791</v>
      </c>
      <c r="Q123">
        <v>12845159712</v>
      </c>
      <c r="R123">
        <v>18029168295</v>
      </c>
    </row>
    <row r="124" spans="1:18" x14ac:dyDescent="0.35">
      <c r="A124" t="s">
        <v>1941</v>
      </c>
      <c r="B124" t="s">
        <v>183</v>
      </c>
      <c r="C124">
        <v>23951494967</v>
      </c>
      <c r="D124">
        <v>37641322563</v>
      </c>
      <c r="E124">
        <v>16799343151</v>
      </c>
      <c r="F124">
        <v>32340025149</v>
      </c>
      <c r="G124">
        <v>26656408428</v>
      </c>
      <c r="H124">
        <v>23645727163</v>
      </c>
      <c r="I124">
        <v>22698494917</v>
      </c>
      <c r="J124">
        <v>19343286791</v>
      </c>
      <c r="K124">
        <v>13934983929</v>
      </c>
      <c r="L124">
        <v>12971926913</v>
      </c>
      <c r="M124">
        <v>10574095613</v>
      </c>
      <c r="N124">
        <v>11195565072</v>
      </c>
      <c r="O124">
        <v>14423740734</v>
      </c>
      <c r="P124">
        <v>7421902688</v>
      </c>
      <c r="Q124">
        <v>12672757128</v>
      </c>
      <c r="R124">
        <v>14588845585</v>
      </c>
    </row>
    <row r="125" spans="1:18" x14ac:dyDescent="0.35">
      <c r="A125" t="s">
        <v>1941</v>
      </c>
      <c r="B125" t="s">
        <v>184</v>
      </c>
      <c r="C125">
        <v>595641603</v>
      </c>
      <c r="D125">
        <v>595641603</v>
      </c>
      <c r="E125">
        <v>0</v>
      </c>
      <c r="F125">
        <v>373310834</v>
      </c>
      <c r="G125">
        <v>0</v>
      </c>
      <c r="H125">
        <v>0</v>
      </c>
      <c r="I125">
        <v>0</v>
      </c>
      <c r="J125">
        <v>-4683467525</v>
      </c>
      <c r="K125">
        <v>0</v>
      </c>
      <c r="L125">
        <v>0</v>
      </c>
      <c r="M125">
        <v>0</v>
      </c>
      <c r="N125">
        <v>0</v>
      </c>
    </row>
    <row r="126" spans="1:18" x14ac:dyDescent="0.35">
      <c r="A126" t="s">
        <v>1941</v>
      </c>
      <c r="B126" t="s">
        <v>185</v>
      </c>
      <c r="C126">
        <v>2024804368</v>
      </c>
      <c r="D126">
        <v>810114462</v>
      </c>
      <c r="E126">
        <v>101369128</v>
      </c>
      <c r="F126">
        <v>16795889373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8" x14ac:dyDescent="0.35">
      <c r="A127" t="s">
        <v>1941</v>
      </c>
      <c r="B127" t="s">
        <v>186</v>
      </c>
      <c r="C127">
        <v>11441199941</v>
      </c>
      <c r="D127">
        <v>26988601122</v>
      </c>
      <c r="E127">
        <v>13345649209</v>
      </c>
      <c r="F127">
        <v>27262048182</v>
      </c>
      <c r="G127">
        <v>16973542551</v>
      </c>
      <c r="H127">
        <v>25538862820</v>
      </c>
      <c r="I127">
        <v>17254118608</v>
      </c>
      <c r="J127">
        <v>20422739938</v>
      </c>
      <c r="K127">
        <v>14196190465</v>
      </c>
      <c r="L127">
        <v>17898447379</v>
      </c>
      <c r="M127">
        <v>17365680725</v>
      </c>
      <c r="N127">
        <v>16064792243</v>
      </c>
      <c r="O127">
        <v>16233016345</v>
      </c>
      <c r="P127">
        <v>78738551623</v>
      </c>
      <c r="Q127">
        <v>19650132188</v>
      </c>
      <c r="R127">
        <v>16516557930</v>
      </c>
    </row>
    <row r="128" spans="1:18" x14ac:dyDescent="0.35">
      <c r="A128" t="s">
        <v>1941</v>
      </c>
      <c r="B128" t="s">
        <v>187</v>
      </c>
      <c r="C128">
        <v>127423555759</v>
      </c>
      <c r="D128">
        <v>153081582757</v>
      </c>
      <c r="E128">
        <v>71908287327</v>
      </c>
      <c r="F128">
        <v>95509350961</v>
      </c>
      <c r="G128">
        <v>37998703929</v>
      </c>
      <c r="H128">
        <v>38923368719</v>
      </c>
      <c r="I128">
        <v>66001522217</v>
      </c>
      <c r="J128">
        <v>104479262397</v>
      </c>
      <c r="K128">
        <v>37957597400</v>
      </c>
      <c r="L128">
        <v>47254502260</v>
      </c>
      <c r="M128">
        <v>8802250136</v>
      </c>
      <c r="N128">
        <v>27833088382</v>
      </c>
      <c r="O128">
        <v>30322665788</v>
      </c>
      <c r="P128">
        <v>86782096007</v>
      </c>
      <c r="Q128">
        <v>18618318037</v>
      </c>
      <c r="R128">
        <v>56299212022</v>
      </c>
    </row>
    <row r="129" spans="1:18" x14ac:dyDescent="0.35">
      <c r="A129" t="s">
        <v>1941</v>
      </c>
      <c r="B129" t="s">
        <v>188</v>
      </c>
      <c r="C129">
        <v>566974116</v>
      </c>
      <c r="D129">
        <v>535826200</v>
      </c>
      <c r="E129">
        <v>8184000</v>
      </c>
      <c r="F129">
        <v>215137515</v>
      </c>
      <c r="G129">
        <v>10620017</v>
      </c>
      <c r="H129">
        <v>3571825647</v>
      </c>
      <c r="I129">
        <v>1117234372</v>
      </c>
      <c r="J129">
        <v>865979532</v>
      </c>
      <c r="K129">
        <v>1210682288</v>
      </c>
      <c r="L129">
        <v>48495363</v>
      </c>
      <c r="M129">
        <v>3973626034</v>
      </c>
      <c r="N129">
        <v>1085709992</v>
      </c>
      <c r="O129">
        <v>1182238634</v>
      </c>
      <c r="P129">
        <v>277138316</v>
      </c>
      <c r="Q129">
        <v>408514191</v>
      </c>
      <c r="R129">
        <v>265566761</v>
      </c>
    </row>
    <row r="130" spans="1:18" x14ac:dyDescent="0.35">
      <c r="A130" t="s">
        <v>1941</v>
      </c>
      <c r="B130" t="s">
        <v>189</v>
      </c>
      <c r="C130">
        <v>455353689</v>
      </c>
      <c r="D130">
        <v>566986587</v>
      </c>
      <c r="E130">
        <v>548470312</v>
      </c>
      <c r="F130">
        <v>2251090417</v>
      </c>
      <c r="G130">
        <v>1108054925</v>
      </c>
      <c r="H130">
        <v>13739763859</v>
      </c>
      <c r="I130">
        <v>1815387925</v>
      </c>
      <c r="J130">
        <v>4015248334</v>
      </c>
      <c r="K130">
        <v>1179043442</v>
      </c>
      <c r="L130">
        <v>4108005585</v>
      </c>
      <c r="M130">
        <v>52604690</v>
      </c>
      <c r="N130">
        <v>906669060</v>
      </c>
      <c r="O130">
        <v>1325393713</v>
      </c>
      <c r="P130">
        <v>1707905687</v>
      </c>
      <c r="Q130">
        <v>423877615</v>
      </c>
      <c r="R130">
        <v>141082497</v>
      </c>
    </row>
    <row r="131" spans="1:18" x14ac:dyDescent="0.35">
      <c r="A131" t="s">
        <v>1941</v>
      </c>
      <c r="B131" t="s">
        <v>190</v>
      </c>
      <c r="C131">
        <v>111620427</v>
      </c>
      <c r="D131">
        <v>-31160387</v>
      </c>
      <c r="E131">
        <v>-540286312</v>
      </c>
      <c r="F131">
        <v>-2035952902</v>
      </c>
      <c r="G131">
        <v>-1097434908</v>
      </c>
      <c r="H131">
        <v>-10167938212</v>
      </c>
      <c r="I131">
        <v>-698153553</v>
      </c>
      <c r="J131">
        <v>-3149268802</v>
      </c>
      <c r="K131">
        <v>31638846</v>
      </c>
      <c r="L131">
        <v>-4059510222</v>
      </c>
      <c r="M131">
        <v>3921021344</v>
      </c>
      <c r="N131">
        <v>179040932</v>
      </c>
      <c r="O131">
        <v>-143155079</v>
      </c>
      <c r="P131">
        <v>-1430767371</v>
      </c>
      <c r="Q131">
        <v>-15363424</v>
      </c>
      <c r="R131">
        <v>124484264</v>
      </c>
    </row>
    <row r="132" spans="1:18" x14ac:dyDescent="0.35">
      <c r="A132" t="s">
        <v>1941</v>
      </c>
      <c r="B132" t="s">
        <v>191</v>
      </c>
      <c r="C132">
        <v>127535176186</v>
      </c>
      <c r="D132">
        <v>153050422370</v>
      </c>
      <c r="E132">
        <v>71368001015</v>
      </c>
      <c r="F132">
        <v>93473398059</v>
      </c>
      <c r="G132">
        <v>36901269021</v>
      </c>
      <c r="H132">
        <v>28755430507</v>
      </c>
      <c r="I132">
        <v>65303368664</v>
      </c>
      <c r="J132">
        <v>101329993595</v>
      </c>
      <c r="K132">
        <v>37989236246</v>
      </c>
      <c r="L132">
        <v>43194992038</v>
      </c>
      <c r="M132">
        <v>12723271480</v>
      </c>
      <c r="N132">
        <v>28012129314</v>
      </c>
      <c r="O132">
        <v>30179510709</v>
      </c>
      <c r="P132">
        <v>85351328636</v>
      </c>
      <c r="Q132">
        <v>18602954613</v>
      </c>
      <c r="R132">
        <v>56423696286</v>
      </c>
    </row>
    <row r="133" spans="1:18" x14ac:dyDescent="0.35">
      <c r="A133" t="s">
        <v>1941</v>
      </c>
      <c r="B133" t="s">
        <v>192</v>
      </c>
      <c r="C133">
        <v>25170604897</v>
      </c>
      <c r="D133">
        <v>20826153527</v>
      </c>
      <c r="E133">
        <v>13918997246</v>
      </c>
      <c r="F133">
        <v>20616851612</v>
      </c>
      <c r="G133">
        <v>6664607429</v>
      </c>
      <c r="H133">
        <v>7395793371</v>
      </c>
      <c r="I133">
        <v>13346567709</v>
      </c>
      <c r="J133">
        <v>19049769171</v>
      </c>
      <c r="K133">
        <v>7008630725</v>
      </c>
      <c r="L133">
        <v>11726643991</v>
      </c>
      <c r="M133">
        <v>2200663792</v>
      </c>
      <c r="N133">
        <v>7921499132</v>
      </c>
      <c r="O133">
        <v>6052594523</v>
      </c>
      <c r="P133">
        <v>29295669660</v>
      </c>
      <c r="Q133">
        <v>4878743162</v>
      </c>
      <c r="R133">
        <v>11924689490</v>
      </c>
    </row>
    <row r="134" spans="1:18" x14ac:dyDescent="0.35">
      <c r="A134" t="s">
        <v>1941</v>
      </c>
      <c r="B134" t="s">
        <v>193</v>
      </c>
      <c r="C134">
        <v>0</v>
      </c>
      <c r="D134">
        <v>1606213919</v>
      </c>
      <c r="E134">
        <v>0</v>
      </c>
      <c r="F134">
        <v>-194756457</v>
      </c>
      <c r="G134">
        <v>50647726</v>
      </c>
      <c r="H134">
        <v>290188354</v>
      </c>
      <c r="I134">
        <v>50647727</v>
      </c>
      <c r="J134">
        <v>3432069379</v>
      </c>
      <c r="K134">
        <v>21590908</v>
      </c>
      <c r="L134">
        <v>-902481600</v>
      </c>
      <c r="M134">
        <v>211550909</v>
      </c>
      <c r="N134">
        <v>-88051683</v>
      </c>
      <c r="P134">
        <v>-7255270753</v>
      </c>
      <c r="Q134">
        <v>-797465971</v>
      </c>
      <c r="R134">
        <v>17472800</v>
      </c>
    </row>
    <row r="135" spans="1:18" x14ac:dyDescent="0.35">
      <c r="A135" t="s">
        <v>1941</v>
      </c>
      <c r="B135" t="s">
        <v>194</v>
      </c>
      <c r="C135">
        <v>102364571289</v>
      </c>
      <c r="D135">
        <v>130618054924</v>
      </c>
      <c r="E135">
        <v>57449003769</v>
      </c>
      <c r="F135">
        <v>73051302904</v>
      </c>
      <c r="G135">
        <v>30186013866</v>
      </c>
      <c r="H135">
        <v>21069448782</v>
      </c>
      <c r="I135">
        <v>51906153228</v>
      </c>
      <c r="J135">
        <v>78848155045</v>
      </c>
      <c r="K135">
        <v>30959014613</v>
      </c>
      <c r="L135">
        <v>32370829647</v>
      </c>
      <c r="M135">
        <v>10311056779</v>
      </c>
      <c r="N135">
        <v>20178681865</v>
      </c>
      <c r="O135">
        <v>24126916186</v>
      </c>
      <c r="P135">
        <v>63310929729</v>
      </c>
      <c r="Q135">
        <v>14521677422</v>
      </c>
      <c r="R135">
        <v>44481533996</v>
      </c>
    </row>
    <row r="136" spans="1:18" x14ac:dyDescent="0.35">
      <c r="A136" t="s">
        <v>1941</v>
      </c>
      <c r="B136" t="s">
        <v>195</v>
      </c>
      <c r="C136">
        <v>104393501530</v>
      </c>
      <c r="D136">
        <v>129056316799</v>
      </c>
      <c r="E136">
        <v>57177765185</v>
      </c>
      <c r="F136">
        <v>72993384936</v>
      </c>
      <c r="G136">
        <v>30058244156</v>
      </c>
      <c r="H136">
        <v>22973979831</v>
      </c>
      <c r="I136">
        <v>51500124401</v>
      </c>
      <c r="J136">
        <v>78861054448</v>
      </c>
      <c r="K136">
        <v>30119054160</v>
      </c>
      <c r="L136">
        <v>30802961676</v>
      </c>
      <c r="M136">
        <v>-406077303</v>
      </c>
      <c r="N136">
        <v>20159539521</v>
      </c>
      <c r="O136">
        <v>25065169403</v>
      </c>
      <c r="P136">
        <v>64785898345</v>
      </c>
      <c r="Q136">
        <v>14513815676</v>
      </c>
      <c r="R136">
        <v>44463430337</v>
      </c>
    </row>
    <row r="137" spans="1:18" x14ac:dyDescent="0.35">
      <c r="A137" t="s">
        <v>1941</v>
      </c>
      <c r="B137" t="s">
        <v>196</v>
      </c>
      <c r="C137">
        <v>-2028930241</v>
      </c>
      <c r="D137">
        <v>1561738125</v>
      </c>
      <c r="E137">
        <v>271238584</v>
      </c>
      <c r="F137">
        <v>57917968</v>
      </c>
      <c r="G137">
        <v>127769710</v>
      </c>
      <c r="H137">
        <v>-1904531049</v>
      </c>
      <c r="I137">
        <v>406028827</v>
      </c>
      <c r="J137">
        <v>-12899403</v>
      </c>
      <c r="K137">
        <v>839960453</v>
      </c>
      <c r="L137">
        <v>1567867971</v>
      </c>
      <c r="M137">
        <v>10717134082</v>
      </c>
      <c r="N137">
        <v>19142344</v>
      </c>
      <c r="O137">
        <v>-938253217</v>
      </c>
      <c r="P137">
        <v>-1474968616</v>
      </c>
      <c r="Q137">
        <v>7861746</v>
      </c>
      <c r="R137">
        <v>18103659</v>
      </c>
    </row>
    <row r="138" spans="1:18" x14ac:dyDescent="0.35">
      <c r="A138" t="s">
        <v>1941</v>
      </c>
      <c r="B138" t="s">
        <v>197</v>
      </c>
      <c r="C138">
        <v>1015</v>
      </c>
      <c r="D138">
        <v>1120</v>
      </c>
      <c r="E138">
        <v>496</v>
      </c>
      <c r="F138">
        <v>633</v>
      </c>
      <c r="G138">
        <v>261</v>
      </c>
      <c r="H138">
        <v>133</v>
      </c>
      <c r="I138">
        <v>299</v>
      </c>
      <c r="J138">
        <v>457</v>
      </c>
      <c r="K138">
        <v>173</v>
      </c>
      <c r="L138">
        <v>173</v>
      </c>
      <c r="M138">
        <v>57</v>
      </c>
      <c r="N138">
        <v>106</v>
      </c>
      <c r="O138">
        <v>132</v>
      </c>
      <c r="P138">
        <v>342</v>
      </c>
      <c r="Q138">
        <v>77</v>
      </c>
      <c r="R138">
        <v>234</v>
      </c>
    </row>
    <row r="139" spans="1:18" x14ac:dyDescent="0.35">
      <c r="A139" t="s">
        <v>1941</v>
      </c>
      <c r="B139" t="s">
        <v>198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8" x14ac:dyDescent="0.35">
      <c r="A140" t="s">
        <v>1942</v>
      </c>
      <c r="B140" t="s">
        <v>176</v>
      </c>
      <c r="C140">
        <v>1643811975209</v>
      </c>
      <c r="D140">
        <v>2472081179601</v>
      </c>
      <c r="E140">
        <v>1548344223645</v>
      </c>
      <c r="F140">
        <v>2991189086624</v>
      </c>
      <c r="G140">
        <v>3131207777266</v>
      </c>
      <c r="H140">
        <v>2145676751179</v>
      </c>
      <c r="I140">
        <v>1477928426506</v>
      </c>
      <c r="J140">
        <v>1518001721175</v>
      </c>
      <c r="K140">
        <v>3005929612627</v>
      </c>
      <c r="L140">
        <v>2338543727609</v>
      </c>
      <c r="M140">
        <v>1505169970816</v>
      </c>
      <c r="N140">
        <v>1472311398690</v>
      </c>
      <c r="O140">
        <v>2220330694643</v>
      </c>
      <c r="P140">
        <v>2605228519802</v>
      </c>
      <c r="Q140">
        <v>2164822178202</v>
      </c>
      <c r="R140">
        <v>3090767498726</v>
      </c>
    </row>
    <row r="141" spans="1:18" x14ac:dyDescent="0.35">
      <c r="A141" t="s">
        <v>1942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8" x14ac:dyDescent="0.35">
      <c r="A142" t="s">
        <v>1942</v>
      </c>
      <c r="B142" t="s">
        <v>178</v>
      </c>
      <c r="C142">
        <v>1643811975209</v>
      </c>
      <c r="D142">
        <v>2472081179601</v>
      </c>
      <c r="E142">
        <v>1548344223645</v>
      </c>
      <c r="F142">
        <v>2991189086624</v>
      </c>
      <c r="G142">
        <v>3131207777266</v>
      </c>
      <c r="H142">
        <v>2145676751179</v>
      </c>
      <c r="I142">
        <v>1477928426506</v>
      </c>
      <c r="J142">
        <v>1518001721175</v>
      </c>
      <c r="K142">
        <v>3005929612627</v>
      </c>
      <c r="L142">
        <v>2338543727609</v>
      </c>
      <c r="M142">
        <v>1505169970816</v>
      </c>
      <c r="N142">
        <v>1472311398690</v>
      </c>
      <c r="O142">
        <v>2220330694643</v>
      </c>
      <c r="P142">
        <v>2605228519802</v>
      </c>
      <c r="Q142">
        <v>2164822178202</v>
      </c>
      <c r="R142">
        <v>3090767498726</v>
      </c>
    </row>
    <row r="143" spans="1:18" x14ac:dyDescent="0.35">
      <c r="A143" t="s">
        <v>1942</v>
      </c>
      <c r="B143" t="s">
        <v>179</v>
      </c>
      <c r="C143">
        <v>1308606321047</v>
      </c>
      <c r="D143">
        <v>2152842746343</v>
      </c>
      <c r="E143">
        <v>1360626379173</v>
      </c>
      <c r="F143">
        <v>2740582364017</v>
      </c>
      <c r="G143">
        <v>2816485985069</v>
      </c>
      <c r="H143">
        <v>1745723913680</v>
      </c>
      <c r="I143">
        <v>1127969301800</v>
      </c>
      <c r="J143">
        <v>1173090286888</v>
      </c>
      <c r="K143">
        <v>2609749767455</v>
      </c>
      <c r="L143">
        <v>1830974733293</v>
      </c>
      <c r="M143">
        <v>1197509334673</v>
      </c>
      <c r="N143">
        <v>1194067021072</v>
      </c>
      <c r="O143">
        <v>1685999956729</v>
      </c>
      <c r="P143">
        <v>2155976258835</v>
      </c>
      <c r="Q143">
        <v>1726240315786</v>
      </c>
      <c r="R143">
        <v>2621999682770</v>
      </c>
    </row>
    <row r="144" spans="1:18" x14ac:dyDescent="0.35">
      <c r="A144" t="s">
        <v>1942</v>
      </c>
      <c r="B144" t="s">
        <v>180</v>
      </c>
      <c r="C144">
        <v>335205654162</v>
      </c>
      <c r="D144">
        <v>319238433258</v>
      </c>
      <c r="E144">
        <v>187717844472</v>
      </c>
      <c r="F144">
        <v>250606722607</v>
      </c>
      <c r="G144">
        <v>314721792197</v>
      </c>
      <c r="H144">
        <v>399952837499</v>
      </c>
      <c r="I144">
        <v>349959124706</v>
      </c>
      <c r="J144">
        <v>344911434287</v>
      </c>
      <c r="K144">
        <v>396179845172</v>
      </c>
      <c r="L144">
        <v>507568994316</v>
      </c>
      <c r="M144">
        <v>307660636143</v>
      </c>
      <c r="N144">
        <v>278244377618</v>
      </c>
      <c r="O144">
        <v>534330737914</v>
      </c>
      <c r="P144">
        <v>449252260967</v>
      </c>
      <c r="Q144">
        <v>438581862416</v>
      </c>
      <c r="R144">
        <v>468767815956</v>
      </c>
    </row>
    <row r="145" spans="1:18" x14ac:dyDescent="0.35">
      <c r="A145" t="s">
        <v>1942</v>
      </c>
      <c r="B145" t="s">
        <v>181</v>
      </c>
      <c r="C145">
        <v>9221859356</v>
      </c>
      <c r="D145">
        <v>9491386972</v>
      </c>
      <c r="E145">
        <v>8499862301</v>
      </c>
      <c r="F145">
        <v>15957502565</v>
      </c>
      <c r="G145">
        <v>16538628156</v>
      </c>
      <c r="H145">
        <v>16134058097</v>
      </c>
      <c r="I145">
        <v>15227935016</v>
      </c>
      <c r="J145">
        <v>16359692832</v>
      </c>
      <c r="K145">
        <v>22620894415</v>
      </c>
      <c r="L145">
        <v>42260747504</v>
      </c>
      <c r="M145">
        <v>64766166369</v>
      </c>
      <c r="N145">
        <v>29736597603</v>
      </c>
      <c r="O145">
        <v>42254071851</v>
      </c>
      <c r="P145">
        <v>57936488223</v>
      </c>
      <c r="Q145">
        <v>43848434585</v>
      </c>
      <c r="R145">
        <v>50216111573</v>
      </c>
    </row>
    <row r="146" spans="1:18" x14ac:dyDescent="0.35">
      <c r="A146" t="s">
        <v>1942</v>
      </c>
      <c r="B146" t="s">
        <v>182</v>
      </c>
      <c r="C146">
        <v>61792906106</v>
      </c>
      <c r="D146">
        <v>66296344531</v>
      </c>
      <c r="E146">
        <v>59933085507</v>
      </c>
      <c r="F146">
        <v>78699601018</v>
      </c>
      <c r="G146">
        <v>83026512867</v>
      </c>
      <c r="H146">
        <v>137394586293</v>
      </c>
      <c r="I146">
        <v>121079960431</v>
      </c>
      <c r="J146">
        <v>216254698580</v>
      </c>
      <c r="K146">
        <v>265305902547</v>
      </c>
      <c r="L146">
        <v>163069320017</v>
      </c>
      <c r="M146">
        <v>211535612249</v>
      </c>
      <c r="N146">
        <v>229707366125</v>
      </c>
      <c r="O146">
        <v>323940097347</v>
      </c>
      <c r="P146">
        <v>214957253492</v>
      </c>
      <c r="Q146">
        <v>269845565396</v>
      </c>
      <c r="R146">
        <v>267170146939</v>
      </c>
    </row>
    <row r="147" spans="1:18" x14ac:dyDescent="0.35">
      <c r="A147" t="s">
        <v>1942</v>
      </c>
      <c r="B147" t="s">
        <v>183</v>
      </c>
      <c r="C147">
        <v>61783081666</v>
      </c>
      <c r="D147">
        <v>62748793112</v>
      </c>
      <c r="E147">
        <v>58499893411</v>
      </c>
      <c r="F147">
        <v>77514737588</v>
      </c>
      <c r="G147">
        <v>82496305776</v>
      </c>
      <c r="H147">
        <v>92829178325</v>
      </c>
      <c r="I147">
        <v>111543773506</v>
      </c>
      <c r="J147">
        <v>142163150704</v>
      </c>
      <c r="K147">
        <v>161302925170</v>
      </c>
      <c r="L147">
        <v>203462611693</v>
      </c>
      <c r="M147">
        <v>202320956960</v>
      </c>
      <c r="N147">
        <v>219149159123</v>
      </c>
      <c r="O147">
        <v>214193898557</v>
      </c>
      <c r="P147">
        <v>208183448602</v>
      </c>
      <c r="Q147">
        <v>180662130927</v>
      </c>
      <c r="R147">
        <v>201223875772</v>
      </c>
    </row>
    <row r="148" spans="1:18" x14ac:dyDescent="0.35">
      <c r="A148" t="s">
        <v>1942</v>
      </c>
      <c r="B148" t="s">
        <v>184</v>
      </c>
      <c r="C148">
        <v>644365826</v>
      </c>
      <c r="D148">
        <v>13740434893</v>
      </c>
      <c r="E148">
        <v>15693536669</v>
      </c>
      <c r="F148">
        <v>38462294150</v>
      </c>
      <c r="G148">
        <v>20083715642</v>
      </c>
      <c r="H148">
        <v>11513901380</v>
      </c>
      <c r="I148">
        <v>6354586599</v>
      </c>
      <c r="J148">
        <v>4443529021</v>
      </c>
      <c r="K148">
        <v>-3610742999</v>
      </c>
      <c r="L148">
        <v>-17952763417</v>
      </c>
      <c r="M148">
        <v>3819620957</v>
      </c>
      <c r="N148">
        <v>-1559423051</v>
      </c>
      <c r="O148">
        <v>-4423585606</v>
      </c>
      <c r="P148">
        <v>3740770909</v>
      </c>
      <c r="Q148">
        <v>49270354459</v>
      </c>
      <c r="R148">
        <v>-9245723914</v>
      </c>
    </row>
    <row r="149" spans="1:18" x14ac:dyDescent="0.35">
      <c r="A149" t="s">
        <v>1942</v>
      </c>
      <c r="B149" t="s">
        <v>185</v>
      </c>
      <c r="C149">
        <v>17935943854</v>
      </c>
      <c r="D149">
        <v>26314278868</v>
      </c>
      <c r="E149">
        <v>9031651696</v>
      </c>
      <c r="F149">
        <v>18098629725</v>
      </c>
      <c r="G149">
        <v>6195078239</v>
      </c>
      <c r="H149">
        <v>22854727696</v>
      </c>
      <c r="I149">
        <v>5593694314</v>
      </c>
      <c r="J149">
        <v>-1906589723</v>
      </c>
      <c r="K149">
        <v>-2009832363</v>
      </c>
      <c r="L149">
        <v>-10186732097</v>
      </c>
      <c r="M149">
        <v>-521653247</v>
      </c>
      <c r="N149">
        <v>5699414623</v>
      </c>
      <c r="O149">
        <v>21524758881</v>
      </c>
      <c r="P149">
        <v>28777958168</v>
      </c>
      <c r="Q149">
        <v>12417345930</v>
      </c>
      <c r="R149">
        <v>24682154151</v>
      </c>
    </row>
    <row r="150" spans="1:18" x14ac:dyDescent="0.35">
      <c r="A150" t="s">
        <v>1942</v>
      </c>
      <c r="B150" t="s">
        <v>186</v>
      </c>
      <c r="C150">
        <v>75247063530</v>
      </c>
      <c r="D150">
        <v>89671034211</v>
      </c>
      <c r="E150">
        <v>50432917609</v>
      </c>
      <c r="F150">
        <v>65708925270</v>
      </c>
      <c r="G150">
        <v>61987787084</v>
      </c>
      <c r="H150">
        <v>54799998193</v>
      </c>
      <c r="I150">
        <v>49241637723</v>
      </c>
      <c r="J150">
        <v>66336001442</v>
      </c>
      <c r="K150">
        <v>96165810447</v>
      </c>
      <c r="L150">
        <v>77805842959</v>
      </c>
      <c r="M150">
        <v>67475812114</v>
      </c>
      <c r="N150">
        <v>82331873361</v>
      </c>
      <c r="O150">
        <v>83169713707</v>
      </c>
      <c r="P150">
        <v>107049871767</v>
      </c>
      <c r="Q150">
        <v>92083004881</v>
      </c>
      <c r="R150">
        <v>120548875938</v>
      </c>
    </row>
    <row r="151" spans="1:18" x14ac:dyDescent="0.35">
      <c r="A151" t="s">
        <v>1942</v>
      </c>
      <c r="B151" t="s">
        <v>187</v>
      </c>
      <c r="C151">
        <v>190095965854</v>
      </c>
      <c r="D151">
        <v>160188597513</v>
      </c>
      <c r="E151">
        <v>92513588630</v>
      </c>
      <c r="F151">
        <v>142519363309</v>
      </c>
      <c r="G151">
        <v>200134757805</v>
      </c>
      <c r="H151">
        <v>212551484794</v>
      </c>
      <c r="I151">
        <v>195626353853</v>
      </c>
      <c r="J151">
        <v>85030545841</v>
      </c>
      <c r="K151">
        <v>55728115957</v>
      </c>
      <c r="L151">
        <v>301188547524</v>
      </c>
      <c r="M151">
        <v>97756652353</v>
      </c>
      <c r="N151">
        <v>-11317101939</v>
      </c>
      <c r="O151">
        <v>143526654224</v>
      </c>
      <c r="P151">
        <v>160144436672</v>
      </c>
      <c r="Q151">
        <v>157354735253</v>
      </c>
      <c r="R151">
        <v>97337026587</v>
      </c>
    </row>
    <row r="152" spans="1:18" x14ac:dyDescent="0.35">
      <c r="A152" t="s">
        <v>1942</v>
      </c>
      <c r="B152" t="s">
        <v>188</v>
      </c>
      <c r="C152">
        <v>2035629063</v>
      </c>
      <c r="D152">
        <v>24235626529</v>
      </c>
      <c r="E152">
        <v>4814586256</v>
      </c>
      <c r="F152">
        <v>16415732036</v>
      </c>
      <c r="G152">
        <v>1073801696</v>
      </c>
      <c r="H152">
        <v>7492005074</v>
      </c>
      <c r="I152">
        <v>759800347</v>
      </c>
      <c r="J152">
        <v>533958447</v>
      </c>
      <c r="K152">
        <v>5636389767</v>
      </c>
      <c r="L152">
        <v>13952597596</v>
      </c>
      <c r="M152">
        <v>226914630</v>
      </c>
      <c r="N152">
        <v>753707859</v>
      </c>
      <c r="O152">
        <v>1608339875</v>
      </c>
      <c r="P152">
        <v>3836258754</v>
      </c>
      <c r="Q152">
        <v>1538388671</v>
      </c>
      <c r="R152">
        <v>473207848</v>
      </c>
    </row>
    <row r="153" spans="1:18" x14ac:dyDescent="0.35">
      <c r="A153" t="s">
        <v>1942</v>
      </c>
      <c r="B153" t="s">
        <v>189</v>
      </c>
      <c r="C153">
        <v>1272442919</v>
      </c>
      <c r="D153">
        <v>9268920981</v>
      </c>
      <c r="E153">
        <v>144964780</v>
      </c>
      <c r="F153">
        <v>1722933366</v>
      </c>
      <c r="G153">
        <v>13785728781</v>
      </c>
      <c r="H153">
        <v>19691959590</v>
      </c>
      <c r="I153">
        <v>12473120485</v>
      </c>
      <c r="J153">
        <v>14133336240</v>
      </c>
      <c r="K153">
        <v>14052751652</v>
      </c>
      <c r="L153">
        <v>20690384828</v>
      </c>
      <c r="M153">
        <v>13594294345</v>
      </c>
      <c r="N153">
        <v>9962464574</v>
      </c>
      <c r="O153">
        <v>4944114937</v>
      </c>
      <c r="P153">
        <v>7733782012</v>
      </c>
      <c r="Q153">
        <v>1566195927</v>
      </c>
      <c r="R153">
        <v>2817711402</v>
      </c>
    </row>
    <row r="154" spans="1:18" x14ac:dyDescent="0.35">
      <c r="A154" t="s">
        <v>1942</v>
      </c>
      <c r="B154" t="s">
        <v>190</v>
      </c>
      <c r="C154">
        <v>763186144</v>
      </c>
      <c r="D154">
        <v>14966705548</v>
      </c>
      <c r="E154">
        <v>4669621476</v>
      </c>
      <c r="F154">
        <v>14692798670</v>
      </c>
      <c r="G154">
        <v>-12711927085</v>
      </c>
      <c r="H154">
        <v>-12199954516</v>
      </c>
      <c r="I154">
        <v>-11713320138</v>
      </c>
      <c r="J154">
        <v>-13599377793</v>
      </c>
      <c r="K154">
        <v>-8416361885</v>
      </c>
      <c r="L154">
        <v>-6737787232</v>
      </c>
      <c r="M154">
        <v>-13367379715</v>
      </c>
      <c r="N154">
        <v>-9208756715</v>
      </c>
      <c r="O154">
        <v>-3335775062</v>
      </c>
      <c r="P154">
        <v>-3897523258</v>
      </c>
      <c r="Q154">
        <v>-27807256</v>
      </c>
      <c r="R154">
        <v>-2344503554</v>
      </c>
    </row>
    <row r="155" spans="1:18" x14ac:dyDescent="0.35">
      <c r="A155" t="s">
        <v>1942</v>
      </c>
      <c r="B155" t="s">
        <v>191</v>
      </c>
      <c r="C155">
        <v>190859151998</v>
      </c>
      <c r="D155">
        <v>175155303061</v>
      </c>
      <c r="E155">
        <v>97183210106</v>
      </c>
      <c r="F155">
        <v>157212161979</v>
      </c>
      <c r="G155">
        <v>187422830720</v>
      </c>
      <c r="H155">
        <v>200351530278</v>
      </c>
      <c r="I155">
        <v>183913033715</v>
      </c>
      <c r="J155">
        <v>71431168048</v>
      </c>
      <c r="K155">
        <v>47311754072</v>
      </c>
      <c r="L155">
        <v>294450760292</v>
      </c>
      <c r="M155">
        <v>84389272638</v>
      </c>
      <c r="N155">
        <v>-20525858654</v>
      </c>
      <c r="O155">
        <v>140190879162</v>
      </c>
      <c r="P155">
        <v>156246913414</v>
      </c>
      <c r="Q155">
        <v>157326927997</v>
      </c>
      <c r="R155">
        <v>94992523033</v>
      </c>
    </row>
    <row r="156" spans="1:18" x14ac:dyDescent="0.35">
      <c r="A156" t="s">
        <v>1942</v>
      </c>
      <c r="B156" t="s">
        <v>192</v>
      </c>
      <c r="C156">
        <v>13690547105</v>
      </c>
      <c r="D156">
        <v>44924554728</v>
      </c>
      <c r="E156">
        <v>36758708812</v>
      </c>
      <c r="F156">
        <v>44558163608</v>
      </c>
      <c r="G156">
        <v>-29436098599</v>
      </c>
      <c r="H156">
        <v>5041524740</v>
      </c>
      <c r="I156">
        <v>7272506262</v>
      </c>
      <c r="J156">
        <v>15488790500</v>
      </c>
      <c r="K156">
        <v>71205067876</v>
      </c>
      <c r="L156">
        <v>43985190152</v>
      </c>
      <c r="M156">
        <v>7030197694</v>
      </c>
      <c r="N156">
        <v>21929430278</v>
      </c>
      <c r="O156">
        <v>41082276652</v>
      </c>
      <c r="P156">
        <v>18518246312</v>
      </c>
      <c r="Q156">
        <v>30700318719</v>
      </c>
      <c r="R156">
        <v>21299992587</v>
      </c>
    </row>
    <row r="157" spans="1:18" x14ac:dyDescent="0.35">
      <c r="A157" t="s">
        <v>1942</v>
      </c>
      <c r="B157" t="s">
        <v>193</v>
      </c>
      <c r="C157">
        <v>4208500</v>
      </c>
      <c r="D157">
        <v>-13282689877</v>
      </c>
      <c r="E157">
        <v>-19491560822</v>
      </c>
      <c r="F157">
        <v>-32064663504</v>
      </c>
      <c r="G157">
        <v>60455314534</v>
      </c>
      <c r="H157">
        <v>9355707937</v>
      </c>
      <c r="I157">
        <v>-2849943163</v>
      </c>
      <c r="J157">
        <v>-11480810653</v>
      </c>
      <c r="K157">
        <v>-28339736404</v>
      </c>
      <c r="L157">
        <v>-24848528134</v>
      </c>
      <c r="M157">
        <v>-1867682500</v>
      </c>
      <c r="N157">
        <v>-4384184946</v>
      </c>
      <c r="O157">
        <v>-1574822738</v>
      </c>
      <c r="P157">
        <v>261478084</v>
      </c>
      <c r="Q157">
        <v>-2453701931</v>
      </c>
      <c r="R157">
        <v>-949247852</v>
      </c>
    </row>
    <row r="158" spans="1:18" x14ac:dyDescent="0.35">
      <c r="A158" t="s">
        <v>1942</v>
      </c>
      <c r="B158" t="s">
        <v>194</v>
      </c>
      <c r="C158">
        <v>177164396393</v>
      </c>
      <c r="D158">
        <v>143513438210</v>
      </c>
      <c r="E158">
        <v>79916062116</v>
      </c>
      <c r="F158">
        <v>144718661875</v>
      </c>
      <c r="G158">
        <v>156403614785</v>
      </c>
      <c r="H158">
        <v>185954297601</v>
      </c>
      <c r="I158">
        <v>179490470616</v>
      </c>
      <c r="J158">
        <v>67423188201</v>
      </c>
      <c r="K158">
        <v>4446422600</v>
      </c>
      <c r="L158">
        <v>275314098274</v>
      </c>
      <c r="M158">
        <v>79226757444</v>
      </c>
      <c r="N158">
        <v>-38071103986</v>
      </c>
      <c r="O158">
        <v>100683425248</v>
      </c>
      <c r="P158">
        <v>137467189018</v>
      </c>
      <c r="Q158">
        <v>129080311209</v>
      </c>
      <c r="R158">
        <v>74641778298</v>
      </c>
    </row>
    <row r="159" spans="1:18" x14ac:dyDescent="0.35">
      <c r="A159" t="s">
        <v>1942</v>
      </c>
      <c r="B159" t="s">
        <v>195</v>
      </c>
      <c r="C159">
        <v>159273741943</v>
      </c>
      <c r="D159">
        <v>132290032422</v>
      </c>
      <c r="E159">
        <v>78357321760</v>
      </c>
      <c r="F159">
        <v>130626056460</v>
      </c>
      <c r="G159">
        <v>143882073981</v>
      </c>
      <c r="H159">
        <v>141061009002</v>
      </c>
      <c r="I159">
        <v>133030122424</v>
      </c>
      <c r="J159">
        <v>62916494166</v>
      </c>
      <c r="K159">
        <v>65797643800</v>
      </c>
      <c r="L159">
        <v>187518980323</v>
      </c>
      <c r="M159">
        <v>14662405153</v>
      </c>
      <c r="N159">
        <v>-25994832750</v>
      </c>
      <c r="O159">
        <v>63628956883</v>
      </c>
      <c r="P159">
        <v>70874610122</v>
      </c>
      <c r="Q159">
        <v>80551085969</v>
      </c>
      <c r="R159">
        <v>62210436530</v>
      </c>
    </row>
    <row r="160" spans="1:18" x14ac:dyDescent="0.35">
      <c r="A160" t="s">
        <v>1942</v>
      </c>
      <c r="B160" t="s">
        <v>196</v>
      </c>
      <c r="C160">
        <v>17890654450</v>
      </c>
      <c r="D160">
        <v>11223405788</v>
      </c>
      <c r="E160">
        <v>1558740356</v>
      </c>
      <c r="F160">
        <v>14092605415</v>
      </c>
      <c r="G160">
        <v>12521540804</v>
      </c>
      <c r="H160">
        <v>44893288599</v>
      </c>
      <c r="I160">
        <v>46460348192</v>
      </c>
      <c r="J160">
        <v>4506694035</v>
      </c>
      <c r="K160">
        <v>-61351221200</v>
      </c>
      <c r="L160">
        <v>87795117951</v>
      </c>
      <c r="M160">
        <v>64564352291</v>
      </c>
      <c r="N160">
        <v>-12076271236</v>
      </c>
      <c r="O160">
        <v>37054468365</v>
      </c>
      <c r="P160">
        <v>66592578896</v>
      </c>
      <c r="Q160">
        <v>48529225240</v>
      </c>
      <c r="R160">
        <v>12431341768</v>
      </c>
    </row>
    <row r="161" spans="1:17" x14ac:dyDescent="0.35">
      <c r="A161" t="s">
        <v>1942</v>
      </c>
      <c r="B161" t="s">
        <v>197</v>
      </c>
      <c r="C161">
        <v>0</v>
      </c>
      <c r="D161">
        <v>0</v>
      </c>
      <c r="E161">
        <v>410</v>
      </c>
      <c r="F161">
        <v>0</v>
      </c>
      <c r="G161">
        <v>0</v>
      </c>
      <c r="H161">
        <v>0</v>
      </c>
      <c r="I161">
        <v>566</v>
      </c>
      <c r="J161">
        <v>0</v>
      </c>
      <c r="K161">
        <v>0</v>
      </c>
      <c r="L161">
        <v>0</v>
      </c>
      <c r="M161">
        <v>49</v>
      </c>
      <c r="N161">
        <v>0</v>
      </c>
      <c r="Q161">
        <v>233</v>
      </c>
    </row>
    <row r="162" spans="1:17" x14ac:dyDescent="0.35">
      <c r="A162" t="s">
        <v>1942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7" x14ac:dyDescent="0.35">
      <c r="A163" t="s">
        <v>1943</v>
      </c>
      <c r="B163" t="s">
        <v>176</v>
      </c>
      <c r="C163">
        <v>1504303153321</v>
      </c>
      <c r="D163">
        <v>1666261171065</v>
      </c>
      <c r="E163">
        <v>1185473542508</v>
      </c>
      <c r="F163">
        <v>1636918080846</v>
      </c>
      <c r="G163">
        <v>0</v>
      </c>
      <c r="H163">
        <v>1900074959577</v>
      </c>
      <c r="I163">
        <v>2045444213396</v>
      </c>
      <c r="J163">
        <v>2024627177824</v>
      </c>
      <c r="K163">
        <v>2233394383618</v>
      </c>
      <c r="L163">
        <v>3071627212216</v>
      </c>
      <c r="M163">
        <v>2371561956920</v>
      </c>
      <c r="N163">
        <v>2176244902112</v>
      </c>
      <c r="O163">
        <v>1965035068054</v>
      </c>
      <c r="P163">
        <v>2066479652230</v>
      </c>
      <c r="Q163">
        <v>1842191313391</v>
      </c>
    </row>
    <row r="164" spans="1:17" x14ac:dyDescent="0.35">
      <c r="A164" t="s">
        <v>1943</v>
      </c>
      <c r="B164" t="s">
        <v>177</v>
      </c>
      <c r="C164">
        <v>715576123</v>
      </c>
      <c r="D164">
        <v>413511136</v>
      </c>
      <c r="E164">
        <v>2621147174</v>
      </c>
      <c r="F164">
        <v>503457808</v>
      </c>
      <c r="G164">
        <v>0</v>
      </c>
      <c r="H164">
        <v>2185623406</v>
      </c>
      <c r="I164">
        <v>31844727</v>
      </c>
      <c r="J164">
        <v>1691143363</v>
      </c>
      <c r="K164">
        <v>174057021</v>
      </c>
      <c r="L164">
        <v>1382926561</v>
      </c>
      <c r="M164">
        <v>2727054608</v>
      </c>
      <c r="N164">
        <v>2091301994</v>
      </c>
      <c r="O164">
        <v>3340898512</v>
      </c>
      <c r="P164">
        <v>1270243346</v>
      </c>
      <c r="Q164">
        <v>4717939882</v>
      </c>
    </row>
    <row r="165" spans="1:17" x14ac:dyDescent="0.35">
      <c r="A165" t="s">
        <v>1943</v>
      </c>
      <c r="B165" t="s">
        <v>178</v>
      </c>
      <c r="C165">
        <v>1503587577198</v>
      </c>
      <c r="D165">
        <v>1665847659929</v>
      </c>
      <c r="E165">
        <v>1182852395334</v>
      </c>
      <c r="F165">
        <v>1636414623038</v>
      </c>
      <c r="G165">
        <v>0</v>
      </c>
      <c r="H165">
        <v>1897889336171</v>
      </c>
      <c r="I165">
        <v>2045412368669</v>
      </c>
      <c r="J165">
        <v>2022936034461</v>
      </c>
      <c r="K165">
        <v>2233220326597</v>
      </c>
      <c r="L165">
        <v>3070244285655</v>
      </c>
      <c r="M165">
        <v>2368834902312</v>
      </c>
      <c r="N165">
        <v>2174153600118</v>
      </c>
      <c r="O165">
        <v>1961694169542</v>
      </c>
      <c r="P165">
        <v>2065209408884</v>
      </c>
      <c r="Q165">
        <v>1837473373509</v>
      </c>
    </row>
    <row r="166" spans="1:17" x14ac:dyDescent="0.35">
      <c r="A166" t="s">
        <v>1943</v>
      </c>
      <c r="B166" t="s">
        <v>179</v>
      </c>
      <c r="C166">
        <v>1078539108432</v>
      </c>
      <c r="D166">
        <v>1208509788011</v>
      </c>
      <c r="E166">
        <v>746519129683</v>
      </c>
      <c r="F166">
        <v>972735035139</v>
      </c>
      <c r="G166">
        <v>0</v>
      </c>
      <c r="H166">
        <v>1035267840950</v>
      </c>
      <c r="I166">
        <v>895050025249</v>
      </c>
      <c r="J166">
        <v>1127008141217</v>
      </c>
      <c r="K166">
        <v>1315625120220</v>
      </c>
      <c r="L166">
        <v>1718642315683</v>
      </c>
      <c r="M166">
        <v>1114447520402</v>
      </c>
      <c r="N166">
        <v>1294587295448</v>
      </c>
      <c r="O166">
        <v>1308106091522</v>
      </c>
      <c r="P166">
        <v>1142839529331</v>
      </c>
      <c r="Q166">
        <v>1096123885981</v>
      </c>
    </row>
    <row r="167" spans="1:17" x14ac:dyDescent="0.35">
      <c r="A167" t="s">
        <v>1943</v>
      </c>
      <c r="B167" t="s">
        <v>180</v>
      </c>
      <c r="C167">
        <v>425048468766</v>
      </c>
      <c r="D167">
        <v>457337871918</v>
      </c>
      <c r="E167">
        <v>436333265651</v>
      </c>
      <c r="F167">
        <v>663679587899</v>
      </c>
      <c r="G167">
        <v>0</v>
      </c>
      <c r="H167">
        <v>862621495221</v>
      </c>
      <c r="I167">
        <v>1150362343420</v>
      </c>
      <c r="J167">
        <v>895927893244</v>
      </c>
      <c r="K167">
        <v>917595206377</v>
      </c>
      <c r="L167">
        <v>1351601969972</v>
      </c>
      <c r="M167">
        <v>1254387381910</v>
      </c>
      <c r="N167">
        <v>879566304670</v>
      </c>
      <c r="O167">
        <v>653588078020</v>
      </c>
      <c r="P167">
        <v>922369879553</v>
      </c>
      <c r="Q167">
        <v>741349487528</v>
      </c>
    </row>
    <row r="168" spans="1:17" x14ac:dyDescent="0.35">
      <c r="A168" t="s">
        <v>1943</v>
      </c>
      <c r="B168" t="s">
        <v>181</v>
      </c>
      <c r="C168">
        <v>40343386979</v>
      </c>
      <c r="D168">
        <v>73472168646</v>
      </c>
      <c r="E168">
        <v>111622276863</v>
      </c>
      <c r="F168">
        <v>46389419845</v>
      </c>
      <c r="G168">
        <v>0</v>
      </c>
      <c r="H168">
        <v>240932397807</v>
      </c>
      <c r="I168">
        <v>38067160452</v>
      </c>
      <c r="J168">
        <v>43584099093</v>
      </c>
      <c r="K168">
        <v>61443352886</v>
      </c>
      <c r="L168">
        <v>59440157945</v>
      </c>
      <c r="M168">
        <v>58567040015</v>
      </c>
      <c r="N168">
        <v>65896468401</v>
      </c>
      <c r="O168">
        <v>48567357504</v>
      </c>
      <c r="P168">
        <v>64622863401</v>
      </c>
      <c r="Q168">
        <v>70161494649</v>
      </c>
    </row>
    <row r="169" spans="1:17" x14ac:dyDescent="0.35">
      <c r="A169" t="s">
        <v>1943</v>
      </c>
      <c r="B169" t="s">
        <v>182</v>
      </c>
      <c r="C169">
        <v>135889892947</v>
      </c>
      <c r="D169">
        <v>116733208900</v>
      </c>
      <c r="E169">
        <v>94654509669</v>
      </c>
      <c r="F169">
        <v>220247422987</v>
      </c>
      <c r="G169">
        <v>0</v>
      </c>
      <c r="H169">
        <v>200603044947</v>
      </c>
      <c r="I169">
        <v>217565023137</v>
      </c>
      <c r="J169">
        <v>225440728422</v>
      </c>
      <c r="K169">
        <v>253166359146</v>
      </c>
      <c r="L169">
        <v>247035288492</v>
      </c>
      <c r="M169">
        <v>256207210125</v>
      </c>
      <c r="N169">
        <v>255217131046</v>
      </c>
      <c r="O169">
        <v>276436606919</v>
      </c>
      <c r="P169">
        <v>228348862409</v>
      </c>
      <c r="Q169">
        <v>223279127406</v>
      </c>
    </row>
    <row r="170" spans="1:17" x14ac:dyDescent="0.35">
      <c r="A170" t="s">
        <v>1943</v>
      </c>
      <c r="B170" t="s">
        <v>183</v>
      </c>
      <c r="C170">
        <v>103652538551</v>
      </c>
      <c r="D170">
        <v>98673631361</v>
      </c>
      <c r="E170">
        <v>92669117698</v>
      </c>
      <c r="F170">
        <v>190880046079</v>
      </c>
      <c r="G170">
        <v>0</v>
      </c>
      <c r="H170">
        <v>195051206231</v>
      </c>
      <c r="I170">
        <v>213916376631</v>
      </c>
      <c r="J170">
        <v>212648211817</v>
      </c>
      <c r="K170">
        <v>222197736312</v>
      </c>
      <c r="L170">
        <v>230117916505</v>
      </c>
      <c r="M170">
        <v>249191399087</v>
      </c>
      <c r="N170">
        <v>245249753042</v>
      </c>
      <c r="O170">
        <v>227973532169</v>
      </c>
      <c r="P170">
        <v>216040100374</v>
      </c>
      <c r="Q170">
        <v>191747493837</v>
      </c>
    </row>
    <row r="171" spans="1:17" x14ac:dyDescent="0.35">
      <c r="A171" t="s">
        <v>1943</v>
      </c>
      <c r="B171" t="s">
        <v>184</v>
      </c>
      <c r="C171">
        <v>164166085295</v>
      </c>
      <c r="D171">
        <v>457309635271</v>
      </c>
      <c r="E171">
        <v>165480941941</v>
      </c>
      <c r="F171">
        <v>134770365572</v>
      </c>
      <c r="G171">
        <v>0</v>
      </c>
      <c r="H171">
        <v>312324112714</v>
      </c>
      <c r="I171">
        <v>177750072372</v>
      </c>
      <c r="J171">
        <v>228551905206</v>
      </c>
      <c r="K171">
        <v>358282897270</v>
      </c>
      <c r="L171">
        <v>312857471341</v>
      </c>
      <c r="M171">
        <v>209033492323</v>
      </c>
      <c r="N171">
        <v>172604876099</v>
      </c>
      <c r="O171">
        <v>217903078451</v>
      </c>
      <c r="P171">
        <v>266947539638</v>
      </c>
      <c r="Q171">
        <v>121159068285</v>
      </c>
    </row>
    <row r="172" spans="1:17" x14ac:dyDescent="0.35">
      <c r="A172" t="s">
        <v>1943</v>
      </c>
      <c r="B172" t="s">
        <v>185</v>
      </c>
      <c r="C172">
        <v>18479454291</v>
      </c>
      <c r="D172">
        <v>29619176851</v>
      </c>
      <c r="E172">
        <v>15575898613</v>
      </c>
      <c r="F172">
        <v>20518380497</v>
      </c>
      <c r="G172">
        <v>0</v>
      </c>
      <c r="H172">
        <v>33835185602</v>
      </c>
      <c r="I172">
        <v>19775841202</v>
      </c>
      <c r="J172">
        <v>19906313336</v>
      </c>
      <c r="K172">
        <v>21919911461</v>
      </c>
      <c r="L172">
        <v>27306263413</v>
      </c>
      <c r="M172">
        <v>19177580205</v>
      </c>
      <c r="N172">
        <v>22621017009</v>
      </c>
      <c r="O172">
        <v>21179072116</v>
      </c>
      <c r="P172">
        <v>29544975862</v>
      </c>
      <c r="Q172">
        <v>18733863540</v>
      </c>
    </row>
    <row r="173" spans="1:17" x14ac:dyDescent="0.35">
      <c r="A173" t="s">
        <v>1943</v>
      </c>
      <c r="B173" t="s">
        <v>186</v>
      </c>
      <c r="C173">
        <v>63546623859</v>
      </c>
      <c r="D173">
        <v>126297912984</v>
      </c>
      <c r="E173">
        <v>66127285470</v>
      </c>
      <c r="F173">
        <v>75293048748</v>
      </c>
      <c r="G173">
        <v>0</v>
      </c>
      <c r="H173">
        <v>156915453315</v>
      </c>
      <c r="I173">
        <v>83664130705</v>
      </c>
      <c r="J173">
        <v>86245011899</v>
      </c>
      <c r="K173">
        <v>105656476303</v>
      </c>
      <c r="L173">
        <v>304278910328</v>
      </c>
      <c r="M173">
        <v>101935676111</v>
      </c>
      <c r="N173">
        <v>148394002157</v>
      </c>
      <c r="O173">
        <v>97384773465</v>
      </c>
      <c r="P173">
        <v>314954286372</v>
      </c>
      <c r="Q173">
        <v>95958602242</v>
      </c>
    </row>
    <row r="174" spans="1:17" x14ac:dyDescent="0.35">
      <c r="A174" t="s">
        <v>1943</v>
      </c>
      <c r="B174" t="s">
        <v>187</v>
      </c>
      <c r="C174">
        <v>411641969943</v>
      </c>
      <c r="D174">
        <v>715469377100</v>
      </c>
      <c r="E174">
        <v>537078790703</v>
      </c>
      <c r="F174">
        <v>528780521084</v>
      </c>
      <c r="G174">
        <v>0</v>
      </c>
      <c r="H174">
        <v>1024524321878</v>
      </c>
      <c r="I174">
        <v>1045174581200</v>
      </c>
      <c r="J174">
        <v>836471843886</v>
      </c>
      <c r="K174">
        <v>956578709623</v>
      </c>
      <c r="L174">
        <v>1145279137025</v>
      </c>
      <c r="M174">
        <v>1144667447807</v>
      </c>
      <c r="N174">
        <v>691835498958</v>
      </c>
      <c r="O174">
        <v>525058061475</v>
      </c>
      <c r="P174">
        <v>681092157949</v>
      </c>
      <c r="Q174">
        <v>594698457274</v>
      </c>
    </row>
    <row r="175" spans="1:17" x14ac:dyDescent="0.35">
      <c r="A175" t="s">
        <v>1943</v>
      </c>
      <c r="B175" t="s">
        <v>188</v>
      </c>
      <c r="C175">
        <v>10106915736</v>
      </c>
      <c r="D175">
        <v>12098671287</v>
      </c>
      <c r="E175">
        <v>2287229877</v>
      </c>
      <c r="F175">
        <v>5048739632</v>
      </c>
      <c r="G175">
        <v>0</v>
      </c>
      <c r="H175">
        <v>15206870494</v>
      </c>
      <c r="I175">
        <v>2459401862</v>
      </c>
      <c r="J175">
        <v>9961005401</v>
      </c>
      <c r="K175">
        <v>8448743107</v>
      </c>
      <c r="L175">
        <v>25969806702</v>
      </c>
      <c r="M175">
        <v>9107728072</v>
      </c>
      <c r="N175">
        <v>6617044908</v>
      </c>
      <c r="O175">
        <v>2324192619</v>
      </c>
      <c r="P175">
        <v>7167887918</v>
      </c>
      <c r="Q175">
        <v>4334064401</v>
      </c>
    </row>
    <row r="176" spans="1:17" x14ac:dyDescent="0.35">
      <c r="A176" t="s">
        <v>1943</v>
      </c>
      <c r="B176" t="s">
        <v>189</v>
      </c>
      <c r="C176">
        <v>814171291</v>
      </c>
      <c r="D176">
        <v>3794595423</v>
      </c>
      <c r="E176">
        <v>874163583</v>
      </c>
      <c r="F176">
        <v>2974157727</v>
      </c>
      <c r="G176">
        <v>0</v>
      </c>
      <c r="H176">
        <v>7068045437</v>
      </c>
      <c r="I176">
        <v>823566904</v>
      </c>
      <c r="J176">
        <v>1700340715</v>
      </c>
      <c r="K176">
        <v>40804205540</v>
      </c>
      <c r="L176">
        <v>110801996135</v>
      </c>
      <c r="M176">
        <v>1529472711</v>
      </c>
      <c r="N176">
        <v>2032881052</v>
      </c>
      <c r="O176">
        <v>973450254</v>
      </c>
      <c r="P176">
        <v>6715692246</v>
      </c>
      <c r="Q176">
        <v>268898343</v>
      </c>
    </row>
    <row r="177" spans="1:17" x14ac:dyDescent="0.35">
      <c r="A177" t="s">
        <v>1943</v>
      </c>
      <c r="B177" t="s">
        <v>190</v>
      </c>
      <c r="C177">
        <v>9292744445</v>
      </c>
      <c r="D177">
        <v>8304075864</v>
      </c>
      <c r="E177">
        <v>1413066294</v>
      </c>
      <c r="F177">
        <v>2074581905</v>
      </c>
      <c r="G177">
        <v>0</v>
      </c>
      <c r="H177">
        <v>8138825057</v>
      </c>
      <c r="I177">
        <v>1635834958</v>
      </c>
      <c r="J177">
        <v>8260664686</v>
      </c>
      <c r="K177">
        <v>-32355462433</v>
      </c>
      <c r="L177">
        <v>-84832189433</v>
      </c>
      <c r="M177">
        <v>7578255361</v>
      </c>
      <c r="N177">
        <v>4584163856</v>
      </c>
      <c r="O177">
        <v>1350742365</v>
      </c>
      <c r="P177">
        <v>452195672</v>
      </c>
      <c r="Q177">
        <v>4065166058</v>
      </c>
    </row>
    <row r="178" spans="1:17" x14ac:dyDescent="0.35">
      <c r="A178" t="s">
        <v>1943</v>
      </c>
      <c r="B178" t="s">
        <v>191</v>
      </c>
      <c r="C178">
        <v>420934714388</v>
      </c>
      <c r="D178">
        <v>723773452964</v>
      </c>
      <c r="E178">
        <v>538491856997</v>
      </c>
      <c r="F178">
        <v>530855102989</v>
      </c>
      <c r="G178">
        <v>0</v>
      </c>
      <c r="H178">
        <v>1032663146935</v>
      </c>
      <c r="I178">
        <v>1046810416158</v>
      </c>
      <c r="J178">
        <v>844732508572</v>
      </c>
      <c r="K178">
        <v>924223247190</v>
      </c>
      <c r="L178">
        <v>1060446947592</v>
      </c>
      <c r="M178">
        <v>1152245703168</v>
      </c>
      <c r="N178">
        <v>696419662814</v>
      </c>
      <c r="O178">
        <v>526408803840</v>
      </c>
      <c r="P178">
        <v>681544353621</v>
      </c>
      <c r="Q178">
        <v>598763623332</v>
      </c>
    </row>
    <row r="179" spans="1:17" x14ac:dyDescent="0.35">
      <c r="A179" t="s">
        <v>1943</v>
      </c>
      <c r="B179" t="s">
        <v>192</v>
      </c>
      <c r="C179">
        <v>52275519735</v>
      </c>
      <c r="D179">
        <v>63509758405</v>
      </c>
      <c r="E179">
        <v>65221367144</v>
      </c>
      <c r="F179">
        <v>62739391289</v>
      </c>
      <c r="G179">
        <v>0</v>
      </c>
      <c r="H179">
        <v>115429594235</v>
      </c>
      <c r="I179">
        <v>89390376406</v>
      </c>
      <c r="J179">
        <v>91137132801</v>
      </c>
      <c r="K179">
        <v>86915479039</v>
      </c>
      <c r="L179">
        <v>102584491169</v>
      </c>
      <c r="M179">
        <v>97054920458</v>
      </c>
      <c r="N179">
        <v>72232211417</v>
      </c>
      <c r="O179">
        <v>61140963910</v>
      </c>
      <c r="P179">
        <v>61649166024</v>
      </c>
      <c r="Q179">
        <v>47782996919</v>
      </c>
    </row>
    <row r="180" spans="1:17" x14ac:dyDescent="0.35">
      <c r="A180" t="s">
        <v>1943</v>
      </c>
      <c r="B180" t="s">
        <v>193</v>
      </c>
      <c r="C180">
        <v>1059207474</v>
      </c>
      <c r="D180">
        <v>-3973586964</v>
      </c>
      <c r="E180">
        <v>1480148916</v>
      </c>
      <c r="F180">
        <v>-1930566555</v>
      </c>
      <c r="G180">
        <v>0</v>
      </c>
      <c r="H180">
        <v>-6550403940</v>
      </c>
      <c r="I180">
        <v>2059002510</v>
      </c>
      <c r="J180">
        <v>-1688442326</v>
      </c>
      <c r="K180">
        <v>2932913632</v>
      </c>
      <c r="L180">
        <v>-10175290316</v>
      </c>
      <c r="M180">
        <v>408929861</v>
      </c>
      <c r="N180">
        <v>442088268</v>
      </c>
      <c r="O180">
        <v>100237611</v>
      </c>
      <c r="P180">
        <v>-23593522269</v>
      </c>
      <c r="Q180">
        <v>2070504477</v>
      </c>
    </row>
    <row r="181" spans="1:17" x14ac:dyDescent="0.35">
      <c r="A181" t="s">
        <v>1943</v>
      </c>
      <c r="B181" t="s">
        <v>194</v>
      </c>
      <c r="C181">
        <v>367599987179</v>
      </c>
      <c r="D181">
        <v>664237281523</v>
      </c>
      <c r="E181">
        <v>471790340937</v>
      </c>
      <c r="F181">
        <v>470046278255</v>
      </c>
      <c r="G181">
        <v>0</v>
      </c>
      <c r="H181">
        <v>923783956640</v>
      </c>
      <c r="I181">
        <v>955361037242</v>
      </c>
      <c r="J181">
        <v>755283818097</v>
      </c>
      <c r="K181">
        <v>834374854519</v>
      </c>
      <c r="L181">
        <v>968037746739</v>
      </c>
      <c r="M181">
        <v>1054781852849</v>
      </c>
      <c r="N181">
        <v>623745363129</v>
      </c>
      <c r="O181">
        <v>465167602319</v>
      </c>
      <c r="P181">
        <v>643488709866</v>
      </c>
      <c r="Q181">
        <v>548910121936</v>
      </c>
    </row>
    <row r="182" spans="1:17" x14ac:dyDescent="0.35">
      <c r="A182" t="s">
        <v>1943</v>
      </c>
      <c r="B182" t="s">
        <v>195</v>
      </c>
      <c r="C182">
        <v>347012755150</v>
      </c>
      <c r="D182">
        <v>651249072379</v>
      </c>
      <c r="E182">
        <v>415811685438</v>
      </c>
      <c r="F182">
        <v>383399380383</v>
      </c>
      <c r="G182">
        <v>0</v>
      </c>
      <c r="H182">
        <v>791798655170</v>
      </c>
      <c r="I182">
        <v>693336998049</v>
      </c>
      <c r="J182">
        <v>596815193593</v>
      </c>
      <c r="K182">
        <v>680855250194</v>
      </c>
      <c r="L182">
        <v>719192597490</v>
      </c>
      <c r="M182">
        <v>745081716319</v>
      </c>
      <c r="N182">
        <v>489418038259</v>
      </c>
      <c r="O182">
        <v>449650172679</v>
      </c>
      <c r="P182">
        <v>504113990500</v>
      </c>
      <c r="Q182">
        <v>480481502873</v>
      </c>
    </row>
    <row r="183" spans="1:17" x14ac:dyDescent="0.35">
      <c r="A183" t="s">
        <v>1943</v>
      </c>
      <c r="B183" t="s">
        <v>196</v>
      </c>
      <c r="C183">
        <v>20587232029</v>
      </c>
      <c r="D183">
        <v>12988209144</v>
      </c>
      <c r="E183">
        <v>55978655499</v>
      </c>
      <c r="F183">
        <v>86646897872</v>
      </c>
      <c r="G183">
        <v>0</v>
      </c>
      <c r="H183">
        <v>131985301470</v>
      </c>
      <c r="I183">
        <v>262024039193</v>
      </c>
      <c r="J183">
        <v>158468624504</v>
      </c>
      <c r="K183">
        <v>153519604325</v>
      </c>
      <c r="L183">
        <v>248845149249</v>
      </c>
      <c r="M183">
        <v>309700136530</v>
      </c>
      <c r="N183">
        <v>134327324870</v>
      </c>
      <c r="O183">
        <v>15517429640</v>
      </c>
      <c r="P183">
        <v>139374719366</v>
      </c>
      <c r="Q183">
        <v>68428619063</v>
      </c>
    </row>
    <row r="184" spans="1:17" x14ac:dyDescent="0.35">
      <c r="A184" t="s">
        <v>1943</v>
      </c>
      <c r="B184" t="s">
        <v>197</v>
      </c>
      <c r="C184">
        <v>1119</v>
      </c>
      <c r="D184">
        <v>2100</v>
      </c>
      <c r="E184">
        <v>1345</v>
      </c>
      <c r="F184">
        <v>1241</v>
      </c>
      <c r="G184">
        <v>0</v>
      </c>
      <c r="H184">
        <v>2562</v>
      </c>
      <c r="I184">
        <v>2236</v>
      </c>
      <c r="J184">
        <v>1679</v>
      </c>
      <c r="K184">
        <v>1916</v>
      </c>
      <c r="L184">
        <v>2024</v>
      </c>
      <c r="M184">
        <v>2096</v>
      </c>
      <c r="N184">
        <v>1197</v>
      </c>
      <c r="O184">
        <v>1100</v>
      </c>
      <c r="P184">
        <v>1233</v>
      </c>
      <c r="Q184">
        <v>1176</v>
      </c>
    </row>
    <row r="185" spans="1:17" x14ac:dyDescent="0.35">
      <c r="A185" t="s">
        <v>1943</v>
      </c>
      <c r="B185" t="s">
        <v>198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7" x14ac:dyDescent="0.35">
      <c r="A186" t="s">
        <v>1958</v>
      </c>
      <c r="B186" t="s">
        <v>176</v>
      </c>
      <c r="C186">
        <v>145646463123</v>
      </c>
      <c r="D186">
        <v>148894026784</v>
      </c>
      <c r="E186">
        <v>156938670589</v>
      </c>
      <c r="F186">
        <v>174116862184</v>
      </c>
      <c r="G186">
        <v>157732796054</v>
      </c>
      <c r="H186">
        <v>172558048223</v>
      </c>
      <c r="I186">
        <v>186021761861</v>
      </c>
      <c r="J186">
        <v>237414229568</v>
      </c>
      <c r="K186">
        <v>203437074113</v>
      </c>
      <c r="L186">
        <v>181830564179</v>
      </c>
      <c r="M186">
        <v>155326855474</v>
      </c>
      <c r="N186">
        <v>168567076257</v>
      </c>
      <c r="O186">
        <v>178034786564</v>
      </c>
      <c r="P186">
        <v>153550514333</v>
      </c>
      <c r="Q186">
        <v>144736865298</v>
      </c>
    </row>
    <row r="187" spans="1:17" x14ac:dyDescent="0.35">
      <c r="A187" t="s">
        <v>1958</v>
      </c>
      <c r="B187" t="s">
        <v>177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7" x14ac:dyDescent="0.35">
      <c r="A188" t="s">
        <v>1958</v>
      </c>
      <c r="B188" t="s">
        <v>178</v>
      </c>
      <c r="C188">
        <v>145646463123</v>
      </c>
      <c r="D188">
        <v>148894026784</v>
      </c>
      <c r="E188">
        <v>156938670589</v>
      </c>
      <c r="F188">
        <v>174116862184</v>
      </c>
      <c r="G188">
        <v>157732796054</v>
      </c>
      <c r="H188">
        <v>172558048223</v>
      </c>
      <c r="I188">
        <v>186021761861</v>
      </c>
      <c r="J188">
        <v>237414229568</v>
      </c>
      <c r="K188">
        <v>203437074113</v>
      </c>
      <c r="L188">
        <v>181830564179</v>
      </c>
      <c r="M188">
        <v>155326855474</v>
      </c>
      <c r="N188">
        <v>168567076257</v>
      </c>
      <c r="O188">
        <v>178034786564</v>
      </c>
      <c r="P188">
        <v>153550514333</v>
      </c>
      <c r="Q188">
        <v>144736865298</v>
      </c>
    </row>
    <row r="189" spans="1:17" x14ac:dyDescent="0.35">
      <c r="A189" t="s">
        <v>1958</v>
      </c>
      <c r="B189" t="s">
        <v>179</v>
      </c>
      <c r="C189">
        <v>27278216454</v>
      </c>
      <c r="D189">
        <v>57753667204</v>
      </c>
      <c r="E189">
        <v>64448745381</v>
      </c>
      <c r="F189">
        <v>67184602599</v>
      </c>
      <c r="G189">
        <v>72379523042</v>
      </c>
      <c r="H189">
        <v>84231677255</v>
      </c>
      <c r="I189">
        <v>65696541583</v>
      </c>
      <c r="J189">
        <v>80544717278</v>
      </c>
      <c r="K189">
        <v>78834538097</v>
      </c>
      <c r="L189">
        <v>82933134471</v>
      </c>
      <c r="M189">
        <v>64375542079</v>
      </c>
      <c r="N189">
        <v>68539599662</v>
      </c>
      <c r="O189">
        <v>79641780297</v>
      </c>
      <c r="P189">
        <v>75066349088</v>
      </c>
      <c r="Q189">
        <v>63183975390</v>
      </c>
    </row>
    <row r="190" spans="1:17" x14ac:dyDescent="0.35">
      <c r="A190" t="s">
        <v>1958</v>
      </c>
      <c r="B190" t="s">
        <v>180</v>
      </c>
      <c r="C190">
        <v>118368246669</v>
      </c>
      <c r="D190">
        <v>91140359580</v>
      </c>
      <c r="E190">
        <v>92489925208</v>
      </c>
      <c r="F190">
        <v>106932259585</v>
      </c>
      <c r="G190">
        <v>85353273012</v>
      </c>
      <c r="H190">
        <v>88326370968</v>
      </c>
      <c r="I190">
        <v>120325220278</v>
      </c>
      <c r="J190">
        <v>156869512290</v>
      </c>
      <c r="K190">
        <v>124602536016</v>
      </c>
      <c r="L190">
        <v>98897429708</v>
      </c>
      <c r="M190">
        <v>90951313395</v>
      </c>
      <c r="N190">
        <v>100027476595</v>
      </c>
      <c r="O190">
        <v>98393006267</v>
      </c>
      <c r="P190">
        <v>78484165245</v>
      </c>
      <c r="Q190">
        <v>81552889908</v>
      </c>
    </row>
    <row r="191" spans="1:17" x14ac:dyDescent="0.35">
      <c r="A191" t="s">
        <v>1958</v>
      </c>
      <c r="B191" t="s">
        <v>181</v>
      </c>
      <c r="C191">
        <v>3690978</v>
      </c>
      <c r="D191">
        <v>150624200</v>
      </c>
      <c r="E191">
        <v>5446758</v>
      </c>
      <c r="F191">
        <v>5113244</v>
      </c>
      <c r="G191">
        <v>5471972</v>
      </c>
      <c r="H191">
        <v>4250095787</v>
      </c>
      <c r="I191">
        <v>7550566</v>
      </c>
      <c r="J191">
        <v>9518620</v>
      </c>
      <c r="K191">
        <v>18138997</v>
      </c>
      <c r="L191">
        <v>94234534</v>
      </c>
      <c r="M191">
        <v>11499679</v>
      </c>
      <c r="N191">
        <v>3337604</v>
      </c>
      <c r="O191">
        <v>49089877</v>
      </c>
      <c r="P191">
        <v>108559079</v>
      </c>
      <c r="Q191">
        <v>4015197</v>
      </c>
    </row>
    <row r="192" spans="1:17" x14ac:dyDescent="0.35">
      <c r="A192" t="s">
        <v>1958</v>
      </c>
      <c r="B192" t="s">
        <v>182</v>
      </c>
      <c r="C192">
        <v>49452950967</v>
      </c>
      <c r="D192">
        <v>49912401604</v>
      </c>
      <c r="E192">
        <v>52721422936</v>
      </c>
      <c r="F192">
        <v>52766264267</v>
      </c>
      <c r="G192">
        <v>50611166120</v>
      </c>
      <c r="H192">
        <v>52546397328</v>
      </c>
      <c r="I192">
        <v>53980453744</v>
      </c>
      <c r="J192">
        <v>63235691423</v>
      </c>
      <c r="K192">
        <v>62052007185</v>
      </c>
      <c r="L192">
        <v>51131070959</v>
      </c>
      <c r="M192">
        <v>59899825646</v>
      </c>
      <c r="N192">
        <v>56421316908</v>
      </c>
      <c r="O192">
        <v>49965429100</v>
      </c>
      <c r="P192">
        <v>48928345701</v>
      </c>
      <c r="Q192">
        <v>37952638025</v>
      </c>
    </row>
    <row r="193" spans="1:17" x14ac:dyDescent="0.35">
      <c r="A193" t="s">
        <v>1958</v>
      </c>
      <c r="B193" t="s">
        <v>183</v>
      </c>
      <c r="C193">
        <v>49452950967</v>
      </c>
      <c r="D193">
        <v>49912401604</v>
      </c>
      <c r="E193">
        <v>52721422936</v>
      </c>
      <c r="F193">
        <v>52766264267</v>
      </c>
      <c r="G193">
        <v>50611166120</v>
      </c>
      <c r="H193">
        <v>52546397328</v>
      </c>
      <c r="I193">
        <v>46859506116</v>
      </c>
      <c r="J193">
        <v>48763994026</v>
      </c>
      <c r="K193">
        <v>46458953291</v>
      </c>
      <c r="L193">
        <v>49643624181</v>
      </c>
      <c r="M193">
        <v>56166247854</v>
      </c>
      <c r="N193">
        <v>56421316908</v>
      </c>
      <c r="O193">
        <v>49965429100</v>
      </c>
      <c r="P193">
        <v>48928345701</v>
      </c>
      <c r="Q193">
        <v>37952638025</v>
      </c>
    </row>
    <row r="194" spans="1:17" x14ac:dyDescent="0.35">
      <c r="A194" t="s">
        <v>1958</v>
      </c>
      <c r="B194" t="s">
        <v>184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7" x14ac:dyDescent="0.35">
      <c r="A195" t="s">
        <v>1958</v>
      </c>
      <c r="B195" t="s">
        <v>185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7" x14ac:dyDescent="0.35">
      <c r="A196" t="s">
        <v>1958</v>
      </c>
      <c r="B196" t="s">
        <v>186</v>
      </c>
      <c r="C196">
        <v>5149739269</v>
      </c>
      <c r="D196">
        <v>6409988593</v>
      </c>
      <c r="E196">
        <v>3756802721</v>
      </c>
      <c r="F196">
        <v>5697684785</v>
      </c>
      <c r="G196">
        <v>3979418288</v>
      </c>
      <c r="H196">
        <v>7594821195</v>
      </c>
      <c r="I196">
        <v>4403720998</v>
      </c>
      <c r="J196">
        <v>4879053915</v>
      </c>
      <c r="K196">
        <v>5309705093</v>
      </c>
      <c r="L196">
        <v>6312747483</v>
      </c>
      <c r="M196">
        <v>4352414607</v>
      </c>
      <c r="N196">
        <v>4219922281</v>
      </c>
      <c r="O196">
        <v>4863979554</v>
      </c>
      <c r="P196">
        <v>6664877222</v>
      </c>
      <c r="Q196">
        <v>4926062683</v>
      </c>
    </row>
    <row r="197" spans="1:17" x14ac:dyDescent="0.35">
      <c r="A197" t="s">
        <v>1958</v>
      </c>
      <c r="B197" t="s">
        <v>187</v>
      </c>
      <c r="C197">
        <v>63769247411</v>
      </c>
      <c r="D197">
        <v>34968593583</v>
      </c>
      <c r="E197">
        <v>36017146309</v>
      </c>
      <c r="F197">
        <v>48473423777</v>
      </c>
      <c r="G197">
        <v>30768160576</v>
      </c>
      <c r="H197">
        <v>32435248232</v>
      </c>
      <c r="I197">
        <v>61948596102</v>
      </c>
      <c r="J197">
        <v>88764285572</v>
      </c>
      <c r="K197">
        <v>57258962735</v>
      </c>
      <c r="L197">
        <v>41547845800</v>
      </c>
      <c r="M197">
        <v>26710572821</v>
      </c>
      <c r="N197">
        <v>39389575010</v>
      </c>
      <c r="O197">
        <v>43612687490</v>
      </c>
      <c r="P197">
        <v>22999501401</v>
      </c>
      <c r="Q197">
        <v>38678204397</v>
      </c>
    </row>
    <row r="198" spans="1:17" x14ac:dyDescent="0.35">
      <c r="A198" t="s">
        <v>1958</v>
      </c>
      <c r="B198" t="s">
        <v>188</v>
      </c>
      <c r="C198">
        <v>45107913</v>
      </c>
      <c r="D198">
        <v>1036358057</v>
      </c>
      <c r="E198">
        <v>0</v>
      </c>
      <c r="F198">
        <v>0</v>
      </c>
      <c r="G198">
        <v>0</v>
      </c>
      <c r="H198">
        <v>18182379</v>
      </c>
      <c r="I198">
        <v>0</v>
      </c>
      <c r="J198">
        <v>870446</v>
      </c>
      <c r="K198">
        <v>0</v>
      </c>
      <c r="L198">
        <v>144002</v>
      </c>
      <c r="M198">
        <v>0</v>
      </c>
      <c r="N198">
        <v>659614858</v>
      </c>
      <c r="P198">
        <v>762953</v>
      </c>
    </row>
    <row r="199" spans="1:17" x14ac:dyDescent="0.35">
      <c r="A199" t="s">
        <v>1958</v>
      </c>
      <c r="B199" t="s">
        <v>189</v>
      </c>
      <c r="C199">
        <v>555853897</v>
      </c>
      <c r="D199">
        <v>472034370</v>
      </c>
      <c r="E199">
        <v>2109951659</v>
      </c>
      <c r="F199">
        <v>940573593</v>
      </c>
      <c r="G199">
        <v>452466950</v>
      </c>
      <c r="H199">
        <v>4221966426</v>
      </c>
      <c r="I199">
        <v>733785845</v>
      </c>
      <c r="J199">
        <v>7485612226</v>
      </c>
      <c r="K199">
        <v>1036108584</v>
      </c>
      <c r="L199">
        <v>1391470964</v>
      </c>
      <c r="M199">
        <v>309608751</v>
      </c>
      <c r="N199">
        <v>6835985288</v>
      </c>
      <c r="O199">
        <v>421656595</v>
      </c>
      <c r="P199">
        <v>4756927700</v>
      </c>
      <c r="Q199">
        <v>504608750</v>
      </c>
    </row>
    <row r="200" spans="1:17" x14ac:dyDescent="0.35">
      <c r="A200" t="s">
        <v>1958</v>
      </c>
      <c r="B200" t="s">
        <v>190</v>
      </c>
      <c r="C200">
        <v>-510745984</v>
      </c>
      <c r="D200">
        <v>564323687</v>
      </c>
      <c r="E200">
        <v>-2109951659</v>
      </c>
      <c r="F200">
        <v>-940573593</v>
      </c>
      <c r="G200">
        <v>-452466950</v>
      </c>
      <c r="H200">
        <v>-4203784047</v>
      </c>
      <c r="I200">
        <v>-733785845</v>
      </c>
      <c r="J200">
        <v>-7484741780</v>
      </c>
      <c r="K200">
        <v>-1036108584</v>
      </c>
      <c r="L200">
        <v>-1391326962</v>
      </c>
      <c r="M200">
        <v>-309608751</v>
      </c>
      <c r="N200">
        <v>-6176370430</v>
      </c>
      <c r="O200">
        <v>-421656595</v>
      </c>
      <c r="P200">
        <v>-4756164747</v>
      </c>
      <c r="Q200">
        <v>-504608750</v>
      </c>
    </row>
    <row r="201" spans="1:17" x14ac:dyDescent="0.35">
      <c r="A201" t="s">
        <v>1958</v>
      </c>
      <c r="B201" t="s">
        <v>191</v>
      </c>
      <c r="C201">
        <v>63258501427</v>
      </c>
      <c r="D201">
        <v>35532917270</v>
      </c>
      <c r="E201">
        <v>33907194650</v>
      </c>
      <c r="F201">
        <v>47532850184</v>
      </c>
      <c r="G201">
        <v>30315693626</v>
      </c>
      <c r="H201">
        <v>28231464185</v>
      </c>
      <c r="I201">
        <v>61214810257</v>
      </c>
      <c r="J201">
        <v>81279543792</v>
      </c>
      <c r="K201">
        <v>56222854151</v>
      </c>
      <c r="L201">
        <v>40156518838</v>
      </c>
      <c r="M201">
        <v>26400964070</v>
      </c>
      <c r="N201">
        <v>33213204580</v>
      </c>
      <c r="O201">
        <v>43191030895</v>
      </c>
      <c r="P201">
        <v>18243336654</v>
      </c>
      <c r="Q201">
        <v>38173595647</v>
      </c>
    </row>
    <row r="202" spans="1:17" x14ac:dyDescent="0.35">
      <c r="A202" t="s">
        <v>1958</v>
      </c>
      <c r="B202" t="s">
        <v>192</v>
      </c>
      <c r="C202">
        <v>1604865545</v>
      </c>
      <c r="D202">
        <v>9906951162</v>
      </c>
      <c r="E202">
        <v>2891888619</v>
      </c>
      <c r="F202">
        <v>1807734429</v>
      </c>
      <c r="G202">
        <v>1260679045</v>
      </c>
      <c r="H202">
        <v>2785664721</v>
      </c>
      <c r="I202">
        <v>3590625990</v>
      </c>
      <c r="J202">
        <v>5164493223</v>
      </c>
      <c r="K202">
        <v>3775536104</v>
      </c>
      <c r="L202">
        <v>3223340546</v>
      </c>
      <c r="M202">
        <v>2822772030</v>
      </c>
      <c r="N202">
        <v>3234242506</v>
      </c>
      <c r="O202">
        <v>2986239825</v>
      </c>
      <c r="P202">
        <v>3393859808</v>
      </c>
      <c r="Q202">
        <v>2804674403</v>
      </c>
    </row>
    <row r="203" spans="1:17" x14ac:dyDescent="0.35">
      <c r="A203" t="s">
        <v>1958</v>
      </c>
      <c r="B203" t="s">
        <v>193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7" x14ac:dyDescent="0.35">
      <c r="A204" t="s">
        <v>1958</v>
      </c>
      <c r="B204" t="s">
        <v>194</v>
      </c>
      <c r="C204">
        <v>61653635882</v>
      </c>
      <c r="D204">
        <v>25625966108</v>
      </c>
      <c r="E204">
        <v>31015306031</v>
      </c>
      <c r="F204">
        <v>45725115755</v>
      </c>
      <c r="G204">
        <v>29055014581</v>
      </c>
      <c r="H204">
        <v>25445799464</v>
      </c>
      <c r="I204">
        <v>57624184267</v>
      </c>
      <c r="J204">
        <v>76115050569</v>
      </c>
      <c r="K204">
        <v>52447318047</v>
      </c>
      <c r="L204">
        <v>36933178292</v>
      </c>
      <c r="M204">
        <v>23578192040</v>
      </c>
      <c r="N204">
        <v>29978962074</v>
      </c>
      <c r="O204">
        <v>40204791070</v>
      </c>
      <c r="P204">
        <v>14849476846</v>
      </c>
      <c r="Q204">
        <v>35368921244</v>
      </c>
    </row>
    <row r="205" spans="1:17" x14ac:dyDescent="0.35">
      <c r="A205" t="s">
        <v>1958</v>
      </c>
      <c r="B205" t="s">
        <v>195</v>
      </c>
      <c r="C205">
        <v>61653635882</v>
      </c>
      <c r="D205">
        <v>25625966108</v>
      </c>
      <c r="E205">
        <v>31015306031</v>
      </c>
      <c r="F205">
        <v>45725115755</v>
      </c>
      <c r="G205">
        <v>29055014581</v>
      </c>
      <c r="H205">
        <v>25445799464</v>
      </c>
      <c r="I205">
        <v>57624184267</v>
      </c>
      <c r="J205">
        <v>76115050569</v>
      </c>
      <c r="K205">
        <v>52447318047</v>
      </c>
      <c r="L205">
        <v>36933178292</v>
      </c>
      <c r="M205">
        <v>23578192040</v>
      </c>
      <c r="N205">
        <v>29978962074</v>
      </c>
      <c r="O205">
        <v>40204791070</v>
      </c>
      <c r="P205">
        <v>14849476846</v>
      </c>
      <c r="Q205">
        <v>35368921244</v>
      </c>
    </row>
    <row r="206" spans="1:17" x14ac:dyDescent="0.35">
      <c r="A206" t="s">
        <v>1958</v>
      </c>
      <c r="B206" t="s">
        <v>196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7" x14ac:dyDescent="0.35">
      <c r="A207" t="s">
        <v>1958</v>
      </c>
      <c r="B207" t="s">
        <v>197</v>
      </c>
      <c r="C207">
        <v>382</v>
      </c>
      <c r="D207">
        <v>149</v>
      </c>
      <c r="E207">
        <v>196</v>
      </c>
      <c r="F207">
        <v>303</v>
      </c>
      <c r="G207">
        <v>154</v>
      </c>
      <c r="H207">
        <v>83</v>
      </c>
      <c r="I207">
        <v>336</v>
      </c>
      <c r="J207">
        <v>441</v>
      </c>
      <c r="K207">
        <v>217</v>
      </c>
      <c r="L207">
        <v>160</v>
      </c>
      <c r="M207">
        <v>115</v>
      </c>
      <c r="N207">
        <v>153</v>
      </c>
      <c r="O207">
        <v>187</v>
      </c>
      <c r="P207">
        <v>42</v>
      </c>
      <c r="Q207">
        <v>178</v>
      </c>
    </row>
    <row r="208" spans="1:17" x14ac:dyDescent="0.35">
      <c r="A208" t="s">
        <v>1958</v>
      </c>
      <c r="B208" t="s">
        <v>198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8" x14ac:dyDescent="0.35">
      <c r="A209" t="s">
        <v>1944</v>
      </c>
      <c r="B209" t="s">
        <v>176</v>
      </c>
      <c r="C209">
        <v>1041523617517</v>
      </c>
      <c r="D209">
        <v>1277827832513</v>
      </c>
      <c r="E209">
        <v>345856824147</v>
      </c>
      <c r="F209">
        <v>1360561514146</v>
      </c>
      <c r="G209">
        <v>1612745369724</v>
      </c>
      <c r="H209">
        <v>309976862475</v>
      </c>
      <c r="I209">
        <v>268525458204</v>
      </c>
      <c r="J209">
        <v>361156131912</v>
      </c>
      <c r="K209">
        <v>403532083324</v>
      </c>
      <c r="L209">
        <v>288836947101</v>
      </c>
      <c r="M209">
        <v>124534709176</v>
      </c>
      <c r="N209">
        <v>144993836421</v>
      </c>
      <c r="O209">
        <v>211018556215</v>
      </c>
      <c r="P209">
        <v>580792443847</v>
      </c>
      <c r="Q209">
        <v>238496624148</v>
      </c>
      <c r="R209">
        <v>362439845493</v>
      </c>
    </row>
    <row r="210" spans="1:18" x14ac:dyDescent="0.35">
      <c r="A210" t="s">
        <v>1944</v>
      </c>
      <c r="B210" t="s">
        <v>177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8" x14ac:dyDescent="0.35">
      <c r="A211" t="s">
        <v>1944</v>
      </c>
      <c r="B211" t="s">
        <v>178</v>
      </c>
      <c r="C211">
        <v>1041523617517</v>
      </c>
      <c r="D211">
        <v>1277827832513</v>
      </c>
      <c r="E211">
        <v>345856824147</v>
      </c>
      <c r="F211">
        <v>1360561514146</v>
      </c>
      <c r="G211">
        <v>1612745369724</v>
      </c>
      <c r="H211">
        <v>309976862475</v>
      </c>
      <c r="I211">
        <v>268525458204</v>
      </c>
      <c r="J211">
        <v>361156131912</v>
      </c>
      <c r="K211">
        <v>403532083324</v>
      </c>
      <c r="L211">
        <v>288836947101</v>
      </c>
      <c r="M211">
        <v>124534709176</v>
      </c>
      <c r="N211">
        <v>144993836421</v>
      </c>
      <c r="O211">
        <v>211018556215</v>
      </c>
      <c r="P211">
        <v>580792443847</v>
      </c>
      <c r="Q211">
        <v>238496624148</v>
      </c>
      <c r="R211">
        <v>362439845493</v>
      </c>
    </row>
    <row r="212" spans="1:18" x14ac:dyDescent="0.35">
      <c r="A212" t="s">
        <v>1944</v>
      </c>
      <c r="B212" t="s">
        <v>179</v>
      </c>
      <c r="C212">
        <v>961990740886</v>
      </c>
      <c r="D212">
        <v>1046735859769</v>
      </c>
      <c r="E212">
        <v>293847856681</v>
      </c>
      <c r="F212">
        <v>1300843749900</v>
      </c>
      <c r="G212">
        <v>1460409923257</v>
      </c>
      <c r="H212">
        <v>253659865806</v>
      </c>
      <c r="I212">
        <v>227971863200</v>
      </c>
      <c r="J212">
        <v>296874770730</v>
      </c>
      <c r="K212">
        <v>361534132957</v>
      </c>
      <c r="L212">
        <v>243322970054</v>
      </c>
      <c r="M212">
        <v>99012371693</v>
      </c>
      <c r="N212">
        <v>107201050338</v>
      </c>
      <c r="O212">
        <v>174726013005</v>
      </c>
      <c r="P212">
        <v>442795358747</v>
      </c>
      <c r="Q212">
        <v>203158510088</v>
      </c>
      <c r="R212">
        <v>320729397557</v>
      </c>
    </row>
    <row r="213" spans="1:18" x14ac:dyDescent="0.35">
      <c r="A213" t="s">
        <v>1944</v>
      </c>
      <c r="B213" t="s">
        <v>180</v>
      </c>
      <c r="C213">
        <v>79532876631</v>
      </c>
      <c r="D213">
        <v>231091972744</v>
      </c>
      <c r="E213">
        <v>52008967466</v>
      </c>
      <c r="F213">
        <v>59717764246</v>
      </c>
      <c r="G213">
        <v>152335446467</v>
      </c>
      <c r="H213">
        <v>56316996669</v>
      </c>
      <c r="I213">
        <v>40553595004</v>
      </c>
      <c r="J213">
        <v>64281361182</v>
      </c>
      <c r="K213">
        <v>41997950367</v>
      </c>
      <c r="L213">
        <v>45513977047</v>
      </c>
      <c r="M213">
        <v>25522337483</v>
      </c>
      <c r="N213">
        <v>37792786083</v>
      </c>
      <c r="O213">
        <v>36292543210</v>
      </c>
      <c r="P213">
        <v>137997085100</v>
      </c>
      <c r="Q213">
        <v>35338114060</v>
      </c>
      <c r="R213">
        <v>41710447936</v>
      </c>
    </row>
    <row r="214" spans="1:18" x14ac:dyDescent="0.35">
      <c r="A214" t="s">
        <v>1944</v>
      </c>
      <c r="B214" t="s">
        <v>181</v>
      </c>
      <c r="C214">
        <v>14294749080</v>
      </c>
      <c r="D214">
        <v>25039789503</v>
      </c>
      <c r="E214">
        <v>8602656485</v>
      </c>
      <c r="F214">
        <v>26504578612</v>
      </c>
      <c r="G214">
        <v>18784252152</v>
      </c>
      <c r="H214">
        <v>7903792052</v>
      </c>
      <c r="I214">
        <v>6169330982</v>
      </c>
      <c r="J214">
        <v>8014095800</v>
      </c>
      <c r="K214">
        <v>6328282059</v>
      </c>
      <c r="L214">
        <v>11942527401</v>
      </c>
      <c r="M214">
        <v>5399253360</v>
      </c>
      <c r="N214">
        <v>5803754963</v>
      </c>
      <c r="O214">
        <v>7479002810</v>
      </c>
      <c r="P214">
        <v>8217922314</v>
      </c>
      <c r="Q214">
        <v>5634410332</v>
      </c>
      <c r="R214">
        <v>3387125582</v>
      </c>
    </row>
    <row r="215" spans="1:18" x14ac:dyDescent="0.35">
      <c r="A215" t="s">
        <v>1944</v>
      </c>
      <c r="B215" t="s">
        <v>182</v>
      </c>
      <c r="C215">
        <v>877985327</v>
      </c>
      <c r="D215">
        <v>1219685768</v>
      </c>
      <c r="E215">
        <v>647780093</v>
      </c>
      <c r="F215">
        <v>4916392019</v>
      </c>
      <c r="G215">
        <v>2679403101</v>
      </c>
      <c r="H215">
        <v>11477233608</v>
      </c>
      <c r="I215">
        <v>4273624033</v>
      </c>
      <c r="J215">
        <v>5397533338</v>
      </c>
      <c r="K215">
        <v>2708657288</v>
      </c>
      <c r="L215">
        <v>425444277</v>
      </c>
      <c r="M215">
        <v>2030839199</v>
      </c>
      <c r="N215">
        <v>2320318397</v>
      </c>
      <c r="O215">
        <v>3218527252</v>
      </c>
      <c r="P215">
        <v>26133015058</v>
      </c>
      <c r="Q215">
        <v>2383794614</v>
      </c>
      <c r="R215">
        <v>2524562715</v>
      </c>
    </row>
    <row r="216" spans="1:18" x14ac:dyDescent="0.35">
      <c r="A216" t="s">
        <v>1944</v>
      </c>
      <c r="B216" t="s">
        <v>183</v>
      </c>
      <c r="C216">
        <v>706773635</v>
      </c>
      <c r="D216">
        <v>941109232</v>
      </c>
      <c r="E216">
        <v>1269993427</v>
      </c>
      <c r="F216">
        <v>1557065794</v>
      </c>
      <c r="G216">
        <v>1416598859</v>
      </c>
      <c r="H216">
        <v>1460012791</v>
      </c>
      <c r="I216">
        <v>1828129989</v>
      </c>
      <c r="J216">
        <v>1739395749</v>
      </c>
      <c r="K216">
        <v>1207242716</v>
      </c>
      <c r="L216">
        <v>1322833409</v>
      </c>
      <c r="M216">
        <v>2026560811</v>
      </c>
      <c r="N216">
        <v>1780567139</v>
      </c>
      <c r="O216">
        <v>1508944245</v>
      </c>
      <c r="P216">
        <v>1517713889</v>
      </c>
      <c r="Q216">
        <v>2370968939</v>
      </c>
      <c r="R216">
        <v>2005181548</v>
      </c>
    </row>
    <row r="217" spans="1:18" x14ac:dyDescent="0.35">
      <c r="A217" t="s">
        <v>1944</v>
      </c>
      <c r="B217" t="s">
        <v>184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8" x14ac:dyDescent="0.35">
      <c r="A218" t="s">
        <v>1944</v>
      </c>
      <c r="B218" t="s">
        <v>185</v>
      </c>
      <c r="C218">
        <v>6215216692</v>
      </c>
      <c r="D218">
        <v>54235140328</v>
      </c>
      <c r="E218">
        <v>320838692</v>
      </c>
      <c r="F218">
        <v>-25593686624</v>
      </c>
      <c r="G218">
        <v>11403491259</v>
      </c>
      <c r="H218">
        <v>-71474418433</v>
      </c>
      <c r="I218">
        <v>-608741333</v>
      </c>
      <c r="J218">
        <v>-1099528706</v>
      </c>
      <c r="K218">
        <v>-467866742</v>
      </c>
      <c r="L218">
        <v>-17776635314</v>
      </c>
      <c r="M218">
        <v>-31014345</v>
      </c>
      <c r="N218">
        <v>93033523</v>
      </c>
      <c r="O218">
        <v>54283228</v>
      </c>
      <c r="P218">
        <v>1615004557</v>
      </c>
      <c r="Q218">
        <v>1071224303</v>
      </c>
      <c r="R218">
        <v>2211394348</v>
      </c>
    </row>
    <row r="219" spans="1:18" x14ac:dyDescent="0.35">
      <c r="A219" t="s">
        <v>1944</v>
      </c>
      <c r="B219" t="s">
        <v>186</v>
      </c>
      <c r="C219">
        <v>27150365637</v>
      </c>
      <c r="D219">
        <v>52857386045</v>
      </c>
      <c r="E219">
        <v>23985008098</v>
      </c>
      <c r="F219">
        <v>34953400697</v>
      </c>
      <c r="G219">
        <v>30211272304</v>
      </c>
      <c r="H219">
        <v>45979110546</v>
      </c>
      <c r="I219">
        <v>26264613414</v>
      </c>
      <c r="J219">
        <v>46870119943</v>
      </c>
      <c r="K219">
        <v>34478917634</v>
      </c>
      <c r="L219">
        <v>48293197559</v>
      </c>
      <c r="M219">
        <v>18152173312</v>
      </c>
      <c r="N219">
        <v>25771297432</v>
      </c>
      <c r="O219">
        <v>19584281214</v>
      </c>
      <c r="P219">
        <v>101521348082</v>
      </c>
      <c r="Q219">
        <v>23768960566</v>
      </c>
      <c r="R219">
        <v>25445939971</v>
      </c>
    </row>
    <row r="220" spans="1:18" x14ac:dyDescent="0.35">
      <c r="A220" t="s">
        <v>1944</v>
      </c>
      <c r="B220" t="s">
        <v>187</v>
      </c>
      <c r="C220">
        <v>59584058055</v>
      </c>
      <c r="D220">
        <v>147819550106</v>
      </c>
      <c r="E220">
        <v>35657997068</v>
      </c>
      <c r="F220">
        <v>71946236766</v>
      </c>
      <c r="G220">
        <v>126825531955</v>
      </c>
      <c r="H220">
        <v>78238863000</v>
      </c>
      <c r="I220">
        <v>16793429872</v>
      </c>
      <c r="J220">
        <v>21127332407</v>
      </c>
      <c r="K220">
        <v>11606524246</v>
      </c>
      <c r="L220">
        <v>26514497926</v>
      </c>
      <c r="M220">
        <v>10769592677</v>
      </c>
      <c r="N220">
        <v>15411891694</v>
      </c>
      <c r="O220">
        <v>20914454326</v>
      </c>
      <c r="P220">
        <v>16945639717</v>
      </c>
      <c r="Q220">
        <v>13748544909</v>
      </c>
      <c r="R220">
        <v>14915676484</v>
      </c>
    </row>
    <row r="221" spans="1:18" x14ac:dyDescent="0.35">
      <c r="A221" t="s">
        <v>1944</v>
      </c>
      <c r="B221" t="s">
        <v>188</v>
      </c>
      <c r="C221">
        <v>3197112859</v>
      </c>
      <c r="D221">
        <v>9193868</v>
      </c>
      <c r="E221">
        <v>0</v>
      </c>
      <c r="F221">
        <v>16408724995</v>
      </c>
      <c r="G221">
        <v>351443753</v>
      </c>
      <c r="H221">
        <v>9718461997</v>
      </c>
      <c r="I221">
        <v>14053113</v>
      </c>
      <c r="J221">
        <v>1479884389</v>
      </c>
      <c r="K221">
        <v>428781253</v>
      </c>
      <c r="L221">
        <v>16882202024</v>
      </c>
      <c r="M221">
        <v>10078422</v>
      </c>
      <c r="N221">
        <v>1845452943</v>
      </c>
      <c r="O221">
        <v>397386259</v>
      </c>
      <c r="P221">
        <v>2258195674</v>
      </c>
      <c r="Q221">
        <v>135992063</v>
      </c>
      <c r="R221">
        <v>739803649</v>
      </c>
    </row>
    <row r="222" spans="1:18" x14ac:dyDescent="0.35">
      <c r="A222" t="s">
        <v>1944</v>
      </c>
      <c r="B222" t="s">
        <v>189</v>
      </c>
      <c r="C222">
        <v>29292933</v>
      </c>
      <c r="D222">
        <v>2037054861</v>
      </c>
      <c r="E222">
        <v>2531292</v>
      </c>
      <c r="F222">
        <v>3621064</v>
      </c>
      <c r="G222">
        <v>574323622</v>
      </c>
      <c r="H222">
        <v>856853469</v>
      </c>
      <c r="I222">
        <v>417199731</v>
      </c>
      <c r="J222">
        <v>433406672</v>
      </c>
      <c r="K222">
        <v>451040252</v>
      </c>
      <c r="L222">
        <v>718800479</v>
      </c>
      <c r="M222">
        <v>59593219</v>
      </c>
      <c r="N222">
        <v>59492555</v>
      </c>
      <c r="O222">
        <v>352929080</v>
      </c>
      <c r="P222">
        <v>2573311376</v>
      </c>
      <c r="Q222">
        <v>64681979</v>
      </c>
      <c r="R222">
        <v>294177881</v>
      </c>
    </row>
    <row r="223" spans="1:18" x14ac:dyDescent="0.35">
      <c r="A223" t="s">
        <v>1944</v>
      </c>
      <c r="B223" t="s">
        <v>190</v>
      </c>
      <c r="C223">
        <v>3167819926</v>
      </c>
      <c r="D223">
        <v>-2027860993</v>
      </c>
      <c r="E223">
        <v>-2531292</v>
      </c>
      <c r="F223">
        <v>16405103931</v>
      </c>
      <c r="G223">
        <v>-222879869</v>
      </c>
      <c r="H223">
        <v>8861608528</v>
      </c>
      <c r="I223">
        <v>-403146618</v>
      </c>
      <c r="J223">
        <v>1046477717</v>
      </c>
      <c r="K223">
        <v>-22258999</v>
      </c>
      <c r="L223">
        <v>16163401545</v>
      </c>
      <c r="M223">
        <v>-49514797</v>
      </c>
      <c r="N223">
        <v>1785960388</v>
      </c>
      <c r="O223">
        <v>44457179</v>
      </c>
      <c r="P223">
        <v>-315115702</v>
      </c>
      <c r="Q223">
        <v>71310084</v>
      </c>
      <c r="R223">
        <v>445625768</v>
      </c>
    </row>
    <row r="224" spans="1:18" x14ac:dyDescent="0.35">
      <c r="A224" t="s">
        <v>1944</v>
      </c>
      <c r="B224" t="s">
        <v>191</v>
      </c>
      <c r="C224">
        <v>62751877981</v>
      </c>
      <c r="D224">
        <v>145791689113</v>
      </c>
      <c r="E224">
        <v>35655465776</v>
      </c>
      <c r="F224">
        <v>88351340697</v>
      </c>
      <c r="G224">
        <v>126602652086</v>
      </c>
      <c r="H224">
        <v>87100471528</v>
      </c>
      <c r="I224">
        <v>16390283254</v>
      </c>
      <c r="J224">
        <v>22173810124</v>
      </c>
      <c r="K224">
        <v>11584265247</v>
      </c>
      <c r="L224">
        <v>42677899471</v>
      </c>
      <c r="M224">
        <v>10720077880</v>
      </c>
      <c r="N224">
        <v>17197852082</v>
      </c>
      <c r="O224">
        <v>20958911505</v>
      </c>
      <c r="P224">
        <v>16630524015</v>
      </c>
      <c r="Q224">
        <v>13819854993</v>
      </c>
      <c r="R224">
        <v>15361302252</v>
      </c>
    </row>
    <row r="225" spans="1:18" x14ac:dyDescent="0.35">
      <c r="A225" t="s">
        <v>1944</v>
      </c>
      <c r="B225" t="s">
        <v>192</v>
      </c>
      <c r="C225">
        <v>11428097368</v>
      </c>
      <c r="D225">
        <v>5469470609</v>
      </c>
      <c r="E225">
        <v>7139675566</v>
      </c>
      <c r="F225">
        <v>16808988622</v>
      </c>
      <c r="G225">
        <v>25330188162</v>
      </c>
      <c r="H225">
        <v>16674628888</v>
      </c>
      <c r="I225">
        <v>3144475743</v>
      </c>
      <c r="J225">
        <v>4145950847</v>
      </c>
      <c r="K225">
        <v>1339313939</v>
      </c>
      <c r="L225">
        <v>7363427384</v>
      </c>
      <c r="M225">
        <v>2225920520</v>
      </c>
      <c r="N225">
        <v>3188705943</v>
      </c>
      <c r="O225">
        <v>3892921020</v>
      </c>
      <c r="P225">
        <v>3185355893</v>
      </c>
      <c r="Q225">
        <v>2455806514</v>
      </c>
      <c r="R225">
        <v>2933496527</v>
      </c>
    </row>
    <row r="226" spans="1:18" x14ac:dyDescent="0.35">
      <c r="A226" t="s">
        <v>1944</v>
      </c>
      <c r="B226" t="s">
        <v>193</v>
      </c>
      <c r="C226">
        <v>64136000</v>
      </c>
      <c r="D226">
        <v>23813831504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295076451</v>
      </c>
      <c r="M226">
        <v>0</v>
      </c>
      <c r="N226">
        <v>0</v>
      </c>
    </row>
    <row r="227" spans="1:18" x14ac:dyDescent="0.35">
      <c r="A227" t="s">
        <v>1944</v>
      </c>
      <c r="B227" t="s">
        <v>194</v>
      </c>
      <c r="C227">
        <v>51259644613</v>
      </c>
      <c r="D227">
        <v>116508387000</v>
      </c>
      <c r="E227">
        <v>28515790210</v>
      </c>
      <c r="F227">
        <v>71542352075</v>
      </c>
      <c r="G227">
        <v>101272463924</v>
      </c>
      <c r="H227">
        <v>70425842640</v>
      </c>
      <c r="I227">
        <v>13245807511</v>
      </c>
      <c r="J227">
        <v>18027859277</v>
      </c>
      <c r="K227">
        <v>10244951308</v>
      </c>
      <c r="L227">
        <v>35019395636</v>
      </c>
      <c r="M227">
        <v>8494157360</v>
      </c>
      <c r="N227">
        <v>14009146139</v>
      </c>
      <c r="O227">
        <v>17065990485</v>
      </c>
      <c r="P227">
        <v>13445168122</v>
      </c>
      <c r="Q227">
        <v>11364048479</v>
      </c>
      <c r="R227">
        <v>12427805725</v>
      </c>
    </row>
    <row r="228" spans="1:18" x14ac:dyDescent="0.35">
      <c r="A228" t="s">
        <v>1944</v>
      </c>
      <c r="B228" t="s">
        <v>195</v>
      </c>
      <c r="C228">
        <v>51259644613</v>
      </c>
      <c r="D228">
        <v>116508387000</v>
      </c>
      <c r="E228">
        <v>28515790210</v>
      </c>
      <c r="F228">
        <v>71542352075</v>
      </c>
      <c r="G228">
        <v>101272463924</v>
      </c>
      <c r="H228">
        <v>70425842640</v>
      </c>
      <c r="I228">
        <v>13245807511</v>
      </c>
      <c r="J228">
        <v>18027859277</v>
      </c>
      <c r="K228">
        <v>10244951308</v>
      </c>
      <c r="L228">
        <v>35019395636</v>
      </c>
      <c r="M228">
        <v>8494157360</v>
      </c>
      <c r="N228">
        <v>14009146139</v>
      </c>
      <c r="O228">
        <v>17065990485</v>
      </c>
      <c r="P228">
        <v>13445168122</v>
      </c>
      <c r="Q228">
        <v>11364048479</v>
      </c>
      <c r="R228">
        <v>12427805725</v>
      </c>
    </row>
    <row r="229" spans="1:18" x14ac:dyDescent="0.35">
      <c r="A229" t="s">
        <v>1944</v>
      </c>
      <c r="B229" t="s">
        <v>196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8" x14ac:dyDescent="0.35">
      <c r="A230" t="s">
        <v>1944</v>
      </c>
      <c r="B230" t="s">
        <v>197</v>
      </c>
      <c r="C230">
        <v>0</v>
      </c>
      <c r="D230">
        <v>0</v>
      </c>
      <c r="E230">
        <v>792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126</v>
      </c>
      <c r="N230">
        <v>0</v>
      </c>
      <c r="Q230">
        <v>168</v>
      </c>
    </row>
    <row r="231" spans="1:18" x14ac:dyDescent="0.35">
      <c r="A231" t="s">
        <v>1944</v>
      </c>
      <c r="B231" t="s">
        <v>198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C0E7-A842-4C94-AD0F-118ECE0F138E}">
  <dimension ref="A1:R421"/>
  <sheetViews>
    <sheetView workbookViewId="0">
      <selection activeCell="B6" sqref="B6"/>
    </sheetView>
  </sheetViews>
  <sheetFormatPr defaultRowHeight="14.5" x14ac:dyDescent="0.35"/>
  <cols>
    <col min="1" max="1" width="16.453125" bestFit="1" customWidth="1"/>
    <col min="2" max="2" width="80.7265625" bestFit="1" customWidth="1"/>
    <col min="3" max="18" width="12.453125" bestFit="1" customWidth="1"/>
  </cols>
  <sheetData>
    <row r="1" spans="1:18" x14ac:dyDescent="0.35">
      <c r="A1" t="s">
        <v>0</v>
      </c>
      <c r="B1" t="s">
        <v>203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199</v>
      </c>
      <c r="P1" t="s">
        <v>200</v>
      </c>
      <c r="Q1" t="s">
        <v>201</v>
      </c>
      <c r="R1" t="s">
        <v>202</v>
      </c>
    </row>
    <row r="2" spans="1:18" x14ac:dyDescent="0.35">
      <c r="A2" t="s">
        <v>1936</v>
      </c>
      <c r="B2" t="s">
        <v>153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8" x14ac:dyDescent="0.35">
      <c r="A3" t="s">
        <v>1936</v>
      </c>
      <c r="B3" t="s">
        <v>1959</v>
      </c>
      <c r="C3">
        <v>465617967139</v>
      </c>
      <c r="D3">
        <v>626173723472</v>
      </c>
      <c r="E3">
        <v>169448819259</v>
      </c>
      <c r="F3">
        <v>292840260991</v>
      </c>
      <c r="G3">
        <v>580870659205</v>
      </c>
      <c r="H3">
        <v>787721413479</v>
      </c>
      <c r="I3">
        <v>362007135216</v>
      </c>
      <c r="J3">
        <v>749248288732</v>
      </c>
      <c r="K3">
        <v>996939667746</v>
      </c>
      <c r="L3">
        <v>1070829813000</v>
      </c>
      <c r="M3">
        <v>95176649058</v>
      </c>
      <c r="N3">
        <v>213707925885</v>
      </c>
      <c r="P3">
        <v>318354915844</v>
      </c>
      <c r="Q3">
        <v>95176649058</v>
      </c>
      <c r="R3">
        <v>207785616224</v>
      </c>
    </row>
    <row r="4" spans="1:18" x14ac:dyDescent="0.35">
      <c r="A4" t="s">
        <v>1936</v>
      </c>
      <c r="B4" t="s">
        <v>1960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8" x14ac:dyDescent="0.35">
      <c r="A5" t="s">
        <v>1936</v>
      </c>
      <c r="B5" t="s">
        <v>1961</v>
      </c>
      <c r="C5">
        <v>216179377391</v>
      </c>
      <c r="D5">
        <v>290434133698</v>
      </c>
      <c r="E5">
        <v>90531182170</v>
      </c>
      <c r="F5">
        <v>208171503764</v>
      </c>
      <c r="G5">
        <v>311491275256</v>
      </c>
      <c r="H5">
        <v>417172074746</v>
      </c>
      <c r="I5">
        <v>106148493982</v>
      </c>
      <c r="J5">
        <v>204982922131</v>
      </c>
      <c r="K5">
        <v>294712502542</v>
      </c>
      <c r="L5">
        <v>414809753186</v>
      </c>
      <c r="M5">
        <v>143177036835</v>
      </c>
      <c r="N5">
        <v>251411494864</v>
      </c>
      <c r="P5">
        <v>443884270781</v>
      </c>
      <c r="Q5">
        <v>143177036835</v>
      </c>
      <c r="R5">
        <v>218395718009</v>
      </c>
    </row>
    <row r="6" spans="1:18" x14ac:dyDescent="0.35">
      <c r="A6" t="s">
        <v>1936</v>
      </c>
      <c r="B6" t="s">
        <v>1962</v>
      </c>
      <c r="C6">
        <v>-15568089191</v>
      </c>
      <c r="D6">
        <v>31930032529</v>
      </c>
      <c r="E6">
        <v>0</v>
      </c>
      <c r="F6">
        <v>972661627</v>
      </c>
      <c r="G6">
        <v>439700426</v>
      </c>
      <c r="H6">
        <v>-49944685944</v>
      </c>
      <c r="I6">
        <v>0</v>
      </c>
      <c r="J6">
        <v>1537559628</v>
      </c>
      <c r="K6">
        <v>1946672011</v>
      </c>
      <c r="L6">
        <v>2339509769</v>
      </c>
      <c r="M6">
        <v>-408906815</v>
      </c>
      <c r="N6">
        <v>-1014539530</v>
      </c>
      <c r="P6">
        <v>354513343</v>
      </c>
      <c r="Q6">
        <v>-408906815</v>
      </c>
      <c r="R6">
        <v>-3963194186</v>
      </c>
    </row>
    <row r="7" spans="1:18" x14ac:dyDescent="0.35">
      <c r="A7" t="s">
        <v>1936</v>
      </c>
      <c r="B7" t="s">
        <v>1963</v>
      </c>
      <c r="C7">
        <v>-7989981974</v>
      </c>
      <c r="D7">
        <v>-663724388</v>
      </c>
      <c r="E7">
        <v>-16786343</v>
      </c>
      <c r="F7">
        <v>1678046669</v>
      </c>
      <c r="G7">
        <v>-875261758</v>
      </c>
      <c r="H7">
        <v>4282992973</v>
      </c>
      <c r="I7">
        <v>-9758939680</v>
      </c>
      <c r="J7">
        <v>11551803322</v>
      </c>
      <c r="K7">
        <v>4026545122</v>
      </c>
      <c r="L7">
        <v>8592715786</v>
      </c>
      <c r="M7">
        <v>-534019350</v>
      </c>
      <c r="N7">
        <v>-4415496896</v>
      </c>
      <c r="P7">
        <v>-17573466990</v>
      </c>
      <c r="Q7">
        <v>-534019350</v>
      </c>
      <c r="R7">
        <v>5459355203</v>
      </c>
    </row>
    <row r="8" spans="1:18" x14ac:dyDescent="0.35">
      <c r="A8" t="s">
        <v>1936</v>
      </c>
      <c r="B8" t="s">
        <v>1964</v>
      </c>
      <c r="C8">
        <v>-36015733374</v>
      </c>
      <c r="D8">
        <v>-398767067679</v>
      </c>
      <c r="E8">
        <v>-21607486957</v>
      </c>
      <c r="F8">
        <v>-44527367474</v>
      </c>
      <c r="G8">
        <v>-80663013392</v>
      </c>
      <c r="H8">
        <v>-125429879895</v>
      </c>
      <c r="I8">
        <v>-64671664336</v>
      </c>
      <c r="J8">
        <v>-121181837172</v>
      </c>
      <c r="K8">
        <v>-152505913930</v>
      </c>
      <c r="L8">
        <v>-186963414157</v>
      </c>
      <c r="M8">
        <v>-19047045020</v>
      </c>
      <c r="N8">
        <v>-65276306872</v>
      </c>
      <c r="P8">
        <v>-185775102857</v>
      </c>
      <c r="Q8">
        <v>-19047045020</v>
      </c>
      <c r="R8">
        <v>-58259967678</v>
      </c>
    </row>
    <row r="9" spans="1:18" x14ac:dyDescent="0.35">
      <c r="A9" t="s">
        <v>1936</v>
      </c>
      <c r="B9" t="s">
        <v>1965</v>
      </c>
      <c r="C9">
        <v>381429800773</v>
      </c>
      <c r="D9">
        <v>516180931400</v>
      </c>
      <c r="E9">
        <v>118590623444</v>
      </c>
      <c r="F9">
        <v>243267440688</v>
      </c>
      <c r="G9">
        <v>359314715680</v>
      </c>
      <c r="H9">
        <v>445257875199</v>
      </c>
      <c r="I9">
        <v>104949982383</v>
      </c>
      <c r="J9">
        <v>207008250174</v>
      </c>
      <c r="K9">
        <v>324903914738</v>
      </c>
      <c r="L9">
        <v>470467142722</v>
      </c>
      <c r="M9">
        <v>191515720944</v>
      </c>
      <c r="N9">
        <v>403607452147</v>
      </c>
      <c r="P9">
        <v>741754262109</v>
      </c>
      <c r="Q9">
        <v>191515720944</v>
      </c>
      <c r="R9">
        <v>321258179919</v>
      </c>
    </row>
    <row r="10" spans="1:18" x14ac:dyDescent="0.35">
      <c r="A10" t="s">
        <v>1936</v>
      </c>
      <c r="B10" t="s">
        <v>1966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-103809408</v>
      </c>
      <c r="R10">
        <v>-1092997607</v>
      </c>
    </row>
    <row r="11" spans="1:18" x14ac:dyDescent="0.35">
      <c r="A11" t="s">
        <v>1936</v>
      </c>
      <c r="B11" t="s">
        <v>1967</v>
      </c>
      <c r="C11">
        <v>1003653340764</v>
      </c>
      <c r="D11">
        <v>1065288029032</v>
      </c>
      <c r="E11">
        <v>356946351573</v>
      </c>
      <c r="F11">
        <v>702402546265</v>
      </c>
      <c r="G11">
        <v>1170578075417</v>
      </c>
      <c r="H11">
        <v>1479059790558</v>
      </c>
      <c r="I11">
        <v>498675007565</v>
      </c>
      <c r="J11">
        <v>1053146986815</v>
      </c>
      <c r="K11">
        <v>1470023388229</v>
      </c>
      <c r="L11">
        <v>1780075520306</v>
      </c>
      <c r="M11">
        <v>409879435652</v>
      </c>
      <c r="N11">
        <v>797916720190</v>
      </c>
      <c r="P11">
        <v>1300999392230</v>
      </c>
      <c r="Q11">
        <v>409879435652</v>
      </c>
      <c r="R11">
        <v>689582709884</v>
      </c>
    </row>
    <row r="12" spans="1:18" x14ac:dyDescent="0.35">
      <c r="A12" t="s">
        <v>1936</v>
      </c>
      <c r="B12" t="s">
        <v>1968</v>
      </c>
      <c r="C12">
        <v>-604404972827</v>
      </c>
      <c r="D12">
        <v>-136069485619</v>
      </c>
      <c r="E12">
        <v>-110835841277</v>
      </c>
      <c r="F12">
        <v>310165745005</v>
      </c>
      <c r="G12">
        <v>-55160494559</v>
      </c>
      <c r="H12">
        <v>-150027778620</v>
      </c>
      <c r="I12">
        <v>-428519131992</v>
      </c>
      <c r="J12">
        <v>-153359956771</v>
      </c>
      <c r="K12">
        <v>96210870805</v>
      </c>
      <c r="L12">
        <v>-475307070815</v>
      </c>
      <c r="M12">
        <v>-329043347069</v>
      </c>
      <c r="N12">
        <v>-2601741218</v>
      </c>
      <c r="P12">
        <v>12820923958</v>
      </c>
      <c r="Q12">
        <v>-329043347069</v>
      </c>
      <c r="R12">
        <v>-944071423095</v>
      </c>
    </row>
    <row r="13" spans="1:18" x14ac:dyDescent="0.35">
      <c r="A13" t="s">
        <v>1936</v>
      </c>
      <c r="B13" t="s">
        <v>1969</v>
      </c>
      <c r="C13">
        <v>-611975361883</v>
      </c>
      <c r="D13">
        <v>-176612703332</v>
      </c>
      <c r="E13">
        <v>29009265016</v>
      </c>
      <c r="F13">
        <v>189236693682</v>
      </c>
      <c r="G13">
        <v>387078181062</v>
      </c>
      <c r="H13">
        <v>250287258382</v>
      </c>
      <c r="I13">
        <v>35640695301</v>
      </c>
      <c r="J13">
        <v>36708906399</v>
      </c>
      <c r="K13">
        <v>-102228599938</v>
      </c>
      <c r="L13">
        <v>-333673600230</v>
      </c>
      <c r="M13">
        <v>70319486583</v>
      </c>
      <c r="N13">
        <v>-297581423868</v>
      </c>
      <c r="P13">
        <v>-1445770336593</v>
      </c>
      <c r="Q13">
        <v>70319486583</v>
      </c>
      <c r="R13">
        <v>243623437236</v>
      </c>
    </row>
    <row r="14" spans="1:18" x14ac:dyDescent="0.35">
      <c r="A14" t="s">
        <v>1936</v>
      </c>
      <c r="B14" t="s">
        <v>1970</v>
      </c>
      <c r="C14">
        <v>-227356901746</v>
      </c>
      <c r="D14">
        <v>-447362665544</v>
      </c>
      <c r="E14">
        <v>150793019651</v>
      </c>
      <c r="F14">
        <v>-236717876028</v>
      </c>
      <c r="G14">
        <v>48828437342</v>
      </c>
      <c r="H14">
        <v>202431459075</v>
      </c>
      <c r="I14">
        <v>-230907265692</v>
      </c>
      <c r="J14">
        <v>-592451434806</v>
      </c>
      <c r="K14">
        <v>-1205411504764</v>
      </c>
      <c r="L14">
        <v>-715577282803</v>
      </c>
      <c r="M14">
        <v>117497976548</v>
      </c>
      <c r="N14">
        <v>28616978540</v>
      </c>
      <c r="P14">
        <v>631069452045</v>
      </c>
      <c r="Q14">
        <v>117497976548</v>
      </c>
      <c r="R14">
        <v>-483819730968</v>
      </c>
    </row>
    <row r="15" spans="1:18" x14ac:dyDescent="0.35">
      <c r="A15" t="s">
        <v>1936</v>
      </c>
      <c r="B15" t="s">
        <v>1971</v>
      </c>
      <c r="C15">
        <v>6476083767</v>
      </c>
      <c r="D15">
        <v>7415337247</v>
      </c>
      <c r="E15">
        <v>4317218638</v>
      </c>
      <c r="F15">
        <v>1453235634</v>
      </c>
      <c r="G15">
        <v>-207373437184</v>
      </c>
      <c r="H15">
        <v>-196252245439</v>
      </c>
      <c r="I15">
        <v>-497878233</v>
      </c>
      <c r="J15">
        <v>7612545991</v>
      </c>
      <c r="K15">
        <v>-6356207728</v>
      </c>
      <c r="L15">
        <v>-16568232734</v>
      </c>
      <c r="M15">
        <v>13355621611</v>
      </c>
      <c r="N15">
        <v>8389129313</v>
      </c>
      <c r="P15">
        <v>1915773567</v>
      </c>
      <c r="Q15">
        <v>13355621611</v>
      </c>
      <c r="R15">
        <v>14779771755</v>
      </c>
    </row>
    <row r="16" spans="1:18" x14ac:dyDescent="0.35">
      <c r="A16" t="s">
        <v>1936</v>
      </c>
      <c r="B16" t="s">
        <v>1972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-5859203741</v>
      </c>
      <c r="M16">
        <v>168566215</v>
      </c>
      <c r="N16">
        <v>618017748</v>
      </c>
      <c r="P16">
        <v>760099533</v>
      </c>
      <c r="Q16">
        <v>168566215</v>
      </c>
      <c r="R16">
        <v>251860700</v>
      </c>
    </row>
    <row r="17" spans="1:18" x14ac:dyDescent="0.35">
      <c r="A17" t="s">
        <v>1936</v>
      </c>
      <c r="B17" t="s">
        <v>1973</v>
      </c>
      <c r="C17">
        <v>-391359750406</v>
      </c>
      <c r="D17">
        <v>-516106232119</v>
      </c>
      <c r="E17">
        <v>-127229814934</v>
      </c>
      <c r="F17">
        <v>-254957335343</v>
      </c>
      <c r="G17">
        <v>-365560968342</v>
      </c>
      <c r="H17">
        <v>-459417593937</v>
      </c>
      <c r="I17">
        <v>-111857419765</v>
      </c>
      <c r="J17">
        <v>-212309745590</v>
      </c>
      <c r="K17">
        <v>-363934916918</v>
      </c>
      <c r="L17">
        <v>-455224913874</v>
      </c>
      <c r="M17">
        <v>-200537726524</v>
      </c>
      <c r="N17">
        <v>-391843014003</v>
      </c>
      <c r="P17">
        <v>-714111472767</v>
      </c>
      <c r="Q17">
        <v>-200537726524</v>
      </c>
      <c r="R17">
        <v>-350239076261</v>
      </c>
    </row>
    <row r="18" spans="1:18" x14ac:dyDescent="0.35">
      <c r="A18" t="s">
        <v>1936</v>
      </c>
      <c r="B18" t="s">
        <v>1974</v>
      </c>
      <c r="C18">
        <v>-28608314623</v>
      </c>
      <c r="D18">
        <v>-29084462823</v>
      </c>
      <c r="E18">
        <v>-10648029150</v>
      </c>
      <c r="F18">
        <v>-22647887455</v>
      </c>
      <c r="G18">
        <v>-44940624676</v>
      </c>
      <c r="H18">
        <v>-23424996825</v>
      </c>
      <c r="I18">
        <v>-13958705523</v>
      </c>
      <c r="J18">
        <v>-40801368876</v>
      </c>
      <c r="K18">
        <v>-41663183478</v>
      </c>
      <c r="L18">
        <v>-44037848573</v>
      </c>
      <c r="M18">
        <v>-50041426840</v>
      </c>
      <c r="N18">
        <v>-80299234831</v>
      </c>
      <c r="P18">
        <v>-122279018737</v>
      </c>
      <c r="Q18">
        <v>-50041426840</v>
      </c>
      <c r="R18">
        <v>-40509848196</v>
      </c>
    </row>
    <row r="19" spans="1:18" x14ac:dyDescent="0.35">
      <c r="A19" t="s">
        <v>1936</v>
      </c>
      <c r="B19" t="s">
        <v>1975</v>
      </c>
      <c r="C19">
        <v>0</v>
      </c>
      <c r="D19">
        <v>0</v>
      </c>
      <c r="E19">
        <v>0</v>
      </c>
      <c r="F19">
        <v>0</v>
      </c>
      <c r="G19">
        <v>0</v>
      </c>
      <c r="H19">
        <v>6735654500</v>
      </c>
      <c r="I19">
        <v>0</v>
      </c>
      <c r="J19">
        <v>2797263900</v>
      </c>
      <c r="K19">
        <v>2633363900</v>
      </c>
      <c r="L19">
        <v>2633363900</v>
      </c>
      <c r="M19">
        <v>0</v>
      </c>
      <c r="N19">
        <v>0</v>
      </c>
    </row>
    <row r="20" spans="1:18" x14ac:dyDescent="0.35">
      <c r="A20" t="s">
        <v>1936</v>
      </c>
      <c r="B20" t="s">
        <v>1976</v>
      </c>
      <c r="C20">
        <v>0</v>
      </c>
      <c r="D20">
        <v>0</v>
      </c>
      <c r="E20">
        <v>0</v>
      </c>
      <c r="F20">
        <v>0</v>
      </c>
      <c r="G20">
        <v>-111800000</v>
      </c>
      <c r="H20">
        <v>-113800000</v>
      </c>
      <c r="I20">
        <v>0</v>
      </c>
      <c r="J20">
        <v>-2633363900</v>
      </c>
      <c r="K20">
        <v>-2000000</v>
      </c>
      <c r="L20">
        <v>-17226378</v>
      </c>
      <c r="M20">
        <v>-2000000</v>
      </c>
      <c r="N20">
        <v>-10500000</v>
      </c>
      <c r="P20">
        <v>-17295842</v>
      </c>
      <c r="Q20">
        <v>-2000000</v>
      </c>
      <c r="R20">
        <v>-60000000</v>
      </c>
    </row>
    <row r="21" spans="1:18" x14ac:dyDescent="0.35">
      <c r="A21" t="s">
        <v>1936</v>
      </c>
      <c r="B21" t="s">
        <v>154</v>
      </c>
      <c r="C21">
        <v>-853575876954</v>
      </c>
      <c r="D21">
        <v>-232532183158</v>
      </c>
      <c r="E21">
        <v>292352169517</v>
      </c>
      <c r="F21">
        <v>688935121760</v>
      </c>
      <c r="G21">
        <v>933337369060</v>
      </c>
      <c r="H21">
        <v>1102542093194</v>
      </c>
      <c r="I21">
        <v>-254782110414</v>
      </c>
      <c r="J21">
        <v>93561250141</v>
      </c>
      <c r="K21">
        <v>-156330415989</v>
      </c>
      <c r="L21">
        <v>-263556494942</v>
      </c>
      <c r="M21">
        <v>31596586176</v>
      </c>
      <c r="N21">
        <v>63204931871</v>
      </c>
      <c r="P21">
        <v>-334612482606</v>
      </c>
      <c r="Q21">
        <v>31596586176</v>
      </c>
      <c r="R21">
        <v>-870462298945</v>
      </c>
    </row>
    <row r="22" spans="1:18" x14ac:dyDescent="0.35">
      <c r="A22" t="s">
        <v>1936</v>
      </c>
      <c r="B22" t="s">
        <v>155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8" x14ac:dyDescent="0.35">
      <c r="A23" t="s">
        <v>1936</v>
      </c>
      <c r="B23" t="s">
        <v>156</v>
      </c>
      <c r="C23">
        <v>-1112287269688</v>
      </c>
      <c r="D23">
        <v>-1703520506488</v>
      </c>
      <c r="E23">
        <v>-218058987206</v>
      </c>
      <c r="F23">
        <v>-450044062756</v>
      </c>
      <c r="G23">
        <v>-589295410570</v>
      </c>
      <c r="H23">
        <v>-612329977113</v>
      </c>
      <c r="I23">
        <v>-228910905007</v>
      </c>
      <c r="J23">
        <v>-286379933236</v>
      </c>
      <c r="K23">
        <v>-1269825754913</v>
      </c>
      <c r="L23">
        <v>-1494234639268</v>
      </c>
      <c r="M23">
        <v>-73112071611</v>
      </c>
      <c r="N23">
        <v>-115954327558</v>
      </c>
      <c r="P23">
        <v>-239719480983</v>
      </c>
      <c r="Q23">
        <v>-73112071611</v>
      </c>
      <c r="R23">
        <v>-86911351449</v>
      </c>
    </row>
    <row r="24" spans="1:18" x14ac:dyDescent="0.35">
      <c r="A24" t="s">
        <v>1936</v>
      </c>
      <c r="B24" t="s">
        <v>157</v>
      </c>
      <c r="C24">
        <v>27463979891</v>
      </c>
      <c r="D24">
        <v>164261288693</v>
      </c>
      <c r="E24">
        <v>26000000000</v>
      </c>
      <c r="F24">
        <v>1916000000</v>
      </c>
      <c r="G24">
        <v>4680000000</v>
      </c>
      <c r="H24">
        <v>6551974823</v>
      </c>
      <c r="I24">
        <v>162871686754</v>
      </c>
      <c r="J24">
        <v>162061686754</v>
      </c>
      <c r="K24">
        <v>172360049247</v>
      </c>
      <c r="L24">
        <v>230936393662</v>
      </c>
      <c r="M24">
        <v>0</v>
      </c>
      <c r="N24">
        <v>5067500000</v>
      </c>
      <c r="P24">
        <v>5067500000</v>
      </c>
      <c r="R24">
        <v>125270908</v>
      </c>
    </row>
    <row r="25" spans="1:18" x14ac:dyDescent="0.35">
      <c r="A25" t="s">
        <v>1936</v>
      </c>
      <c r="B25" t="s">
        <v>158</v>
      </c>
      <c r="C25">
        <v>-626752900687</v>
      </c>
      <c r="D25">
        <v>-1351767900687</v>
      </c>
      <c r="E25">
        <v>-511227500000</v>
      </c>
      <c r="F25">
        <v>-1039114088605</v>
      </c>
      <c r="G25">
        <v>-1638804832451</v>
      </c>
      <c r="H25">
        <v>-2332728025827</v>
      </c>
      <c r="I25">
        <v>-415813055368</v>
      </c>
      <c r="J25">
        <v>-1197593607301</v>
      </c>
      <c r="K25">
        <v>-1621380899575</v>
      </c>
      <c r="L25">
        <v>-2474714575334</v>
      </c>
      <c r="M25">
        <v>-646664633964</v>
      </c>
      <c r="N25">
        <v>-1383702128047</v>
      </c>
      <c r="P25">
        <v>-2395352123859</v>
      </c>
      <c r="Q25">
        <v>-646664633964</v>
      </c>
      <c r="R25">
        <v>-766452355143</v>
      </c>
    </row>
    <row r="26" spans="1:18" x14ac:dyDescent="0.35">
      <c r="A26" t="s">
        <v>1936</v>
      </c>
      <c r="B26" t="s">
        <v>159</v>
      </c>
      <c r="C26">
        <v>1457740441065</v>
      </c>
      <c r="D26">
        <v>1678713441065</v>
      </c>
      <c r="E26">
        <v>497805782854</v>
      </c>
      <c r="F26">
        <v>1150017689559</v>
      </c>
      <c r="G26">
        <v>1577399819264</v>
      </c>
      <c r="H26">
        <v>2257853247049</v>
      </c>
      <c r="I26">
        <v>359311290411</v>
      </c>
      <c r="J26">
        <v>1203145890000</v>
      </c>
      <c r="K26">
        <v>1876164071045</v>
      </c>
      <c r="L26">
        <v>3069467441318</v>
      </c>
      <c r="M26">
        <v>386119666700</v>
      </c>
      <c r="N26">
        <v>822138284126</v>
      </c>
      <c r="P26">
        <v>2434490325492</v>
      </c>
      <c r="Q26">
        <v>386119666700</v>
      </c>
      <c r="R26">
        <v>511446219126</v>
      </c>
    </row>
    <row r="27" spans="1:18" x14ac:dyDescent="0.35">
      <c r="A27" t="s">
        <v>1936</v>
      </c>
      <c r="B27" t="s">
        <v>160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-245161370000</v>
      </c>
    </row>
    <row r="28" spans="1:18" x14ac:dyDescent="0.35">
      <c r="A28" t="s">
        <v>1936</v>
      </c>
      <c r="B28" t="s">
        <v>161</v>
      </c>
      <c r="C28">
        <v>0</v>
      </c>
      <c r="D28">
        <v>0</v>
      </c>
      <c r="E28">
        <v>1978700000</v>
      </c>
      <c r="F28">
        <v>1978700000</v>
      </c>
      <c r="G28">
        <v>1978708401</v>
      </c>
      <c r="H28">
        <v>1978708401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R28">
        <v>67510000000</v>
      </c>
    </row>
    <row r="29" spans="1:18" x14ac:dyDescent="0.35">
      <c r="A29" t="s">
        <v>1936</v>
      </c>
      <c r="B29" t="s">
        <v>162</v>
      </c>
      <c r="C29">
        <v>92713323401</v>
      </c>
      <c r="D29">
        <v>108145786899</v>
      </c>
      <c r="E29">
        <v>21606865966</v>
      </c>
      <c r="F29">
        <v>50157575389</v>
      </c>
      <c r="G29">
        <v>74425768226</v>
      </c>
      <c r="H29">
        <v>108701693833</v>
      </c>
      <c r="I29">
        <v>118186174354</v>
      </c>
      <c r="J29">
        <v>116187922669</v>
      </c>
      <c r="K29">
        <v>190453212778</v>
      </c>
      <c r="L29">
        <v>109554691874</v>
      </c>
      <c r="M29">
        <v>17548122975</v>
      </c>
      <c r="N29">
        <v>48234465870</v>
      </c>
      <c r="P29">
        <v>209761126707</v>
      </c>
      <c r="Q29">
        <v>17548122975</v>
      </c>
      <c r="R29">
        <v>40702945660</v>
      </c>
    </row>
    <row r="30" spans="1:18" x14ac:dyDescent="0.35">
      <c r="A30" t="s">
        <v>1936</v>
      </c>
      <c r="B30" t="s">
        <v>163</v>
      </c>
      <c r="C30">
        <v>-161122426018</v>
      </c>
      <c r="D30">
        <v>-1104167890518</v>
      </c>
      <c r="E30">
        <v>-181895138386</v>
      </c>
      <c r="F30">
        <v>-285088186413</v>
      </c>
      <c r="G30">
        <v>-569615947130</v>
      </c>
      <c r="H30">
        <v>-569972378834</v>
      </c>
      <c r="I30">
        <v>-4354808856</v>
      </c>
      <c r="J30">
        <v>-2578041114</v>
      </c>
      <c r="K30">
        <v>-652229321418</v>
      </c>
      <c r="L30">
        <v>-558990687748</v>
      </c>
      <c r="M30">
        <v>-316108915900</v>
      </c>
      <c r="N30">
        <v>-869377575609</v>
      </c>
      <c r="P30">
        <v>14247347357</v>
      </c>
      <c r="Q30">
        <v>-316108915900</v>
      </c>
      <c r="R30">
        <v>-233579270898</v>
      </c>
    </row>
    <row r="31" spans="1:18" x14ac:dyDescent="0.35">
      <c r="A31" t="s">
        <v>1936</v>
      </c>
      <c r="B31" t="s">
        <v>164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8" x14ac:dyDescent="0.35">
      <c r="A32" t="s">
        <v>1936</v>
      </c>
      <c r="B32" t="s">
        <v>165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15500000000</v>
      </c>
      <c r="L32">
        <v>15500000000</v>
      </c>
      <c r="M32">
        <v>0</v>
      </c>
      <c r="N32">
        <v>0</v>
      </c>
      <c r="R32">
        <v>8330000000</v>
      </c>
    </row>
    <row r="33" spans="1:18" x14ac:dyDescent="0.35">
      <c r="A33" t="s">
        <v>1936</v>
      </c>
      <c r="B33" t="s">
        <v>1977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8" x14ac:dyDescent="0.35">
      <c r="A34" t="s">
        <v>1936</v>
      </c>
      <c r="B34" t="s">
        <v>166</v>
      </c>
      <c r="C34">
        <v>9672680964182</v>
      </c>
      <c r="D34">
        <v>14221840472266</v>
      </c>
      <c r="E34">
        <v>3313450616672</v>
      </c>
      <c r="F34">
        <v>6590198011792</v>
      </c>
      <c r="G34">
        <v>9249095681735</v>
      </c>
      <c r="H34">
        <v>12913025149104</v>
      </c>
      <c r="I34">
        <v>3754667133823</v>
      </c>
      <c r="J34">
        <v>6367899143584</v>
      </c>
      <c r="K34">
        <v>10744630728152</v>
      </c>
      <c r="L34">
        <v>13713227519100</v>
      </c>
      <c r="M34">
        <v>3728925372317</v>
      </c>
      <c r="N34">
        <v>9164633169293</v>
      </c>
      <c r="P34">
        <v>17267448054598</v>
      </c>
      <c r="Q34">
        <v>3728925372317</v>
      </c>
      <c r="R34">
        <v>6134853314127</v>
      </c>
    </row>
    <row r="35" spans="1:18" x14ac:dyDescent="0.35">
      <c r="A35" t="s">
        <v>1936</v>
      </c>
      <c r="B35" t="s">
        <v>167</v>
      </c>
      <c r="C35">
        <v>-8665129928393</v>
      </c>
      <c r="D35">
        <v>-12866611689740</v>
      </c>
      <c r="E35">
        <v>-3587075428927</v>
      </c>
      <c r="F35">
        <v>-6775603493765</v>
      </c>
      <c r="G35">
        <v>-9499840817652</v>
      </c>
      <c r="H35">
        <v>-13360602879659</v>
      </c>
      <c r="I35">
        <v>-3550998153927</v>
      </c>
      <c r="J35">
        <v>-6227577408688</v>
      </c>
      <c r="K35">
        <v>-9485382493668</v>
      </c>
      <c r="L35">
        <v>-11948797919072</v>
      </c>
      <c r="M35">
        <v>-3645917893966</v>
      </c>
      <c r="N35">
        <v>-8822577710057</v>
      </c>
      <c r="P35">
        <v>-16233661531344</v>
      </c>
      <c r="Q35">
        <v>-3645917893966</v>
      </c>
      <c r="R35">
        <v>-5639992772601</v>
      </c>
    </row>
    <row r="36" spans="1:18" x14ac:dyDescent="0.35">
      <c r="A36" t="s">
        <v>1936</v>
      </c>
      <c r="B36" t="s">
        <v>1978</v>
      </c>
      <c r="C36">
        <v>-44412233913</v>
      </c>
      <c r="D36">
        <v>-60556705366</v>
      </c>
      <c r="E36">
        <v>-16768076359</v>
      </c>
      <c r="F36">
        <v>-32962568991</v>
      </c>
      <c r="G36">
        <v>-49885995931</v>
      </c>
      <c r="H36">
        <v>-64124977311</v>
      </c>
      <c r="I36">
        <v>-90390604394</v>
      </c>
      <c r="J36">
        <v>-46351399716</v>
      </c>
      <c r="K36">
        <v>-66568844766</v>
      </c>
      <c r="L36">
        <v>-89509461428</v>
      </c>
      <c r="M36">
        <v>-25295460954</v>
      </c>
      <c r="N36">
        <v>-50637421908</v>
      </c>
      <c r="P36">
        <v>-92469693816</v>
      </c>
      <c r="Q36">
        <v>-25295460954</v>
      </c>
      <c r="R36">
        <v>-40063021908</v>
      </c>
    </row>
    <row r="37" spans="1:18" x14ac:dyDescent="0.35">
      <c r="A37" t="s">
        <v>1936</v>
      </c>
      <c r="B37" t="s">
        <v>168</v>
      </c>
      <c r="C37">
        <v>0</v>
      </c>
      <c r="D37">
        <v>0</v>
      </c>
      <c r="E37">
        <v>-7144950</v>
      </c>
      <c r="F37">
        <v>-20541000</v>
      </c>
      <c r="G37">
        <v>-82164000</v>
      </c>
      <c r="H37">
        <v>-79049209</v>
      </c>
      <c r="I37">
        <v>-7144950</v>
      </c>
      <c r="J37">
        <v>-167439750</v>
      </c>
      <c r="K37">
        <v>-186938710</v>
      </c>
      <c r="L37">
        <v>-637425348420</v>
      </c>
      <c r="M37">
        <v>-8219310141</v>
      </c>
      <c r="N37">
        <v>-8251017266</v>
      </c>
      <c r="P37">
        <v>-110512230317</v>
      </c>
      <c r="Q37">
        <v>-8219310141</v>
      </c>
      <c r="R37">
        <v>-490497907</v>
      </c>
    </row>
    <row r="38" spans="1:18" x14ac:dyDescent="0.35">
      <c r="A38" t="s">
        <v>1936</v>
      </c>
      <c r="B38" t="s">
        <v>169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8" x14ac:dyDescent="0.35">
      <c r="A39" t="s">
        <v>1936</v>
      </c>
      <c r="B39" t="s">
        <v>170</v>
      </c>
      <c r="C39">
        <v>963138801876</v>
      </c>
      <c r="D39">
        <v>1294672077160</v>
      </c>
      <c r="E39">
        <v>-290400033564</v>
      </c>
      <c r="F39">
        <v>-218388591964</v>
      </c>
      <c r="G39">
        <v>-300713295848</v>
      </c>
      <c r="H39">
        <v>-511781757075</v>
      </c>
      <c r="I39">
        <v>113271230552</v>
      </c>
      <c r="J39">
        <v>93802895430</v>
      </c>
      <c r="K39">
        <v>1207992451008</v>
      </c>
      <c r="L39">
        <v>1052994790180</v>
      </c>
      <c r="M39">
        <v>49492707256</v>
      </c>
      <c r="N39">
        <v>283167020062</v>
      </c>
      <c r="P39">
        <v>830804599121</v>
      </c>
      <c r="Q39">
        <v>49492707256</v>
      </c>
      <c r="R39">
        <v>462637021711</v>
      </c>
    </row>
    <row r="40" spans="1:18" x14ac:dyDescent="0.35">
      <c r="A40" t="s">
        <v>1936</v>
      </c>
      <c r="B40" t="s">
        <v>171</v>
      </c>
      <c r="C40">
        <v>-51559501096</v>
      </c>
      <c r="D40">
        <v>-42027996516</v>
      </c>
      <c r="E40">
        <v>-179943002433</v>
      </c>
      <c r="F40">
        <v>185458343383</v>
      </c>
      <c r="G40">
        <v>63008126082</v>
      </c>
      <c r="H40">
        <v>20787957285</v>
      </c>
      <c r="I40">
        <v>-145865688718</v>
      </c>
      <c r="J40">
        <v>184786104457</v>
      </c>
      <c r="K40">
        <v>399432713601</v>
      </c>
      <c r="L40">
        <v>230447607490</v>
      </c>
      <c r="M40">
        <v>-235019622468</v>
      </c>
      <c r="N40">
        <v>-523005623676</v>
      </c>
      <c r="P40">
        <v>510439463872</v>
      </c>
      <c r="Q40">
        <v>-235019622468</v>
      </c>
      <c r="R40">
        <v>-641404548132</v>
      </c>
    </row>
    <row r="41" spans="1:18" x14ac:dyDescent="0.35">
      <c r="A41" t="s">
        <v>1936</v>
      </c>
      <c r="B41" t="s">
        <v>172</v>
      </c>
      <c r="C41">
        <v>822987169585</v>
      </c>
      <c r="D41">
        <v>822987169585</v>
      </c>
      <c r="E41">
        <v>783217339870</v>
      </c>
      <c r="F41">
        <v>783217339870</v>
      </c>
      <c r="G41">
        <v>783217339870</v>
      </c>
      <c r="H41">
        <v>783217339870</v>
      </c>
      <c r="I41">
        <v>585910587193</v>
      </c>
      <c r="J41">
        <v>585910587193</v>
      </c>
      <c r="K41">
        <v>586000201848</v>
      </c>
      <c r="L41">
        <v>586000201848</v>
      </c>
      <c r="M41">
        <v>847857871091</v>
      </c>
      <c r="N41">
        <v>847857871091</v>
      </c>
      <c r="P41">
        <v>847857871091</v>
      </c>
      <c r="Q41">
        <v>847857871091</v>
      </c>
      <c r="R41">
        <v>1365023440747</v>
      </c>
    </row>
    <row r="42" spans="1:18" x14ac:dyDescent="0.35">
      <c r="A42" t="s">
        <v>1936</v>
      </c>
      <c r="B42" t="s">
        <v>173</v>
      </c>
      <c r="C42">
        <v>530111417</v>
      </c>
      <c r="D42">
        <v>527298348</v>
      </c>
      <c r="E42">
        <v>16786343</v>
      </c>
      <c r="F42">
        <v>117572125</v>
      </c>
      <c r="G42">
        <v>376669655</v>
      </c>
      <c r="H42">
        <v>-3451749151</v>
      </c>
      <c r="I42">
        <v>9758939680</v>
      </c>
      <c r="J42">
        <v>12042664604</v>
      </c>
      <c r="K42">
        <v>2258253837</v>
      </c>
      <c r="L42">
        <v>895403779</v>
      </c>
      <c r="M42">
        <v>0</v>
      </c>
      <c r="N42">
        <v>93132123</v>
      </c>
      <c r="P42">
        <v>6730405032</v>
      </c>
      <c r="R42">
        <v>-698886</v>
      </c>
    </row>
    <row r="43" spans="1:18" x14ac:dyDescent="0.35">
      <c r="A43" t="s">
        <v>1936</v>
      </c>
      <c r="B43" t="s">
        <v>174</v>
      </c>
      <c r="C43">
        <v>771957779906</v>
      </c>
      <c r="D43">
        <v>781486471417</v>
      </c>
      <c r="E43">
        <v>603291123780</v>
      </c>
      <c r="F43">
        <v>968793255378</v>
      </c>
      <c r="G43">
        <v>846602135607</v>
      </c>
      <c r="H43">
        <v>800553548004</v>
      </c>
      <c r="I43">
        <v>449803838155</v>
      </c>
      <c r="J43">
        <v>782739356254</v>
      </c>
      <c r="K43">
        <v>987691169286</v>
      </c>
      <c r="L43">
        <v>817343213117</v>
      </c>
      <c r="M43">
        <v>612838248623</v>
      </c>
      <c r="N43">
        <v>324945379538</v>
      </c>
      <c r="P43">
        <v>1365027739995</v>
      </c>
      <c r="Q43">
        <v>612838248623</v>
      </c>
      <c r="R43">
        <v>723618193729</v>
      </c>
    </row>
    <row r="44" spans="1:18" x14ac:dyDescent="0.35">
      <c r="A44" t="s">
        <v>1937</v>
      </c>
      <c r="B44" t="s">
        <v>153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8" x14ac:dyDescent="0.35">
      <c r="A45" t="s">
        <v>1937</v>
      </c>
      <c r="B45" t="s">
        <v>1959</v>
      </c>
      <c r="C45">
        <v>153002921430</v>
      </c>
      <c r="D45">
        <v>379925150178</v>
      </c>
      <c r="E45">
        <v>200084752294</v>
      </c>
      <c r="F45">
        <v>595556643832</v>
      </c>
      <c r="G45">
        <v>868338863633</v>
      </c>
      <c r="H45">
        <v>1210449954752</v>
      </c>
      <c r="I45">
        <v>659280346996</v>
      </c>
      <c r="J45">
        <v>1064023758325</v>
      </c>
      <c r="K45">
        <v>1092004149178</v>
      </c>
      <c r="L45">
        <v>773680596838</v>
      </c>
      <c r="M45">
        <v>35410967845</v>
      </c>
      <c r="N45">
        <v>223363342133</v>
      </c>
      <c r="P45">
        <v>267224466243</v>
      </c>
      <c r="Q45">
        <v>117086690890</v>
      </c>
      <c r="R45">
        <v>503306948022</v>
      </c>
    </row>
    <row r="46" spans="1:18" x14ac:dyDescent="0.35">
      <c r="A46" t="s">
        <v>1937</v>
      </c>
      <c r="B46" t="s">
        <v>1960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8" x14ac:dyDescent="0.35">
      <c r="A47" t="s">
        <v>1937</v>
      </c>
      <c r="B47" t="s">
        <v>1961</v>
      </c>
      <c r="C47">
        <v>41379507697</v>
      </c>
      <c r="D47">
        <v>66979313131</v>
      </c>
      <c r="E47">
        <v>91180573462</v>
      </c>
      <c r="F47">
        <v>238580014650</v>
      </c>
      <c r="G47">
        <v>319565659199</v>
      </c>
      <c r="H47">
        <v>413001289545</v>
      </c>
      <c r="I47">
        <v>155170110711</v>
      </c>
      <c r="J47">
        <v>300366178097</v>
      </c>
      <c r="K47">
        <v>427278947060</v>
      </c>
      <c r="L47">
        <v>563284430657</v>
      </c>
      <c r="M47">
        <v>136919688284</v>
      </c>
      <c r="N47">
        <v>279658904667</v>
      </c>
      <c r="P47">
        <v>614756969715</v>
      </c>
      <c r="Q47">
        <v>165037586256</v>
      </c>
      <c r="R47">
        <v>322227843244</v>
      </c>
    </row>
    <row r="48" spans="1:18" x14ac:dyDescent="0.35">
      <c r="A48" t="s">
        <v>1937</v>
      </c>
      <c r="B48" t="s">
        <v>1962</v>
      </c>
      <c r="C48">
        <v>12880619025</v>
      </c>
      <c r="D48">
        <v>34717633265</v>
      </c>
      <c r="E48">
        <v>0</v>
      </c>
      <c r="F48">
        <v>0</v>
      </c>
      <c r="G48">
        <v>0</v>
      </c>
      <c r="H48">
        <v>8564696074</v>
      </c>
      <c r="I48">
        <v>36161217014</v>
      </c>
      <c r="J48">
        <v>138667931293</v>
      </c>
      <c r="K48">
        <v>120216301639</v>
      </c>
      <c r="L48">
        <v>102787419118</v>
      </c>
      <c r="M48">
        <v>-41515606542</v>
      </c>
      <c r="N48">
        <v>-57559506751</v>
      </c>
      <c r="P48">
        <v>50114593345</v>
      </c>
      <c r="Q48">
        <v>71930475533</v>
      </c>
      <c r="R48">
        <v>186217278346</v>
      </c>
    </row>
    <row r="49" spans="1:18" x14ac:dyDescent="0.35">
      <c r="A49" t="s">
        <v>1937</v>
      </c>
      <c r="B49" t="s">
        <v>1963</v>
      </c>
      <c r="C49">
        <v>30000</v>
      </c>
      <c r="D49">
        <v>202183567</v>
      </c>
      <c r="E49">
        <v>-9333670</v>
      </c>
      <c r="F49">
        <v>-153964036</v>
      </c>
      <c r="G49">
        <v>-1571721025</v>
      </c>
      <c r="H49">
        <v>-4699496654</v>
      </c>
      <c r="I49">
        <v>1674118902</v>
      </c>
      <c r="J49">
        <v>29146782068</v>
      </c>
      <c r="K49">
        <v>46996740358</v>
      </c>
      <c r="L49">
        <v>20006879221</v>
      </c>
      <c r="M49">
        <v>-2119276757</v>
      </c>
      <c r="N49">
        <v>24070261495</v>
      </c>
      <c r="P49">
        <v>106943045040</v>
      </c>
      <c r="Q49">
        <v>58509950053</v>
      </c>
      <c r="R49">
        <v>125150387990</v>
      </c>
    </row>
    <row r="50" spans="1:18" x14ac:dyDescent="0.35">
      <c r="A50" t="s">
        <v>1937</v>
      </c>
      <c r="B50" t="s">
        <v>1964</v>
      </c>
      <c r="C50">
        <v>-309267909575</v>
      </c>
      <c r="D50">
        <v>-793364825573</v>
      </c>
      <c r="E50">
        <v>-290247918706</v>
      </c>
      <c r="F50">
        <v>-995459681514</v>
      </c>
      <c r="G50">
        <v>-1550335644794</v>
      </c>
      <c r="H50">
        <v>-2252636337676</v>
      </c>
      <c r="I50">
        <v>-525906697280</v>
      </c>
      <c r="J50">
        <v>-891866747247</v>
      </c>
      <c r="K50">
        <v>-977770161197</v>
      </c>
      <c r="L50">
        <v>-1112799790521</v>
      </c>
      <c r="M50">
        <v>-50768763343</v>
      </c>
      <c r="N50">
        <v>-139376408703</v>
      </c>
      <c r="P50">
        <v>-360929750248</v>
      </c>
      <c r="Q50">
        <v>11226016490</v>
      </c>
      <c r="R50">
        <v>-27714344306</v>
      </c>
    </row>
    <row r="51" spans="1:18" x14ac:dyDescent="0.35">
      <c r="A51" t="s">
        <v>1937</v>
      </c>
      <c r="B51" t="s">
        <v>1965</v>
      </c>
      <c r="C51">
        <v>193916270584</v>
      </c>
      <c r="D51">
        <v>397352869312</v>
      </c>
      <c r="E51">
        <v>134961790681</v>
      </c>
      <c r="F51">
        <v>348854070952</v>
      </c>
      <c r="G51">
        <v>888084607533</v>
      </c>
      <c r="H51">
        <v>1087628595495</v>
      </c>
      <c r="I51">
        <v>311694883492</v>
      </c>
      <c r="J51">
        <v>719300005134</v>
      </c>
      <c r="K51">
        <v>1005570683870</v>
      </c>
      <c r="L51">
        <v>1385958016606</v>
      </c>
      <c r="M51">
        <v>396772225050</v>
      </c>
      <c r="N51">
        <v>815417526545</v>
      </c>
      <c r="P51">
        <v>1594127029043</v>
      </c>
      <c r="Q51">
        <v>267453057130</v>
      </c>
      <c r="R51">
        <v>557340780558</v>
      </c>
    </row>
    <row r="52" spans="1:18" x14ac:dyDescent="0.35">
      <c r="A52" t="s">
        <v>1937</v>
      </c>
      <c r="B52" t="s">
        <v>1966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8" x14ac:dyDescent="0.35">
      <c r="A53" t="s">
        <v>1937</v>
      </c>
      <c r="B53" t="s">
        <v>1967</v>
      </c>
      <c r="C53">
        <v>91911439161</v>
      </c>
      <c r="D53">
        <v>85812323880</v>
      </c>
      <c r="E53">
        <v>135969864061</v>
      </c>
      <c r="F53">
        <v>187377083884</v>
      </c>
      <c r="G53">
        <v>524081764546</v>
      </c>
      <c r="H53">
        <v>462308701536</v>
      </c>
      <c r="I53">
        <v>638073979835</v>
      </c>
      <c r="J53">
        <v>1359637907670</v>
      </c>
      <c r="K53">
        <v>1714296660908</v>
      </c>
      <c r="L53">
        <v>1732917551919</v>
      </c>
      <c r="M53">
        <v>474699234537</v>
      </c>
      <c r="N53">
        <v>1145574119386</v>
      </c>
      <c r="P53">
        <v>2272236353138</v>
      </c>
      <c r="Q53">
        <v>668791743372</v>
      </c>
      <c r="R53">
        <v>1666528893854</v>
      </c>
    </row>
    <row r="54" spans="1:18" x14ac:dyDescent="0.35">
      <c r="A54" t="s">
        <v>1937</v>
      </c>
      <c r="B54" t="s">
        <v>1968</v>
      </c>
      <c r="C54">
        <v>-5011347323575</v>
      </c>
      <c r="D54">
        <v>-7018409477100</v>
      </c>
      <c r="E54">
        <v>617054906023</v>
      </c>
      <c r="F54">
        <v>-4896547368876</v>
      </c>
      <c r="G54">
        <v>-2255100849464</v>
      </c>
      <c r="H54">
        <v>-1686679167479</v>
      </c>
      <c r="I54">
        <v>-1119946893719</v>
      </c>
      <c r="J54">
        <v>-4796326284339</v>
      </c>
      <c r="K54">
        <v>-3706692149910</v>
      </c>
      <c r="L54">
        <v>-7689051042408</v>
      </c>
      <c r="M54">
        <v>-32529663161</v>
      </c>
      <c r="N54">
        <v>2310877810971</v>
      </c>
      <c r="P54">
        <v>3079160502962</v>
      </c>
      <c r="Q54">
        <v>-289220172233</v>
      </c>
      <c r="R54">
        <v>-1938355633147</v>
      </c>
    </row>
    <row r="55" spans="1:18" x14ac:dyDescent="0.35">
      <c r="A55" t="s">
        <v>1937</v>
      </c>
      <c r="B55" t="s">
        <v>1969</v>
      </c>
      <c r="C55">
        <v>-325931810606</v>
      </c>
      <c r="D55">
        <v>-955099785772</v>
      </c>
      <c r="E55">
        <v>82551696003</v>
      </c>
      <c r="F55">
        <v>152100117084</v>
      </c>
      <c r="G55">
        <v>100195107594</v>
      </c>
      <c r="H55">
        <v>-738252072412</v>
      </c>
      <c r="I55">
        <v>23829712531</v>
      </c>
      <c r="J55">
        <v>-263353696023</v>
      </c>
      <c r="K55">
        <v>-398411625176</v>
      </c>
      <c r="L55">
        <v>-245292700850</v>
      </c>
      <c r="M55">
        <v>-15768461594</v>
      </c>
      <c r="N55">
        <v>6043556837</v>
      </c>
      <c r="P55">
        <v>91484785310</v>
      </c>
      <c r="Q55">
        <v>43690537151</v>
      </c>
      <c r="R55">
        <v>36225402800</v>
      </c>
    </row>
    <row r="56" spans="1:18" x14ac:dyDescent="0.35">
      <c r="A56" t="s">
        <v>1937</v>
      </c>
      <c r="B56" t="s">
        <v>1970</v>
      </c>
      <c r="C56">
        <v>4648606411861</v>
      </c>
      <c r="D56">
        <v>8550695741545</v>
      </c>
      <c r="E56">
        <v>-2104988934762</v>
      </c>
      <c r="F56">
        <v>-2701447308025</v>
      </c>
      <c r="G56">
        <v>-3305423385616</v>
      </c>
      <c r="H56">
        <v>-5194515308714</v>
      </c>
      <c r="I56">
        <v>-1018353559826</v>
      </c>
      <c r="J56">
        <v>2278925234984</v>
      </c>
      <c r="K56">
        <v>1592884717682</v>
      </c>
      <c r="L56">
        <v>3869937871744</v>
      </c>
      <c r="M56">
        <v>409884633416</v>
      </c>
      <c r="N56">
        <v>-1067744452840</v>
      </c>
      <c r="P56">
        <v>-3711417868066</v>
      </c>
      <c r="Q56">
        <v>357749453582</v>
      </c>
      <c r="R56">
        <v>-835275538507</v>
      </c>
    </row>
    <row r="57" spans="1:18" x14ac:dyDescent="0.35">
      <c r="A57" t="s">
        <v>1937</v>
      </c>
      <c r="B57" t="s">
        <v>1971</v>
      </c>
      <c r="C57">
        <v>1444465730700</v>
      </c>
      <c r="D57">
        <v>2309243083812</v>
      </c>
      <c r="E57">
        <v>-45744235605</v>
      </c>
      <c r="F57">
        <v>173377098107</v>
      </c>
      <c r="G57">
        <v>-65058274720</v>
      </c>
      <c r="H57">
        <v>-31959436614</v>
      </c>
      <c r="I57">
        <v>12609347341</v>
      </c>
      <c r="J57">
        <v>-153611774814</v>
      </c>
      <c r="K57">
        <v>-18666866389</v>
      </c>
      <c r="L57">
        <v>39307676585</v>
      </c>
      <c r="M57">
        <v>17506658564</v>
      </c>
      <c r="N57">
        <v>-48875507460</v>
      </c>
      <c r="P57">
        <v>-48741988143</v>
      </c>
      <c r="Q57">
        <v>-27551968798</v>
      </c>
      <c r="R57">
        <v>-128953142572</v>
      </c>
    </row>
    <row r="58" spans="1:18" x14ac:dyDescent="0.35">
      <c r="A58" t="s">
        <v>1937</v>
      </c>
      <c r="B58" t="s">
        <v>1972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955070000000</v>
      </c>
      <c r="M58">
        <v>0</v>
      </c>
      <c r="N58">
        <v>53000000</v>
      </c>
      <c r="P58">
        <v>35428966941</v>
      </c>
      <c r="Q58">
        <v>-489998873891</v>
      </c>
      <c r="R58">
        <v>1126109</v>
      </c>
    </row>
    <row r="59" spans="1:18" x14ac:dyDescent="0.35">
      <c r="A59" t="s">
        <v>1937</v>
      </c>
      <c r="B59" t="s">
        <v>1973</v>
      </c>
      <c r="C59">
        <v>-326449595383</v>
      </c>
      <c r="D59">
        <v>-482875389464</v>
      </c>
      <c r="E59">
        <v>-69421777261</v>
      </c>
      <c r="F59">
        <v>-332746697100</v>
      </c>
      <c r="G59">
        <v>-810444593708</v>
      </c>
      <c r="H59">
        <v>-1026382433392</v>
      </c>
      <c r="I59">
        <v>-236819870216</v>
      </c>
      <c r="J59">
        <v>-609621793536</v>
      </c>
      <c r="K59">
        <v>-858512177904</v>
      </c>
      <c r="L59">
        <v>-1155735872555</v>
      </c>
      <c r="M59">
        <v>-393206865362</v>
      </c>
      <c r="N59">
        <v>-914181037326</v>
      </c>
      <c r="P59">
        <v>-1717839152801</v>
      </c>
      <c r="Q59">
        <v>-295639950407</v>
      </c>
      <c r="R59">
        <v>-544557465966</v>
      </c>
    </row>
    <row r="60" spans="1:18" x14ac:dyDescent="0.35">
      <c r="A60" t="s">
        <v>1937</v>
      </c>
      <c r="B60" t="s">
        <v>1974</v>
      </c>
      <c r="C60">
        <v>-49729970713</v>
      </c>
      <c r="D60">
        <v>-58434948059</v>
      </c>
      <c r="E60">
        <v>-47641314995</v>
      </c>
      <c r="F60">
        <v>-79981992921</v>
      </c>
      <c r="G60">
        <v>-86606063309</v>
      </c>
      <c r="H60">
        <v>-94652341794</v>
      </c>
      <c r="I60">
        <v>-20483435269</v>
      </c>
      <c r="J60">
        <v>-103924429958</v>
      </c>
      <c r="K60">
        <v>-185608800176</v>
      </c>
      <c r="L60">
        <v>-242955407498</v>
      </c>
      <c r="M60">
        <v>-20628244597</v>
      </c>
      <c r="N60">
        <v>-26563486503</v>
      </c>
      <c r="P60">
        <v>-139747975692</v>
      </c>
      <c r="Q60">
        <v>-55588330283</v>
      </c>
      <c r="R60">
        <v>-86418932057</v>
      </c>
    </row>
    <row r="61" spans="1:18" x14ac:dyDescent="0.35">
      <c r="A61" t="s">
        <v>1937</v>
      </c>
      <c r="B61" t="s">
        <v>1975</v>
      </c>
      <c r="C61">
        <v>7500000000</v>
      </c>
      <c r="D61">
        <v>7505960000</v>
      </c>
      <c r="E61">
        <v>0</v>
      </c>
      <c r="F61">
        <v>-1007286497</v>
      </c>
      <c r="G61">
        <v>2980000</v>
      </c>
      <c r="H61">
        <v>3780000</v>
      </c>
      <c r="I61">
        <v>0</v>
      </c>
      <c r="J61">
        <v>5960000</v>
      </c>
      <c r="K61">
        <v>6850000</v>
      </c>
      <c r="L61">
        <v>6850000</v>
      </c>
      <c r="M61">
        <v>900000</v>
      </c>
      <c r="N61">
        <v>513000000</v>
      </c>
      <c r="P61">
        <v>2475697000</v>
      </c>
      <c r="Q61">
        <v>105480000</v>
      </c>
      <c r="R61">
        <v>116260000</v>
      </c>
    </row>
    <row r="62" spans="1:18" x14ac:dyDescent="0.35">
      <c r="A62" t="s">
        <v>1937</v>
      </c>
      <c r="B62" t="s">
        <v>1976</v>
      </c>
      <c r="C62">
        <v>-7795455000</v>
      </c>
      <c r="D62">
        <v>-8778002202</v>
      </c>
      <c r="E62">
        <v>-6996640000</v>
      </c>
      <c r="F62">
        <v>-7607640000</v>
      </c>
      <c r="G62">
        <v>-7607640000</v>
      </c>
      <c r="H62">
        <v>-10138137314</v>
      </c>
      <c r="I62">
        <v>-8783450000</v>
      </c>
      <c r="J62">
        <v>-8266213636</v>
      </c>
      <c r="K62">
        <v>-11547535138</v>
      </c>
      <c r="L62">
        <v>-11802435138</v>
      </c>
      <c r="M62">
        <v>-8198100000</v>
      </c>
      <c r="N62">
        <v>-12881208339</v>
      </c>
      <c r="P62">
        <v>-15354377339</v>
      </c>
      <c r="Q62">
        <v>-10633900000</v>
      </c>
      <c r="R62">
        <v>-11958900000</v>
      </c>
    </row>
    <row r="63" spans="1:18" x14ac:dyDescent="0.35">
      <c r="A63" t="s">
        <v>1937</v>
      </c>
      <c r="B63" t="s">
        <v>154</v>
      </c>
      <c r="C63">
        <v>471229426445</v>
      </c>
      <c r="D63">
        <v>1869734166640</v>
      </c>
      <c r="E63">
        <v>-1439216436536</v>
      </c>
      <c r="F63">
        <v>-7506483994344</v>
      </c>
      <c r="G63">
        <v>-7009310973877</v>
      </c>
      <c r="H63">
        <v>-9314826416183</v>
      </c>
      <c r="I63">
        <v>-1729874169323</v>
      </c>
      <c r="J63">
        <v>-2296535089652</v>
      </c>
      <c r="K63">
        <v>-1872250926103</v>
      </c>
      <c r="L63">
        <v>-2747597508201</v>
      </c>
      <c r="M63">
        <v>431760091803</v>
      </c>
      <c r="N63">
        <v>1392815794726</v>
      </c>
      <c r="P63">
        <v>-152315056690</v>
      </c>
      <c r="Q63">
        <v>-98295981506</v>
      </c>
      <c r="R63">
        <v>-1842647929486</v>
      </c>
    </row>
    <row r="64" spans="1:18" x14ac:dyDescent="0.35">
      <c r="A64" t="s">
        <v>1937</v>
      </c>
      <c r="B64" t="s">
        <v>155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8" x14ac:dyDescent="0.35">
      <c r="A65" t="s">
        <v>1937</v>
      </c>
      <c r="B65" t="s">
        <v>156</v>
      </c>
      <c r="C65">
        <v>-363987256125</v>
      </c>
      <c r="D65">
        <v>-3946623384058</v>
      </c>
      <c r="E65">
        <v>-1244536716986</v>
      </c>
      <c r="F65">
        <v>-2070656628100</v>
      </c>
      <c r="G65">
        <v>-2881529449920</v>
      </c>
      <c r="H65">
        <v>-2121491116312</v>
      </c>
      <c r="I65">
        <v>-348077949587</v>
      </c>
      <c r="J65">
        <v>-2935971256279</v>
      </c>
      <c r="K65">
        <v>-3067490090567</v>
      </c>
      <c r="L65">
        <v>-3554835044206</v>
      </c>
      <c r="M65">
        <v>-29820223325</v>
      </c>
      <c r="N65">
        <v>-135829794248</v>
      </c>
      <c r="P65">
        <v>-253106353926</v>
      </c>
      <c r="Q65">
        <v>-88955323051</v>
      </c>
      <c r="R65">
        <v>-130828928321</v>
      </c>
    </row>
    <row r="66" spans="1:18" x14ac:dyDescent="0.35">
      <c r="A66" t="s">
        <v>1937</v>
      </c>
      <c r="B66" t="s">
        <v>157</v>
      </c>
      <c r="C66">
        <v>53618814</v>
      </c>
      <c r="D66">
        <v>6916318814</v>
      </c>
      <c r="E66">
        <v>0</v>
      </c>
      <c r="F66">
        <v>220218181</v>
      </c>
      <c r="G66">
        <v>1196493438</v>
      </c>
      <c r="H66">
        <v>-13208803145</v>
      </c>
      <c r="I66">
        <v>0</v>
      </c>
      <c r="J66">
        <v>140082386118</v>
      </c>
      <c r="K66">
        <v>76469056181</v>
      </c>
      <c r="L66">
        <v>83702988979</v>
      </c>
      <c r="M66">
        <v>76302389514</v>
      </c>
      <c r="N66">
        <v>1352727272</v>
      </c>
      <c r="P66">
        <v>25401197168</v>
      </c>
      <c r="Q66">
        <v>26096938068</v>
      </c>
      <c r="R66">
        <v>27229248818</v>
      </c>
    </row>
    <row r="67" spans="1:18" x14ac:dyDescent="0.35">
      <c r="A67" t="s">
        <v>1937</v>
      </c>
      <c r="B67" t="s">
        <v>158</v>
      </c>
      <c r="C67">
        <v>-4620000000</v>
      </c>
      <c r="D67">
        <v>-7320000000</v>
      </c>
      <c r="E67">
        <v>-6217380000</v>
      </c>
      <c r="F67">
        <v>-359796649580</v>
      </c>
      <c r="G67">
        <v>-1026799508921</v>
      </c>
      <c r="H67">
        <v>-1102591605032</v>
      </c>
      <c r="I67">
        <v>-63293981316</v>
      </c>
      <c r="J67">
        <v>-1853380028206</v>
      </c>
      <c r="K67">
        <v>-1762491214550</v>
      </c>
      <c r="L67">
        <v>-1967655257379</v>
      </c>
      <c r="M67">
        <v>-121988791211</v>
      </c>
      <c r="N67">
        <v>-38182708770</v>
      </c>
      <c r="P67">
        <v>-596432943144</v>
      </c>
      <c r="Q67">
        <v>-400853000000</v>
      </c>
      <c r="R67">
        <v>-557895128000</v>
      </c>
    </row>
    <row r="68" spans="1:18" x14ac:dyDescent="0.35">
      <c r="A68" t="s">
        <v>1937</v>
      </c>
      <c r="B68" t="s">
        <v>159</v>
      </c>
      <c r="C68">
        <v>1600000000</v>
      </c>
      <c r="D68">
        <v>3770000000</v>
      </c>
      <c r="E68">
        <v>0</v>
      </c>
      <c r="F68">
        <v>0</v>
      </c>
      <c r="G68">
        <v>687061154341</v>
      </c>
      <c r="H68">
        <v>946761879341</v>
      </c>
      <c r="I68">
        <v>629522285000</v>
      </c>
      <c r="J68">
        <v>1579032875979</v>
      </c>
      <c r="K68">
        <v>1842748327266</v>
      </c>
      <c r="L68">
        <v>2174709213268</v>
      </c>
      <c r="M68">
        <v>43979080496</v>
      </c>
      <c r="N68">
        <v>236989765985</v>
      </c>
      <c r="P68">
        <v>842147026918</v>
      </c>
      <c r="Q68">
        <v>45507157208</v>
      </c>
      <c r="R68">
        <v>112880276440</v>
      </c>
    </row>
    <row r="69" spans="1:18" x14ac:dyDescent="0.35">
      <c r="A69" t="s">
        <v>1937</v>
      </c>
      <c r="B69" t="s">
        <v>160</v>
      </c>
      <c r="C69">
        <v>-3096584190616</v>
      </c>
      <c r="D69">
        <v>-1953402155772</v>
      </c>
      <c r="E69">
        <v>0</v>
      </c>
      <c r="F69">
        <v>-1891717099855</v>
      </c>
      <c r="G69">
        <v>-2951011289849</v>
      </c>
      <c r="H69">
        <v>-2288651687099</v>
      </c>
      <c r="I69">
        <v>-3380809804002</v>
      </c>
      <c r="J69">
        <v>-2271182885107</v>
      </c>
      <c r="K69">
        <v>-5860942388336</v>
      </c>
      <c r="L69">
        <v>-7344447138381</v>
      </c>
      <c r="M69">
        <v>-572137961000</v>
      </c>
      <c r="N69">
        <v>-460026265198</v>
      </c>
      <c r="P69">
        <v>-623367419112</v>
      </c>
      <c r="Q69">
        <v>-131806112615</v>
      </c>
      <c r="R69">
        <v>-149258433096</v>
      </c>
    </row>
    <row r="70" spans="1:18" x14ac:dyDescent="0.35">
      <c r="A70" t="s">
        <v>1937</v>
      </c>
      <c r="B70" t="s">
        <v>161</v>
      </c>
      <c r="C70">
        <v>2045582800000</v>
      </c>
      <c r="D70">
        <v>2179348241795</v>
      </c>
      <c r="E70">
        <v>721537228370</v>
      </c>
      <c r="F70">
        <v>2442800000000</v>
      </c>
      <c r="G70">
        <v>2520530290841</v>
      </c>
      <c r="H70">
        <v>3564608889452</v>
      </c>
      <c r="I70">
        <v>345134336196</v>
      </c>
      <c r="J70">
        <v>598571442205</v>
      </c>
      <c r="K70">
        <v>3612569328744</v>
      </c>
      <c r="L70">
        <v>5725807918744</v>
      </c>
      <c r="M70">
        <v>425116517062</v>
      </c>
      <c r="N70">
        <v>415331524728</v>
      </c>
      <c r="P70">
        <v>940379954528</v>
      </c>
      <c r="Q70">
        <v>206402009276</v>
      </c>
      <c r="R70">
        <v>427902009276</v>
      </c>
    </row>
    <row r="71" spans="1:18" x14ac:dyDescent="0.35">
      <c r="A71" t="s">
        <v>1937</v>
      </c>
      <c r="B71" t="s">
        <v>162</v>
      </c>
      <c r="C71">
        <v>156873336938</v>
      </c>
      <c r="D71">
        <v>343327643630</v>
      </c>
      <c r="E71">
        <v>61992740834</v>
      </c>
      <c r="F71">
        <v>279871375361</v>
      </c>
      <c r="G71">
        <v>519054292059</v>
      </c>
      <c r="H71">
        <v>1078059154855</v>
      </c>
      <c r="I71">
        <v>275191010972</v>
      </c>
      <c r="J71">
        <v>16818890890</v>
      </c>
      <c r="K71">
        <v>-27380936732</v>
      </c>
      <c r="L71">
        <v>-69256699448</v>
      </c>
      <c r="M71">
        <v>43209326712</v>
      </c>
      <c r="N71">
        <v>88492256704</v>
      </c>
      <c r="P71">
        <v>273373930338</v>
      </c>
      <c r="Q71">
        <v>45411751999</v>
      </c>
      <c r="R71">
        <v>68615120720</v>
      </c>
    </row>
    <row r="72" spans="1:18" x14ac:dyDescent="0.35">
      <c r="A72" t="s">
        <v>1937</v>
      </c>
      <c r="B72" t="s">
        <v>163</v>
      </c>
      <c r="C72">
        <v>-1261081690989</v>
      </c>
      <c r="D72">
        <v>-3373983335591</v>
      </c>
      <c r="E72">
        <v>-467224127782</v>
      </c>
      <c r="F72">
        <v>-1599278783993</v>
      </c>
      <c r="G72">
        <v>-3131498018011</v>
      </c>
      <c r="H72">
        <v>63486712060</v>
      </c>
      <c r="I72">
        <v>-2542334102737</v>
      </c>
      <c r="J72">
        <v>-4726028574400</v>
      </c>
      <c r="K72">
        <v>-5186517917994</v>
      </c>
      <c r="L72">
        <v>-4951974018423</v>
      </c>
      <c r="M72">
        <v>-135339661752</v>
      </c>
      <c r="N72">
        <v>108127506473</v>
      </c>
      <c r="P72">
        <v>608395392770</v>
      </c>
      <c r="Q72">
        <v>-298196579115</v>
      </c>
      <c r="R72">
        <v>-201355834163</v>
      </c>
    </row>
    <row r="73" spans="1:18" x14ac:dyDescent="0.35">
      <c r="A73" t="s">
        <v>1937</v>
      </c>
      <c r="B73" t="s">
        <v>164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8" x14ac:dyDescent="0.35">
      <c r="A74" t="s">
        <v>1937</v>
      </c>
      <c r="B74" t="s">
        <v>165</v>
      </c>
      <c r="C74">
        <v>280000000000</v>
      </c>
      <c r="D74">
        <v>280000000000</v>
      </c>
      <c r="E74">
        <v>674611800000</v>
      </c>
      <c r="F74">
        <v>674623800000</v>
      </c>
      <c r="G74">
        <v>1650963800000</v>
      </c>
      <c r="H74">
        <v>1992617396000</v>
      </c>
      <c r="I74">
        <v>2907564266000</v>
      </c>
      <c r="J74">
        <v>5013821889982</v>
      </c>
      <c r="K74">
        <v>5019527889982</v>
      </c>
      <c r="L74">
        <v>6034087775380</v>
      </c>
      <c r="M74">
        <v>0</v>
      </c>
      <c r="N74">
        <v>503000000</v>
      </c>
      <c r="P74">
        <v>2899428979979</v>
      </c>
      <c r="Q74">
        <v>145070360000</v>
      </c>
      <c r="R74">
        <v>2812800850000</v>
      </c>
    </row>
    <row r="75" spans="1:18" x14ac:dyDescent="0.35">
      <c r="A75" t="s">
        <v>1937</v>
      </c>
      <c r="B75" t="s">
        <v>1977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-228540000</v>
      </c>
    </row>
    <row r="76" spans="1:18" x14ac:dyDescent="0.35">
      <c r="A76" t="s">
        <v>1937</v>
      </c>
      <c r="B76" t="s">
        <v>166</v>
      </c>
      <c r="C76">
        <v>2944842394774</v>
      </c>
      <c r="D76">
        <v>4333891762025</v>
      </c>
      <c r="E76">
        <v>2653815242793</v>
      </c>
      <c r="F76">
        <v>9924201793347</v>
      </c>
      <c r="G76">
        <v>10868528259888</v>
      </c>
      <c r="H76">
        <v>14197253690579</v>
      </c>
      <c r="I76">
        <v>4028624499968</v>
      </c>
      <c r="J76">
        <v>5219803579462</v>
      </c>
      <c r="K76">
        <v>6426308942713</v>
      </c>
      <c r="L76">
        <v>8121486927744</v>
      </c>
      <c r="M76">
        <v>368682575842</v>
      </c>
      <c r="N76">
        <v>2722359045824</v>
      </c>
      <c r="P76">
        <v>5157293081600</v>
      </c>
      <c r="Q76">
        <v>380632813650</v>
      </c>
      <c r="R76">
        <v>1058883127887</v>
      </c>
    </row>
    <row r="77" spans="1:18" x14ac:dyDescent="0.35">
      <c r="A77" t="s">
        <v>1937</v>
      </c>
      <c r="B77" t="s">
        <v>167</v>
      </c>
      <c r="C77">
        <v>-1726885647619</v>
      </c>
      <c r="D77">
        <v>-2161270511292</v>
      </c>
      <c r="E77">
        <v>-332134316069</v>
      </c>
      <c r="F77">
        <v>-1096717488106</v>
      </c>
      <c r="G77">
        <v>-2293758091096</v>
      </c>
      <c r="H77">
        <v>-6369724999700</v>
      </c>
      <c r="I77">
        <v>-2815033454720</v>
      </c>
      <c r="J77">
        <v>-3335879538766</v>
      </c>
      <c r="K77">
        <v>-3766777999711</v>
      </c>
      <c r="L77">
        <v>-6503163245270</v>
      </c>
      <c r="M77">
        <v>-692755520801</v>
      </c>
      <c r="N77">
        <v>-4114409637842</v>
      </c>
      <c r="P77">
        <v>-832463328744</v>
      </c>
      <c r="Q77">
        <v>-462837805163</v>
      </c>
      <c r="R77">
        <v>-1399647721663</v>
      </c>
    </row>
    <row r="78" spans="1:18" x14ac:dyDescent="0.35">
      <c r="A78" t="s">
        <v>1937</v>
      </c>
      <c r="B78" t="s">
        <v>1978</v>
      </c>
      <c r="C78">
        <v>-874734511</v>
      </c>
      <c r="D78">
        <v>-1166008447</v>
      </c>
      <c r="E78">
        <v>-291273936</v>
      </c>
      <c r="F78">
        <v>-1920868277</v>
      </c>
      <c r="G78">
        <v>-1955604791</v>
      </c>
      <c r="H78">
        <v>-2970639710</v>
      </c>
      <c r="I78">
        <v>-770411175</v>
      </c>
      <c r="J78">
        <v>-2199660178</v>
      </c>
      <c r="K78">
        <v>-3347100327</v>
      </c>
      <c r="L78">
        <v>-4530894648</v>
      </c>
      <c r="M78">
        <v>-1184805606</v>
      </c>
      <c r="N78">
        <v>-3785044264</v>
      </c>
      <c r="P78">
        <v>-8460041673</v>
      </c>
      <c r="Q78">
        <v>-1113373842</v>
      </c>
      <c r="R78">
        <v>-5213422565</v>
      </c>
    </row>
    <row r="79" spans="1:18" x14ac:dyDescent="0.35">
      <c r="A79" t="s">
        <v>1937</v>
      </c>
      <c r="B79" t="s">
        <v>168</v>
      </c>
      <c r="C79">
        <v>-115589105960</v>
      </c>
      <c r="D79">
        <v>-193828827595</v>
      </c>
      <c r="E79">
        <v>-4000000000</v>
      </c>
      <c r="F79">
        <v>-13000000000</v>
      </c>
      <c r="G79">
        <v>-298819480912</v>
      </c>
      <c r="H79">
        <v>-417266399874</v>
      </c>
      <c r="I79">
        <v>-9751221028</v>
      </c>
      <c r="J79">
        <v>-85098706600</v>
      </c>
      <c r="K79">
        <v>-336204287900</v>
      </c>
      <c r="L79">
        <v>-363975732212</v>
      </c>
      <c r="M79">
        <v>0</v>
      </c>
      <c r="N79">
        <v>0</v>
      </c>
      <c r="P79">
        <v>-52441903673</v>
      </c>
      <c r="R79">
        <v>-6286627</v>
      </c>
    </row>
    <row r="80" spans="1:18" x14ac:dyDescent="0.35">
      <c r="A80" t="s">
        <v>1937</v>
      </c>
      <c r="B80" t="s">
        <v>169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8" x14ac:dyDescent="0.35">
      <c r="A81" t="s">
        <v>1937</v>
      </c>
      <c r="B81" t="s">
        <v>170</v>
      </c>
      <c r="C81">
        <v>1381492906684</v>
      </c>
      <c r="D81">
        <v>2257626414691</v>
      </c>
      <c r="E81">
        <v>2992013452788</v>
      </c>
      <c r="F81">
        <v>9487187236964</v>
      </c>
      <c r="G81">
        <v>9924958883089</v>
      </c>
      <c r="H81">
        <v>9399909047295</v>
      </c>
      <c r="I81">
        <v>4110633679045</v>
      </c>
      <c r="J81">
        <v>6810447563900</v>
      </c>
      <c r="K81">
        <v>7339507444757</v>
      </c>
      <c r="L81">
        <v>7283904830994</v>
      </c>
      <c r="M81">
        <v>-325257750565</v>
      </c>
      <c r="N81">
        <v>-1395332636282</v>
      </c>
      <c r="P81">
        <v>-329041711208</v>
      </c>
      <c r="Q81">
        <v>61751994645</v>
      </c>
      <c r="R81">
        <v>2466816547032</v>
      </c>
    </row>
    <row r="82" spans="1:18" x14ac:dyDescent="0.35">
      <c r="A82" t="s">
        <v>1937</v>
      </c>
      <c r="B82" t="s">
        <v>171</v>
      </c>
      <c r="C82">
        <v>591640642140</v>
      </c>
      <c r="D82">
        <v>753377245740</v>
      </c>
      <c r="E82">
        <v>1085572888470</v>
      </c>
      <c r="F82">
        <v>381424458627</v>
      </c>
      <c r="G82">
        <v>-215850108799</v>
      </c>
      <c r="H82">
        <v>148569343172</v>
      </c>
      <c r="I82">
        <v>-161574593015</v>
      </c>
      <c r="J82">
        <v>-212116100152</v>
      </c>
      <c r="K82">
        <v>280738600660</v>
      </c>
      <c r="L82">
        <v>-415666695630</v>
      </c>
      <c r="M82">
        <v>-28837320514</v>
      </c>
      <c r="N82">
        <v>105610664917</v>
      </c>
      <c r="P82">
        <v>127038624872</v>
      </c>
      <c r="Q82">
        <v>-334740565976</v>
      </c>
      <c r="R82">
        <v>422812783383</v>
      </c>
    </row>
    <row r="83" spans="1:18" x14ac:dyDescent="0.35">
      <c r="A83" t="s">
        <v>1937</v>
      </c>
      <c r="B83" t="s">
        <v>172</v>
      </c>
      <c r="C83">
        <v>150211393104</v>
      </c>
      <c r="D83">
        <v>150211393104</v>
      </c>
      <c r="E83">
        <v>903386455277</v>
      </c>
      <c r="F83">
        <v>903386455277</v>
      </c>
      <c r="G83">
        <v>903386455277</v>
      </c>
      <c r="H83">
        <v>903386455277</v>
      </c>
      <c r="I83">
        <v>1044039648431</v>
      </c>
      <c r="J83">
        <v>1044039648431</v>
      </c>
      <c r="K83">
        <v>1044039648431</v>
      </c>
      <c r="L83">
        <v>1044039648431</v>
      </c>
      <c r="M83">
        <v>629496375653</v>
      </c>
      <c r="N83">
        <v>629496375653</v>
      </c>
      <c r="P83">
        <v>629496375653</v>
      </c>
      <c r="Q83">
        <v>756859464983</v>
      </c>
      <c r="R83">
        <v>756859464983</v>
      </c>
    </row>
    <row r="84" spans="1:18" x14ac:dyDescent="0.35">
      <c r="A84" t="s">
        <v>1937</v>
      </c>
      <c r="B84" t="s">
        <v>173</v>
      </c>
      <c r="C84">
        <v>-30000</v>
      </c>
      <c r="D84">
        <v>-202183567</v>
      </c>
      <c r="E84">
        <v>9333670</v>
      </c>
      <c r="F84">
        <v>9327670</v>
      </c>
      <c r="G84">
        <v>1571721025</v>
      </c>
      <c r="H84">
        <v>1060995463</v>
      </c>
      <c r="I84">
        <v>-17570957</v>
      </c>
      <c r="J84">
        <v>353712243</v>
      </c>
      <c r="K84">
        <v>527862657</v>
      </c>
      <c r="L84">
        <v>1126318957</v>
      </c>
      <c r="M84">
        <v>-2546253</v>
      </c>
      <c r="N84">
        <v>-385612927</v>
      </c>
      <c r="P84">
        <v>354054995</v>
      </c>
      <c r="Q84">
        <v>120823468</v>
      </c>
      <c r="R84">
        <v>-14198938</v>
      </c>
    </row>
    <row r="85" spans="1:18" x14ac:dyDescent="0.35">
      <c r="A85" t="s">
        <v>1937</v>
      </c>
      <c r="B85" t="s">
        <v>174</v>
      </c>
      <c r="C85">
        <v>741852005244</v>
      </c>
      <c r="D85">
        <v>903386455277</v>
      </c>
      <c r="E85">
        <v>1988968677417</v>
      </c>
      <c r="F85">
        <v>1284820241574</v>
      </c>
      <c r="G85">
        <v>689108067503</v>
      </c>
      <c r="H85">
        <v>1053016793912</v>
      </c>
      <c r="I85">
        <v>882447484459</v>
      </c>
      <c r="J85">
        <v>832277260522</v>
      </c>
      <c r="K85">
        <v>1325306111748</v>
      </c>
      <c r="L85">
        <v>629499271758</v>
      </c>
      <c r="M85">
        <v>600656508886</v>
      </c>
      <c r="N85">
        <v>734721427643</v>
      </c>
      <c r="P85">
        <v>756889055520</v>
      </c>
      <c r="Q85">
        <v>422239722475</v>
      </c>
      <c r="R85">
        <v>1179658049428</v>
      </c>
    </row>
    <row r="86" spans="1:18" x14ac:dyDescent="0.35">
      <c r="A86" t="s">
        <v>1938</v>
      </c>
      <c r="B86" t="s">
        <v>153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8" x14ac:dyDescent="0.35">
      <c r="A87" t="s">
        <v>1938</v>
      </c>
      <c r="B87" t="s">
        <v>1959</v>
      </c>
      <c r="C87">
        <v>105723037350</v>
      </c>
      <c r="D87">
        <v>169743567627</v>
      </c>
      <c r="E87">
        <v>25315427966</v>
      </c>
      <c r="F87">
        <v>66523637470</v>
      </c>
      <c r="G87">
        <v>91493981854</v>
      </c>
      <c r="H87">
        <v>0</v>
      </c>
      <c r="I87">
        <v>-1159005003</v>
      </c>
      <c r="J87">
        <v>8880419381</v>
      </c>
      <c r="K87">
        <v>13650215831</v>
      </c>
      <c r="L87">
        <v>77390658934</v>
      </c>
      <c r="M87">
        <v>4574473681</v>
      </c>
      <c r="N87">
        <v>5859035913</v>
      </c>
      <c r="P87">
        <v>-17078066674</v>
      </c>
      <c r="Q87">
        <v>1649533312</v>
      </c>
    </row>
    <row r="88" spans="1:18" x14ac:dyDescent="0.35">
      <c r="A88" t="s">
        <v>1938</v>
      </c>
      <c r="B88" t="s">
        <v>1960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8" x14ac:dyDescent="0.35">
      <c r="A89" t="s">
        <v>1938</v>
      </c>
      <c r="B89" t="s">
        <v>1961</v>
      </c>
      <c r="C89">
        <v>54962676084</v>
      </c>
      <c r="D89">
        <v>79173589469</v>
      </c>
      <c r="E89">
        <v>20282204673</v>
      </c>
      <c r="F89">
        <v>51281563542</v>
      </c>
      <c r="G89">
        <v>50495988551</v>
      </c>
      <c r="H89">
        <v>0</v>
      </c>
      <c r="I89">
        <v>37328918133</v>
      </c>
      <c r="J89">
        <v>74520226080</v>
      </c>
      <c r="K89">
        <v>120879923886</v>
      </c>
      <c r="L89">
        <v>120879923886</v>
      </c>
      <c r="M89">
        <v>86035187508</v>
      </c>
      <c r="N89">
        <v>125060050733</v>
      </c>
      <c r="P89">
        <v>169152532981</v>
      </c>
      <c r="Q89">
        <v>42197579688</v>
      </c>
    </row>
    <row r="90" spans="1:18" x14ac:dyDescent="0.35">
      <c r="A90" t="s">
        <v>1938</v>
      </c>
      <c r="B90" t="s">
        <v>1962</v>
      </c>
      <c r="C90">
        <v>0</v>
      </c>
      <c r="D90">
        <v>-505526780</v>
      </c>
      <c r="E90">
        <v>-35726780</v>
      </c>
      <c r="F90">
        <v>-135726780</v>
      </c>
      <c r="G90">
        <v>-135726780</v>
      </c>
      <c r="H90">
        <v>0</v>
      </c>
      <c r="I90">
        <v>0</v>
      </c>
      <c r="J90">
        <v>-319580623</v>
      </c>
      <c r="K90">
        <v>-319580623</v>
      </c>
      <c r="L90">
        <v>-319580623</v>
      </c>
      <c r="M90">
        <v>0</v>
      </c>
      <c r="N90">
        <v>0</v>
      </c>
    </row>
    <row r="91" spans="1:18" x14ac:dyDescent="0.35">
      <c r="A91" t="s">
        <v>1938</v>
      </c>
      <c r="B91" t="s">
        <v>1963</v>
      </c>
      <c r="C91">
        <v>0</v>
      </c>
      <c r="D91">
        <v>0</v>
      </c>
      <c r="E91">
        <v>0</v>
      </c>
      <c r="F91">
        <v>-5998966750</v>
      </c>
      <c r="G91">
        <v>0</v>
      </c>
      <c r="H91">
        <v>0</v>
      </c>
      <c r="I91">
        <v>0</v>
      </c>
      <c r="J91">
        <v>39840</v>
      </c>
      <c r="K91">
        <v>0</v>
      </c>
      <c r="L91">
        <v>-43529558</v>
      </c>
      <c r="M91">
        <v>0</v>
      </c>
      <c r="N91">
        <v>0</v>
      </c>
      <c r="P91">
        <v>5128273546</v>
      </c>
    </row>
    <row r="92" spans="1:18" x14ac:dyDescent="0.35">
      <c r="A92" t="s">
        <v>1938</v>
      </c>
      <c r="B92" t="s">
        <v>1964</v>
      </c>
      <c r="C92">
        <v>-404056415</v>
      </c>
      <c r="D92">
        <v>-37907799</v>
      </c>
      <c r="E92">
        <v>-2530965502</v>
      </c>
      <c r="F92">
        <v>64397203747</v>
      </c>
      <c r="G92">
        <v>-8007304190</v>
      </c>
      <c r="H92">
        <v>0</v>
      </c>
      <c r="I92">
        <v>-9408261519</v>
      </c>
      <c r="J92">
        <v>-12645178316</v>
      </c>
      <c r="K92">
        <v>-24773428888</v>
      </c>
      <c r="L92">
        <v>-162254986495</v>
      </c>
      <c r="M92">
        <v>-1180932332</v>
      </c>
      <c r="N92">
        <v>-7505622597</v>
      </c>
      <c r="P92">
        <v>-7240835590</v>
      </c>
      <c r="Q92">
        <v>-3876955364</v>
      </c>
    </row>
    <row r="93" spans="1:18" x14ac:dyDescent="0.35">
      <c r="A93" t="s">
        <v>1938</v>
      </c>
      <c r="B93" t="s">
        <v>1965</v>
      </c>
      <c r="C93">
        <v>69683061501</v>
      </c>
      <c r="D93">
        <v>95408104441</v>
      </c>
      <c r="E93">
        <v>28642995757</v>
      </c>
      <c r="F93">
        <v>0</v>
      </c>
      <c r="G93">
        <v>99015471875</v>
      </c>
      <c r="H93">
        <v>0</v>
      </c>
      <c r="I93">
        <v>46035124366</v>
      </c>
      <c r="J93">
        <v>98875713268</v>
      </c>
      <c r="K93">
        <v>153563232208</v>
      </c>
      <c r="L93">
        <v>212869389396</v>
      </c>
      <c r="M93">
        <v>66417949461</v>
      </c>
      <c r="N93">
        <v>137057772996</v>
      </c>
      <c r="P93">
        <v>260560182766</v>
      </c>
      <c r="Q93">
        <v>47644645983</v>
      </c>
    </row>
    <row r="94" spans="1:18" x14ac:dyDescent="0.35">
      <c r="A94" t="s">
        <v>1938</v>
      </c>
      <c r="B94" t="s">
        <v>1966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8" x14ac:dyDescent="0.35">
      <c r="A95" t="s">
        <v>1938</v>
      </c>
      <c r="B95" t="s">
        <v>1967</v>
      </c>
      <c r="C95">
        <v>229964718520</v>
      </c>
      <c r="D95">
        <v>343781826958</v>
      </c>
      <c r="E95">
        <v>71673936113</v>
      </c>
      <c r="F95">
        <v>176067711229</v>
      </c>
      <c r="G95">
        <v>232862411310</v>
      </c>
      <c r="H95">
        <v>0</v>
      </c>
      <c r="I95">
        <v>72796775977</v>
      </c>
      <c r="J95">
        <v>169311599790</v>
      </c>
      <c r="K95">
        <v>263000362414</v>
      </c>
      <c r="L95">
        <v>289186253925</v>
      </c>
      <c r="M95">
        <v>155846678318</v>
      </c>
      <c r="N95">
        <v>260471237045</v>
      </c>
      <c r="P95">
        <v>410522087029</v>
      </c>
      <c r="Q95">
        <v>87614803619</v>
      </c>
    </row>
    <row r="96" spans="1:18" x14ac:dyDescent="0.35">
      <c r="A96" t="s">
        <v>1938</v>
      </c>
      <c r="B96" t="s">
        <v>1968</v>
      </c>
      <c r="C96">
        <v>-154461640654</v>
      </c>
      <c r="D96">
        <v>-621870535010</v>
      </c>
      <c r="E96">
        <v>-11593883142</v>
      </c>
      <c r="F96">
        <v>590937056549</v>
      </c>
      <c r="G96">
        <v>1134009456183</v>
      </c>
      <c r="H96">
        <v>0</v>
      </c>
      <c r="I96">
        <v>376809743394</v>
      </c>
      <c r="J96">
        <v>191224131491</v>
      </c>
      <c r="K96">
        <v>428320385798</v>
      </c>
      <c r="L96">
        <v>390632031130</v>
      </c>
      <c r="M96">
        <v>-125102461775</v>
      </c>
      <c r="N96">
        <v>-72761259140</v>
      </c>
      <c r="P96">
        <v>-708544884888</v>
      </c>
      <c r="Q96">
        <v>-223370713274</v>
      </c>
    </row>
    <row r="97" spans="1:17" x14ac:dyDescent="0.35">
      <c r="A97" t="s">
        <v>1938</v>
      </c>
      <c r="B97" t="s">
        <v>1969</v>
      </c>
      <c r="C97">
        <v>-145337900956</v>
      </c>
      <c r="D97">
        <v>-350125693736</v>
      </c>
      <c r="E97">
        <v>-302460716943</v>
      </c>
      <c r="F97">
        <v>-745135809106</v>
      </c>
      <c r="G97">
        <v>-929122977640</v>
      </c>
      <c r="H97">
        <v>0</v>
      </c>
      <c r="I97">
        <v>-124057320831</v>
      </c>
      <c r="J97">
        <v>-25546381840</v>
      </c>
      <c r="K97">
        <v>-74454268665</v>
      </c>
      <c r="L97">
        <v>-13954097375</v>
      </c>
      <c r="M97">
        <v>30725300027</v>
      </c>
      <c r="N97">
        <v>-69419579018</v>
      </c>
      <c r="P97">
        <v>-16252666881</v>
      </c>
      <c r="Q97">
        <v>-782315059</v>
      </c>
    </row>
    <row r="98" spans="1:17" x14ac:dyDescent="0.35">
      <c r="A98" t="s">
        <v>1938</v>
      </c>
      <c r="B98" t="s">
        <v>1970</v>
      </c>
      <c r="C98">
        <v>305085712400</v>
      </c>
      <c r="D98">
        <v>698249431484</v>
      </c>
      <c r="E98">
        <v>-72835661552</v>
      </c>
      <c r="F98">
        <v>-270246371733</v>
      </c>
      <c r="G98">
        <v>-482842567086</v>
      </c>
      <c r="H98">
        <v>0</v>
      </c>
      <c r="I98">
        <v>-245341227669</v>
      </c>
      <c r="J98">
        <v>-363297753210</v>
      </c>
      <c r="K98">
        <v>-574543523836</v>
      </c>
      <c r="L98">
        <v>-626497198525</v>
      </c>
      <c r="M98">
        <v>-24125597233</v>
      </c>
      <c r="N98">
        <v>-94331968908</v>
      </c>
      <c r="P98">
        <v>989670012612</v>
      </c>
      <c r="Q98">
        <v>64011392409</v>
      </c>
    </row>
    <row r="99" spans="1:17" x14ac:dyDescent="0.35">
      <c r="A99" t="s">
        <v>1938</v>
      </c>
      <c r="B99" t="s">
        <v>1971</v>
      </c>
      <c r="C99">
        <v>1207935096</v>
      </c>
      <c r="D99">
        <v>-7050768345</v>
      </c>
      <c r="E99">
        <v>-6718798660</v>
      </c>
      <c r="F99">
        <v>-26659013505</v>
      </c>
      <c r="G99">
        <v>-25389749659</v>
      </c>
      <c r="H99">
        <v>0</v>
      </c>
      <c r="I99">
        <v>-9033599464</v>
      </c>
      <c r="J99">
        <v>-9835155206</v>
      </c>
      <c r="K99">
        <v>-12751313396</v>
      </c>
      <c r="L99">
        <v>-5174347962</v>
      </c>
      <c r="M99">
        <v>-2569229158</v>
      </c>
      <c r="N99">
        <v>-1715657640</v>
      </c>
      <c r="P99">
        <v>11055855749</v>
      </c>
      <c r="Q99">
        <v>-8933294220</v>
      </c>
    </row>
    <row r="100" spans="1:17" x14ac:dyDescent="0.35">
      <c r="A100" t="s">
        <v>1938</v>
      </c>
      <c r="B100" t="s">
        <v>1972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Q100">
        <v>-67554835105</v>
      </c>
    </row>
    <row r="101" spans="1:17" x14ac:dyDescent="0.35">
      <c r="A101" t="s">
        <v>1938</v>
      </c>
      <c r="B101" t="s">
        <v>1973</v>
      </c>
      <c r="C101">
        <v>-59121294613</v>
      </c>
      <c r="D101">
        <v>-41073866698</v>
      </c>
      <c r="E101">
        <v>-12569228699</v>
      </c>
      <c r="F101">
        <v>-20722182188</v>
      </c>
      <c r="G101">
        <v>-24108559973</v>
      </c>
      <c r="H101">
        <v>0</v>
      </c>
      <c r="I101">
        <v>-46035124366</v>
      </c>
      <c r="J101">
        <v>-98875713268</v>
      </c>
      <c r="K101">
        <v>-29221328845</v>
      </c>
      <c r="L101">
        <v>-212869389396</v>
      </c>
      <c r="M101">
        <v>-66444073624</v>
      </c>
      <c r="N101">
        <v>-137083897159</v>
      </c>
      <c r="P101">
        <v>-240676117807</v>
      </c>
      <c r="Q101">
        <v>-6872342038</v>
      </c>
    </row>
    <row r="102" spans="1:17" x14ac:dyDescent="0.35">
      <c r="A102" t="s">
        <v>1938</v>
      </c>
      <c r="B102" t="s">
        <v>1974</v>
      </c>
      <c r="C102">
        <v>-26714199399</v>
      </c>
      <c r="D102">
        <v>0</v>
      </c>
      <c r="E102">
        <v>11445359563</v>
      </c>
      <c r="F102">
        <v>0</v>
      </c>
      <c r="G102">
        <v>12633456247</v>
      </c>
      <c r="H102">
        <v>0</v>
      </c>
      <c r="I102">
        <v>-4691797475</v>
      </c>
      <c r="J102">
        <v>-7695397475</v>
      </c>
      <c r="K102">
        <v>12633456247</v>
      </c>
      <c r="L102">
        <v>-30328745505</v>
      </c>
      <c r="M102">
        <v>-2366127571</v>
      </c>
      <c r="N102">
        <v>-5836814787</v>
      </c>
      <c r="P102">
        <v>-30041812567</v>
      </c>
    </row>
    <row r="103" spans="1:17" x14ac:dyDescent="0.35">
      <c r="A103" t="s">
        <v>1938</v>
      </c>
      <c r="B103" t="s">
        <v>1975</v>
      </c>
      <c r="C103">
        <v>0</v>
      </c>
      <c r="D103">
        <v>-50368812830</v>
      </c>
      <c r="E103">
        <v>-24150228450</v>
      </c>
      <c r="F103">
        <v>-39359154617</v>
      </c>
      <c r="G103">
        <v>-8153034994</v>
      </c>
      <c r="H103">
        <v>0</v>
      </c>
      <c r="I103">
        <v>11445359563</v>
      </c>
      <c r="J103">
        <v>285853638</v>
      </c>
      <c r="K103">
        <v>-8804214255</v>
      </c>
      <c r="L103">
        <v>4080600000</v>
      </c>
      <c r="M103">
        <v>0</v>
      </c>
      <c r="N103">
        <v>0</v>
      </c>
      <c r="P103">
        <v>100000000</v>
      </c>
    </row>
    <row r="104" spans="1:17" x14ac:dyDescent="0.35">
      <c r="A104" t="s">
        <v>1938</v>
      </c>
      <c r="B104" t="s">
        <v>1976</v>
      </c>
      <c r="C104">
        <v>-76975516190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-5308392371</v>
      </c>
      <c r="J104">
        <v>-8561833002</v>
      </c>
      <c r="K104">
        <v>0</v>
      </c>
      <c r="L104">
        <v>-365385100</v>
      </c>
      <c r="M104">
        <v>-4936582803</v>
      </c>
      <c r="N104">
        <v>-2172435809</v>
      </c>
      <c r="P104">
        <v>-6595008897</v>
      </c>
      <c r="Q104">
        <v>-618000000</v>
      </c>
    </row>
    <row r="105" spans="1:17" x14ac:dyDescent="0.35">
      <c r="A105" t="s">
        <v>1938</v>
      </c>
      <c r="B105" t="s">
        <v>154</v>
      </c>
      <c r="C105">
        <v>73647814205</v>
      </c>
      <c r="D105">
        <v>-123866522618</v>
      </c>
      <c r="E105">
        <v>-375852217527</v>
      </c>
      <c r="F105">
        <v>-399514967118</v>
      </c>
      <c r="G105">
        <v>-169127037486</v>
      </c>
      <c r="H105">
        <v>0</v>
      </c>
      <c r="I105">
        <v>15139057196</v>
      </c>
      <c r="J105">
        <v>-152990649082</v>
      </c>
      <c r="K105">
        <v>-162029519951</v>
      </c>
      <c r="L105">
        <v>-209370878809</v>
      </c>
      <c r="M105">
        <v>-38972093819</v>
      </c>
      <c r="N105">
        <v>-122850375416</v>
      </c>
      <c r="P105">
        <v>409137464351</v>
      </c>
      <c r="Q105">
        <v>-156505303668</v>
      </c>
    </row>
    <row r="106" spans="1:17" x14ac:dyDescent="0.35">
      <c r="A106" t="s">
        <v>1938</v>
      </c>
      <c r="B106" t="s">
        <v>155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7" x14ac:dyDescent="0.35">
      <c r="A107" t="s">
        <v>1938</v>
      </c>
      <c r="B107" t="s">
        <v>156</v>
      </c>
      <c r="C107">
        <v>-128645989296</v>
      </c>
      <c r="D107">
        <v>-54797502075</v>
      </c>
      <c r="E107">
        <v>-304709764195</v>
      </c>
      <c r="F107">
        <v>-659566907553</v>
      </c>
      <c r="G107">
        <v>-1022837202581</v>
      </c>
      <c r="H107">
        <v>0</v>
      </c>
      <c r="I107">
        <v>-36699146560</v>
      </c>
      <c r="J107">
        <v>-57465782956</v>
      </c>
      <c r="K107">
        <v>-93460502683</v>
      </c>
      <c r="L107">
        <v>-102563397955</v>
      </c>
      <c r="M107">
        <v>-559329090</v>
      </c>
      <c r="N107">
        <v>-9390565484</v>
      </c>
      <c r="P107">
        <v>-104607008288</v>
      </c>
      <c r="Q107">
        <v>-3917878759</v>
      </c>
    </row>
    <row r="108" spans="1:17" x14ac:dyDescent="0.35">
      <c r="A108" t="s">
        <v>1938</v>
      </c>
      <c r="B108" t="s">
        <v>157</v>
      </c>
      <c r="C108">
        <v>0</v>
      </c>
      <c r="D108">
        <v>28070950851</v>
      </c>
      <c r="E108">
        <v>820909090</v>
      </c>
      <c r="F108">
        <v>36330632326</v>
      </c>
      <c r="G108">
        <v>36912574841</v>
      </c>
      <c r="H108">
        <v>0</v>
      </c>
      <c r="I108">
        <v>3510000000</v>
      </c>
      <c r="J108">
        <v>35186676354</v>
      </c>
      <c r="K108">
        <v>2364183120</v>
      </c>
      <c r="L108">
        <v>2518518159</v>
      </c>
      <c r="M108">
        <v>13929090909</v>
      </c>
      <c r="N108">
        <v>17435942727</v>
      </c>
      <c r="P108">
        <v>16775517173</v>
      </c>
      <c r="Q108">
        <v>19669266118</v>
      </c>
    </row>
    <row r="109" spans="1:17" x14ac:dyDescent="0.35">
      <c r="A109" t="s">
        <v>1938</v>
      </c>
      <c r="B109" t="s">
        <v>158</v>
      </c>
      <c r="C109">
        <v>-41145000000</v>
      </c>
      <c r="D109">
        <v>-63254293044</v>
      </c>
      <c r="E109">
        <v>-24336441000</v>
      </c>
      <c r="F109">
        <v>-28255039945</v>
      </c>
      <c r="G109">
        <v>-8806618542</v>
      </c>
      <c r="H109">
        <v>0</v>
      </c>
      <c r="I109">
        <v>-5221080446</v>
      </c>
      <c r="J109">
        <v>-516463862176</v>
      </c>
      <c r="K109">
        <v>-544483004953</v>
      </c>
      <c r="L109">
        <v>-563198667199</v>
      </c>
      <c r="M109">
        <v>-860000000</v>
      </c>
      <c r="N109">
        <v>-6780492839</v>
      </c>
      <c r="P109">
        <v>-13342842938</v>
      </c>
      <c r="Q109">
        <v>-2300000000</v>
      </c>
    </row>
    <row r="110" spans="1:17" x14ac:dyDescent="0.35">
      <c r="A110" t="s">
        <v>1938</v>
      </c>
      <c r="B110" t="s">
        <v>159</v>
      </c>
      <c r="C110">
        <v>32594114994</v>
      </c>
      <c r="D110">
        <v>0</v>
      </c>
      <c r="E110">
        <v>1385059965</v>
      </c>
      <c r="F110">
        <v>43442878125</v>
      </c>
      <c r="G110">
        <v>17093258465</v>
      </c>
      <c r="H110">
        <v>0</v>
      </c>
      <c r="I110">
        <v>3452339622</v>
      </c>
      <c r="J110">
        <v>16969440992</v>
      </c>
      <c r="K110">
        <v>26459988492</v>
      </c>
      <c r="L110">
        <v>27030659722</v>
      </c>
      <c r="M110">
        <v>3745827146</v>
      </c>
      <c r="N110">
        <v>20800727146</v>
      </c>
      <c r="P110">
        <v>21045827146</v>
      </c>
      <c r="Q110">
        <v>5461406902</v>
      </c>
    </row>
    <row r="111" spans="1:17" x14ac:dyDescent="0.35">
      <c r="A111" t="s">
        <v>1938</v>
      </c>
      <c r="B111" t="s">
        <v>160</v>
      </c>
      <c r="C111">
        <v>-97283720000</v>
      </c>
      <c r="D111">
        <v>-7465000000</v>
      </c>
      <c r="E111">
        <v>0</v>
      </c>
      <c r="F111">
        <v>-41286441000</v>
      </c>
      <c r="G111">
        <v>-48394639500</v>
      </c>
      <c r="H111">
        <v>0</v>
      </c>
      <c r="I111">
        <v>-9018418630</v>
      </c>
      <c r="J111">
        <v>-30823559000</v>
      </c>
      <c r="K111">
        <v>-31123559000</v>
      </c>
      <c r="L111">
        <v>-53518159000</v>
      </c>
      <c r="M111">
        <v>-212835472600</v>
      </c>
      <c r="N111">
        <v>-221977419590</v>
      </c>
      <c r="P111">
        <v>-212236007495</v>
      </c>
      <c r="Q111">
        <v>-5889958220</v>
      </c>
    </row>
    <row r="112" spans="1:17" x14ac:dyDescent="0.35">
      <c r="A112" t="s">
        <v>1938</v>
      </c>
      <c r="B112" t="s">
        <v>161</v>
      </c>
      <c r="C112">
        <v>0</v>
      </c>
      <c r="D112">
        <v>30875000000</v>
      </c>
      <c r="E112">
        <v>0</v>
      </c>
      <c r="F112">
        <v>600000000</v>
      </c>
      <c r="G112">
        <v>8200000000</v>
      </c>
      <c r="H112">
        <v>0</v>
      </c>
      <c r="I112">
        <v>49173637500</v>
      </c>
      <c r="J112">
        <v>202173637500</v>
      </c>
      <c r="K112">
        <v>212433090000</v>
      </c>
      <c r="L112">
        <v>212433090000</v>
      </c>
      <c r="M112">
        <v>463048617</v>
      </c>
      <c r="N112">
        <v>292114880607</v>
      </c>
      <c r="P112">
        <v>292114880607</v>
      </c>
      <c r="Q112">
        <v>463048617</v>
      </c>
    </row>
    <row r="113" spans="1:17" x14ac:dyDescent="0.35">
      <c r="A113" t="s">
        <v>1938</v>
      </c>
      <c r="B113" t="s">
        <v>162</v>
      </c>
      <c r="C113">
        <v>8046357087</v>
      </c>
      <c r="D113">
        <v>10926887432</v>
      </c>
      <c r="E113">
        <v>1710056412</v>
      </c>
      <c r="F113">
        <v>4553822417</v>
      </c>
      <c r="G113">
        <v>5897391107</v>
      </c>
      <c r="H113">
        <v>0</v>
      </c>
      <c r="I113">
        <v>1122196457</v>
      </c>
      <c r="J113">
        <v>3330783420</v>
      </c>
      <c r="K113">
        <v>4405441103</v>
      </c>
      <c r="L113">
        <v>14069830413</v>
      </c>
      <c r="M113">
        <v>827135916</v>
      </c>
      <c r="N113">
        <v>3556334188</v>
      </c>
      <c r="P113">
        <v>5885257314</v>
      </c>
      <c r="Q113">
        <v>1069154957</v>
      </c>
    </row>
    <row r="114" spans="1:17" x14ac:dyDescent="0.35">
      <c r="A114" t="s">
        <v>1938</v>
      </c>
      <c r="B114" t="s">
        <v>163</v>
      </c>
      <c r="C114">
        <v>-226434237215</v>
      </c>
      <c r="D114">
        <v>-55643956836</v>
      </c>
      <c r="E114">
        <v>-325130179728</v>
      </c>
      <c r="F114">
        <v>-644181055630</v>
      </c>
      <c r="G114">
        <v>-1011935236210</v>
      </c>
      <c r="H114">
        <v>0</v>
      </c>
      <c r="I114">
        <v>6319527943</v>
      </c>
      <c r="J114">
        <v>-382279342220</v>
      </c>
      <c r="K114">
        <v>-423404363921</v>
      </c>
      <c r="L114">
        <v>-463228125861</v>
      </c>
      <c r="M114">
        <v>-195289699102</v>
      </c>
      <c r="N114">
        <v>95759406755</v>
      </c>
      <c r="P114">
        <v>5635623519</v>
      </c>
      <c r="Q114">
        <v>14091990998</v>
      </c>
    </row>
    <row r="115" spans="1:17" x14ac:dyDescent="0.35">
      <c r="A115" t="s">
        <v>1938</v>
      </c>
      <c r="B115" t="s">
        <v>164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7" x14ac:dyDescent="0.35">
      <c r="A116" t="s">
        <v>1938</v>
      </c>
      <c r="B116" t="s">
        <v>165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5273500000</v>
      </c>
      <c r="J116">
        <v>372172500000</v>
      </c>
      <c r="K116">
        <v>373342500000</v>
      </c>
      <c r="L116">
        <v>373342500000</v>
      </c>
      <c r="M116">
        <v>56740200000</v>
      </c>
      <c r="N116">
        <v>56740200000</v>
      </c>
      <c r="P116">
        <v>56740200000</v>
      </c>
      <c r="Q116">
        <v>679000000</v>
      </c>
    </row>
    <row r="117" spans="1:17" x14ac:dyDescent="0.35">
      <c r="A117" t="s">
        <v>1938</v>
      </c>
      <c r="B117" t="s">
        <v>1977</v>
      </c>
      <c r="C117">
        <v>-13935465178</v>
      </c>
      <c r="D117">
        <v>-13935465178</v>
      </c>
      <c r="E117">
        <v>0</v>
      </c>
      <c r="F117">
        <v>0</v>
      </c>
      <c r="G117">
        <v>19783460000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7" x14ac:dyDescent="0.35">
      <c r="A118" t="s">
        <v>1938</v>
      </c>
      <c r="B118" t="s">
        <v>166</v>
      </c>
      <c r="C118">
        <v>1463499547503</v>
      </c>
      <c r="D118">
        <v>2177229295407</v>
      </c>
      <c r="E118">
        <v>1154710582847</v>
      </c>
      <c r="F118">
        <v>2402622802070</v>
      </c>
      <c r="G118">
        <v>3394928019413</v>
      </c>
      <c r="H118">
        <v>0</v>
      </c>
      <c r="I118">
        <v>662588244408</v>
      </c>
      <c r="J118">
        <v>1547059998100</v>
      </c>
      <c r="K118">
        <v>2294277936290</v>
      </c>
      <c r="L118">
        <v>3012214750539</v>
      </c>
      <c r="M118">
        <v>855253895623</v>
      </c>
      <c r="N118">
        <v>1491256758415</v>
      </c>
      <c r="P118">
        <v>2828474270434</v>
      </c>
      <c r="Q118">
        <v>611008483872</v>
      </c>
    </row>
    <row r="119" spans="1:17" x14ac:dyDescent="0.35">
      <c r="A119" t="s">
        <v>1938</v>
      </c>
      <c r="B119" t="s">
        <v>167</v>
      </c>
      <c r="C119">
        <v>-1083849887249</v>
      </c>
      <c r="D119">
        <v>-1758449839161</v>
      </c>
      <c r="E119">
        <v>-506975288269</v>
      </c>
      <c r="F119">
        <v>-1379373513979</v>
      </c>
      <c r="G119">
        <v>-2157412253001</v>
      </c>
      <c r="H119">
        <v>0</v>
      </c>
      <c r="I119">
        <v>-729712638919</v>
      </c>
      <c r="J119">
        <v>-1346872956001</v>
      </c>
      <c r="K119">
        <v>-2085360475073</v>
      </c>
      <c r="L119">
        <v>-2774893108171</v>
      </c>
      <c r="M119">
        <v>-621623377856</v>
      </c>
      <c r="N119">
        <v>-1330670642241</v>
      </c>
      <c r="P119">
        <v>-2649587661307</v>
      </c>
      <c r="Q119">
        <v>-747639186646</v>
      </c>
    </row>
    <row r="120" spans="1:17" x14ac:dyDescent="0.35">
      <c r="A120" t="s">
        <v>1938</v>
      </c>
      <c r="B120" t="s">
        <v>1978</v>
      </c>
      <c r="C120">
        <v>-56477472839</v>
      </c>
      <c r="D120">
        <v>-46423362791</v>
      </c>
      <c r="E120">
        <v>-22470022077</v>
      </c>
      <c r="F120">
        <v>-12979696249</v>
      </c>
      <c r="G120">
        <v>-69682235551</v>
      </c>
      <c r="H120">
        <v>0</v>
      </c>
      <c r="I120">
        <v>-15131455857</v>
      </c>
      <c r="J120">
        <v>-46834673756</v>
      </c>
      <c r="K120">
        <v>-61672418991</v>
      </c>
      <c r="L120">
        <v>-79557758578</v>
      </c>
      <c r="M120">
        <v>-23305838591</v>
      </c>
      <c r="N120">
        <v>-39314394263</v>
      </c>
      <c r="P120">
        <v>-64804707382</v>
      </c>
      <c r="Q120">
        <v>-18219450738</v>
      </c>
    </row>
    <row r="121" spans="1:17" x14ac:dyDescent="0.35">
      <c r="A121" t="s">
        <v>1938</v>
      </c>
      <c r="B121" t="s">
        <v>168</v>
      </c>
      <c r="C121">
        <v>0</v>
      </c>
      <c r="D121">
        <v>-57520765931</v>
      </c>
      <c r="E121">
        <v>0</v>
      </c>
      <c r="F121">
        <v>0</v>
      </c>
      <c r="G121">
        <v>-6270127865</v>
      </c>
      <c r="H121">
        <v>0</v>
      </c>
      <c r="I121">
        <v>0</v>
      </c>
      <c r="J121">
        <v>0</v>
      </c>
      <c r="K121">
        <v>-6270127865</v>
      </c>
      <c r="L121">
        <v>-40869223256</v>
      </c>
      <c r="M121">
        <v>-45843615495</v>
      </c>
      <c r="N121">
        <v>-52096327495</v>
      </c>
      <c r="P121">
        <v>-53505602800</v>
      </c>
      <c r="Q121">
        <v>-15739345400</v>
      </c>
    </row>
    <row r="122" spans="1:17" x14ac:dyDescent="0.35">
      <c r="A122" t="s">
        <v>1938</v>
      </c>
      <c r="B122" t="s">
        <v>169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7" x14ac:dyDescent="0.35">
      <c r="A123" t="s">
        <v>1938</v>
      </c>
      <c r="B123" t="s">
        <v>170</v>
      </c>
      <c r="C123">
        <v>309236722237</v>
      </c>
      <c r="D123">
        <v>300899862346</v>
      </c>
      <c r="E123">
        <v>625265272501</v>
      </c>
      <c r="F123">
        <v>1010269591842</v>
      </c>
      <c r="G123">
        <v>1181346862996</v>
      </c>
      <c r="H123">
        <v>0</v>
      </c>
      <c r="I123">
        <v>-76982350368</v>
      </c>
      <c r="J123">
        <v>525524868343</v>
      </c>
      <c r="K123">
        <v>520587542226</v>
      </c>
      <c r="L123">
        <v>531106383791</v>
      </c>
      <c r="M123">
        <v>221221263681</v>
      </c>
      <c r="N123">
        <v>125915594416</v>
      </c>
      <c r="P123">
        <v>117316498945</v>
      </c>
      <c r="Q123">
        <v>-169910498912</v>
      </c>
    </row>
    <row r="124" spans="1:17" x14ac:dyDescent="0.35">
      <c r="A124" t="s">
        <v>1938</v>
      </c>
      <c r="B124" t="s">
        <v>171</v>
      </c>
      <c r="C124">
        <v>156450299227</v>
      </c>
      <c r="D124">
        <v>121389382892</v>
      </c>
      <c r="E124">
        <v>-75717124754</v>
      </c>
      <c r="F124">
        <v>-33426430906</v>
      </c>
      <c r="G124">
        <v>-19715410700</v>
      </c>
      <c r="H124">
        <v>0</v>
      </c>
      <c r="I124">
        <v>-55523765229</v>
      </c>
      <c r="J124">
        <v>-9745122959</v>
      </c>
      <c r="K124">
        <v>-64846341646</v>
      </c>
      <c r="L124">
        <v>-141492620879</v>
      </c>
      <c r="M124">
        <v>-13040529240</v>
      </c>
      <c r="N124">
        <v>98824625755</v>
      </c>
      <c r="P124">
        <v>532089586815</v>
      </c>
      <c r="Q124">
        <v>-312323811582</v>
      </c>
    </row>
    <row r="125" spans="1:17" x14ac:dyDescent="0.35">
      <c r="A125" t="s">
        <v>1938</v>
      </c>
      <c r="B125" t="s">
        <v>172</v>
      </c>
      <c r="C125">
        <v>236464914224</v>
      </c>
      <c r="D125">
        <v>236464914224</v>
      </c>
      <c r="E125">
        <v>358353732799</v>
      </c>
      <c r="F125">
        <v>358353732799</v>
      </c>
      <c r="G125">
        <v>358353732799</v>
      </c>
      <c r="H125">
        <v>0</v>
      </c>
      <c r="I125">
        <v>312430239372</v>
      </c>
      <c r="J125">
        <v>312430239372</v>
      </c>
      <c r="K125">
        <v>312430239372</v>
      </c>
      <c r="L125">
        <v>312430239372</v>
      </c>
      <c r="M125">
        <v>174638758149</v>
      </c>
      <c r="N125">
        <v>174638758149</v>
      </c>
      <c r="P125">
        <v>174638758149</v>
      </c>
      <c r="Q125">
        <v>701731891550</v>
      </c>
    </row>
    <row r="126" spans="1:17" x14ac:dyDescent="0.35">
      <c r="A126" t="s">
        <v>1938</v>
      </c>
      <c r="B126" t="s">
        <v>173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P126">
        <v>1107024613</v>
      </c>
    </row>
    <row r="127" spans="1:17" x14ac:dyDescent="0.35">
      <c r="A127" t="s">
        <v>1938</v>
      </c>
      <c r="B127" t="s">
        <v>174</v>
      </c>
      <c r="C127">
        <v>392915213451</v>
      </c>
      <c r="D127">
        <v>357854297116</v>
      </c>
      <c r="E127">
        <v>282636608045</v>
      </c>
      <c r="F127">
        <v>324927301893</v>
      </c>
      <c r="G127">
        <v>338638322099</v>
      </c>
      <c r="H127">
        <v>0</v>
      </c>
      <c r="I127">
        <v>256906474143</v>
      </c>
      <c r="J127">
        <v>302685116413</v>
      </c>
      <c r="K127">
        <v>247583897726</v>
      </c>
      <c r="L127">
        <v>170937618493</v>
      </c>
      <c r="M127">
        <v>161598228909</v>
      </c>
      <c r="N127">
        <v>273463383904</v>
      </c>
      <c r="P127">
        <v>707835369577</v>
      </c>
      <c r="Q127">
        <v>389408079968</v>
      </c>
    </row>
    <row r="128" spans="1:17" x14ac:dyDescent="0.35">
      <c r="A128" t="s">
        <v>1939</v>
      </c>
      <c r="B128" t="s">
        <v>153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7" x14ac:dyDescent="0.35">
      <c r="A129" t="s">
        <v>1939</v>
      </c>
      <c r="B129" t="s">
        <v>1959</v>
      </c>
      <c r="C129">
        <v>211138457315</v>
      </c>
      <c r="D129">
        <v>309044268957</v>
      </c>
      <c r="E129">
        <v>82471309466</v>
      </c>
      <c r="F129">
        <v>160932224235</v>
      </c>
      <c r="G129">
        <v>229565648275</v>
      </c>
      <c r="H129">
        <v>368715667090</v>
      </c>
      <c r="I129">
        <v>183093044307</v>
      </c>
      <c r="J129">
        <v>228360561123</v>
      </c>
      <c r="K129">
        <v>385402331896</v>
      </c>
      <c r="L129">
        <v>406766375283</v>
      </c>
      <c r="M129">
        <v>106167288766</v>
      </c>
      <c r="N129">
        <v>122457296386</v>
      </c>
      <c r="O129">
        <v>140363028319</v>
      </c>
      <c r="P129">
        <v>195013743724</v>
      </c>
      <c r="Q129">
        <v>136642952967</v>
      </c>
    </row>
    <row r="130" spans="1:17" x14ac:dyDescent="0.35">
      <c r="A130" t="s">
        <v>1939</v>
      </c>
      <c r="B130" t="s">
        <v>1960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7" x14ac:dyDescent="0.35">
      <c r="A131" t="s">
        <v>1939</v>
      </c>
      <c r="B131" t="s">
        <v>1961</v>
      </c>
      <c r="C131">
        <v>263445895808</v>
      </c>
      <c r="D131">
        <v>350022838523</v>
      </c>
      <c r="E131">
        <v>91717885603</v>
      </c>
      <c r="F131">
        <v>183523959115</v>
      </c>
      <c r="G131">
        <v>273299660475</v>
      </c>
      <c r="H131">
        <v>416875791706</v>
      </c>
      <c r="I131">
        <v>163882457529</v>
      </c>
      <c r="J131">
        <v>325006478867</v>
      </c>
      <c r="K131">
        <v>485751489381</v>
      </c>
      <c r="L131">
        <v>651708999684</v>
      </c>
      <c r="M131">
        <v>146893229890</v>
      </c>
      <c r="N131">
        <v>304447276702</v>
      </c>
      <c r="O131">
        <v>500712210626</v>
      </c>
      <c r="P131">
        <v>678575733497</v>
      </c>
      <c r="Q131">
        <v>198529654762</v>
      </c>
    </row>
    <row r="132" spans="1:17" x14ac:dyDescent="0.35">
      <c r="A132" t="s">
        <v>1939</v>
      </c>
      <c r="B132" t="s">
        <v>1962</v>
      </c>
      <c r="C132">
        <v>-152088086</v>
      </c>
      <c r="D132">
        <v>-428581183</v>
      </c>
      <c r="E132">
        <v>114609542</v>
      </c>
      <c r="F132">
        <v>-576573958</v>
      </c>
      <c r="G132">
        <v>5806870649</v>
      </c>
      <c r="H132">
        <v>-227530094</v>
      </c>
      <c r="I132">
        <v>0</v>
      </c>
      <c r="J132">
        <v>-221084956</v>
      </c>
      <c r="K132">
        <v>-221084956</v>
      </c>
      <c r="L132">
        <v>-1333283454</v>
      </c>
      <c r="M132">
        <v>0</v>
      </c>
      <c r="N132">
        <v>128415301</v>
      </c>
      <c r="O132">
        <v>128415301</v>
      </c>
      <c r="P132">
        <v>263661851</v>
      </c>
      <c r="Q132">
        <v>-58263750</v>
      </c>
    </row>
    <row r="133" spans="1:17" x14ac:dyDescent="0.35">
      <c r="A133" t="s">
        <v>1939</v>
      </c>
      <c r="B133" t="s">
        <v>1963</v>
      </c>
      <c r="C133">
        <v>33599411</v>
      </c>
      <c r="D133">
        <v>86713091</v>
      </c>
      <c r="E133">
        <v>-224933841</v>
      </c>
      <c r="F133">
        <v>-23924413</v>
      </c>
      <c r="G133">
        <v>-9860222620</v>
      </c>
      <c r="H133">
        <v>-8808429584</v>
      </c>
      <c r="I133">
        <v>-8808682147</v>
      </c>
      <c r="J133">
        <v>8946342624</v>
      </c>
      <c r="K133">
        <v>17005133093</v>
      </c>
      <c r="L133">
        <v>22555885425</v>
      </c>
      <c r="M133">
        <v>-4363200</v>
      </c>
      <c r="N133">
        <v>-21490739</v>
      </c>
      <c r="O133">
        <v>-88402600</v>
      </c>
      <c r="P133">
        <v>-155339040</v>
      </c>
      <c r="Q133">
        <v>-22325002</v>
      </c>
    </row>
    <row r="134" spans="1:17" x14ac:dyDescent="0.35">
      <c r="A134" t="s">
        <v>1939</v>
      </c>
      <c r="B134" t="s">
        <v>1964</v>
      </c>
      <c r="C134">
        <v>-23528549593</v>
      </c>
      <c r="D134">
        <v>-31856030856</v>
      </c>
      <c r="E134">
        <v>-6353105310</v>
      </c>
      <c r="F134">
        <v>-13103426988</v>
      </c>
      <c r="G134">
        <v>-3424563905</v>
      </c>
      <c r="H134">
        <v>-105825340808</v>
      </c>
      <c r="I134">
        <v>-7120420604</v>
      </c>
      <c r="J134">
        <v>-12948854577</v>
      </c>
      <c r="K134">
        <v>-185236027520</v>
      </c>
      <c r="L134">
        <v>-161273810415</v>
      </c>
      <c r="M134">
        <v>-1908446809</v>
      </c>
      <c r="N134">
        <v>-16034498149</v>
      </c>
      <c r="O134">
        <v>-35791067757</v>
      </c>
      <c r="P134">
        <v>-96551364230</v>
      </c>
      <c r="Q134">
        <v>-9362589041</v>
      </c>
    </row>
    <row r="135" spans="1:17" x14ac:dyDescent="0.35">
      <c r="A135" t="s">
        <v>1939</v>
      </c>
      <c r="B135" t="s">
        <v>1965</v>
      </c>
      <c r="C135">
        <v>263736847274</v>
      </c>
      <c r="D135">
        <v>349495739497</v>
      </c>
      <c r="E135">
        <v>78188018080</v>
      </c>
      <c r="F135">
        <v>166913503829</v>
      </c>
      <c r="G135">
        <v>250663815625</v>
      </c>
      <c r="H135">
        <v>383781656592</v>
      </c>
      <c r="I135">
        <v>145298468965</v>
      </c>
      <c r="J135">
        <v>290421737893</v>
      </c>
      <c r="K135">
        <v>431171370401</v>
      </c>
      <c r="L135">
        <v>586905106652</v>
      </c>
      <c r="M135">
        <v>178129526093</v>
      </c>
      <c r="N135">
        <v>384053041419</v>
      </c>
      <c r="O135">
        <v>620501148134</v>
      </c>
      <c r="P135">
        <v>841611845899</v>
      </c>
      <c r="Q135">
        <v>241715610003</v>
      </c>
    </row>
    <row r="136" spans="1:17" x14ac:dyDescent="0.35">
      <c r="A136" t="s">
        <v>1939</v>
      </c>
      <c r="B136" t="s">
        <v>1966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-5881691671</v>
      </c>
      <c r="K136">
        <v>2456923477</v>
      </c>
      <c r="L136">
        <v>-7521900587</v>
      </c>
      <c r="M136">
        <v>-3748827899</v>
      </c>
      <c r="N136">
        <v>208986347</v>
      </c>
      <c r="O136">
        <v>5963644853</v>
      </c>
      <c r="P136">
        <v>-5210379437</v>
      </c>
      <c r="Q136">
        <v>637043467</v>
      </c>
    </row>
    <row r="137" spans="1:17" x14ac:dyDescent="0.35">
      <c r="A137" t="s">
        <v>1939</v>
      </c>
      <c r="B137" t="s">
        <v>1967</v>
      </c>
      <c r="C137">
        <v>714674162129</v>
      </c>
      <c r="D137">
        <v>976364948029</v>
      </c>
      <c r="E137">
        <v>245913783540</v>
      </c>
      <c r="F137">
        <v>497665761820</v>
      </c>
      <c r="G137">
        <v>746051208499</v>
      </c>
      <c r="H137">
        <v>1054511814902</v>
      </c>
      <c r="I137">
        <v>476344868050</v>
      </c>
      <c r="J137">
        <v>833683489303</v>
      </c>
      <c r="K137">
        <v>1136330135772</v>
      </c>
      <c r="L137">
        <v>1497807372588</v>
      </c>
      <c r="M137">
        <v>425528406841</v>
      </c>
      <c r="N137">
        <v>795239027267</v>
      </c>
      <c r="O137">
        <v>1231788976876</v>
      </c>
      <c r="P137">
        <v>1613547902264</v>
      </c>
      <c r="Q137">
        <v>568082083406</v>
      </c>
    </row>
    <row r="138" spans="1:17" x14ac:dyDescent="0.35">
      <c r="A138" t="s">
        <v>1939</v>
      </c>
      <c r="B138" t="s">
        <v>1968</v>
      </c>
      <c r="C138">
        <v>-129214721609</v>
      </c>
      <c r="D138">
        <v>-674468338024</v>
      </c>
      <c r="E138">
        <v>135190224380</v>
      </c>
      <c r="F138">
        <v>350575224147</v>
      </c>
      <c r="G138">
        <v>189663147712</v>
      </c>
      <c r="H138">
        <v>577436860654</v>
      </c>
      <c r="I138">
        <v>-174794567744</v>
      </c>
      <c r="J138">
        <v>-66306844532</v>
      </c>
      <c r="K138">
        <v>-258166457398</v>
      </c>
      <c r="L138">
        <v>-305796258749</v>
      </c>
      <c r="M138">
        <v>270368433126</v>
      </c>
      <c r="N138">
        <v>407267907340</v>
      </c>
      <c r="O138">
        <v>74386517769</v>
      </c>
      <c r="P138">
        <v>238281213140</v>
      </c>
      <c r="Q138">
        <v>-237428686755</v>
      </c>
    </row>
    <row r="139" spans="1:17" x14ac:dyDescent="0.35">
      <c r="A139" t="s">
        <v>1939</v>
      </c>
      <c r="B139" t="s">
        <v>1969</v>
      </c>
      <c r="C139">
        <v>96397686072</v>
      </c>
      <c r="D139">
        <v>162293086900</v>
      </c>
      <c r="E139">
        <v>-362968075</v>
      </c>
      <c r="F139">
        <v>-715585255768</v>
      </c>
      <c r="G139">
        <v>2253829005</v>
      </c>
      <c r="H139">
        <v>5649212459</v>
      </c>
      <c r="I139">
        <v>-7791135042</v>
      </c>
      <c r="J139">
        <v>-9139526225</v>
      </c>
      <c r="K139">
        <v>-6819339455</v>
      </c>
      <c r="L139">
        <v>-8752245283</v>
      </c>
      <c r="M139">
        <v>1276782462</v>
      </c>
      <c r="N139">
        <v>1160232276</v>
      </c>
      <c r="O139">
        <v>684920581</v>
      </c>
      <c r="P139">
        <v>28460697209</v>
      </c>
      <c r="Q139">
        <v>-2868768599</v>
      </c>
    </row>
    <row r="140" spans="1:17" x14ac:dyDescent="0.35">
      <c r="A140" t="s">
        <v>1939</v>
      </c>
      <c r="B140" t="s">
        <v>1970</v>
      </c>
      <c r="C140">
        <v>92075873894</v>
      </c>
      <c r="D140">
        <v>495653512839</v>
      </c>
      <c r="E140">
        <v>-256784011207</v>
      </c>
      <c r="F140">
        <v>637815402380</v>
      </c>
      <c r="G140">
        <v>1873988546576</v>
      </c>
      <c r="H140">
        <v>-492731151790</v>
      </c>
      <c r="I140">
        <v>-46894005939</v>
      </c>
      <c r="J140">
        <v>-153646924742</v>
      </c>
      <c r="K140">
        <v>-10577942651</v>
      </c>
      <c r="L140">
        <v>-729042472585</v>
      </c>
      <c r="M140">
        <v>-13823087368</v>
      </c>
      <c r="N140">
        <v>-117005786562</v>
      </c>
      <c r="P140">
        <v>-275215255281</v>
      </c>
      <c r="Q140">
        <v>43576453674</v>
      </c>
    </row>
    <row r="141" spans="1:17" x14ac:dyDescent="0.35">
      <c r="A141" t="s">
        <v>1939</v>
      </c>
      <c r="B141" t="s">
        <v>1971</v>
      </c>
      <c r="C141">
        <v>-13302987043</v>
      </c>
      <c r="D141">
        <v>-8329168623</v>
      </c>
      <c r="E141">
        <v>392578924</v>
      </c>
      <c r="F141">
        <v>-3228874906</v>
      </c>
      <c r="G141">
        <v>-9182551066</v>
      </c>
      <c r="H141">
        <v>-5005179569</v>
      </c>
      <c r="I141">
        <v>-8507056212</v>
      </c>
      <c r="J141">
        <v>-1973112462</v>
      </c>
      <c r="K141">
        <v>2443234660</v>
      </c>
      <c r="L141">
        <v>14736722621</v>
      </c>
      <c r="M141">
        <v>-6324004215</v>
      </c>
      <c r="N141">
        <v>-3516113332</v>
      </c>
      <c r="O141">
        <v>-17829813998</v>
      </c>
      <c r="P141">
        <v>-2860621887</v>
      </c>
      <c r="Q141">
        <v>5014464596</v>
      </c>
    </row>
    <row r="142" spans="1:17" x14ac:dyDescent="0.35">
      <c r="A142" t="s">
        <v>1939</v>
      </c>
      <c r="B142" t="s">
        <v>1972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7" x14ac:dyDescent="0.35">
      <c r="A143" t="s">
        <v>1939</v>
      </c>
      <c r="B143" t="s">
        <v>1973</v>
      </c>
      <c r="C143">
        <v>-252105504178</v>
      </c>
      <c r="D143">
        <v>-345638814624</v>
      </c>
      <c r="E143">
        <v>-73632313004</v>
      </c>
      <c r="F143">
        <v>-159894066849</v>
      </c>
      <c r="G143">
        <v>-242069449100</v>
      </c>
      <c r="H143">
        <v>-403189355201</v>
      </c>
      <c r="I143">
        <v>-82856026116</v>
      </c>
      <c r="J143">
        <v>-291868798060</v>
      </c>
      <c r="K143">
        <v>-426396852229</v>
      </c>
      <c r="L143">
        <v>-564848176814</v>
      </c>
      <c r="M143">
        <v>-176175544115</v>
      </c>
      <c r="N143">
        <v>-389637965607</v>
      </c>
      <c r="O143">
        <v>-621626862272</v>
      </c>
      <c r="P143">
        <v>-853406661495</v>
      </c>
      <c r="Q143">
        <v>-198285462825</v>
      </c>
    </row>
    <row r="144" spans="1:17" x14ac:dyDescent="0.35">
      <c r="A144" t="s">
        <v>1939</v>
      </c>
      <c r="B144" t="s">
        <v>1974</v>
      </c>
      <c r="C144">
        <v>-8053498336</v>
      </c>
      <c r="D144">
        <v>-11278105281</v>
      </c>
      <c r="E144">
        <v>-9591828806</v>
      </c>
      <c r="F144">
        <v>-9626733417</v>
      </c>
      <c r="G144">
        <v>-14084263588</v>
      </c>
      <c r="H144">
        <v>-24733922520</v>
      </c>
      <c r="I144">
        <v>-28346174273</v>
      </c>
      <c r="J144">
        <v>-29303920175</v>
      </c>
      <c r="K144">
        <v>-30289069143</v>
      </c>
      <c r="L144">
        <v>-62775100739</v>
      </c>
      <c r="M144">
        <v>-8171573176</v>
      </c>
      <c r="N144">
        <v>-11527900030</v>
      </c>
      <c r="O144">
        <v>-11667932229</v>
      </c>
      <c r="P144">
        <v>-18632142854</v>
      </c>
      <c r="Q144">
        <v>-37292768236</v>
      </c>
    </row>
    <row r="145" spans="1:17" x14ac:dyDescent="0.35">
      <c r="A145" t="s">
        <v>1939</v>
      </c>
      <c r="B145" t="s">
        <v>1975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-4569150056</v>
      </c>
      <c r="K145">
        <v>-158629479</v>
      </c>
      <c r="L145">
        <v>64880816</v>
      </c>
      <c r="M145">
        <v>0</v>
      </c>
      <c r="N145">
        <v>0</v>
      </c>
    </row>
    <row r="146" spans="1:17" x14ac:dyDescent="0.35">
      <c r="A146" t="s">
        <v>1939</v>
      </c>
      <c r="B146" t="s">
        <v>1976</v>
      </c>
      <c r="C146">
        <v>-12116500576</v>
      </c>
      <c r="D146">
        <v>-18704539870</v>
      </c>
      <c r="E146">
        <v>-10702106859</v>
      </c>
      <c r="F146">
        <v>-11285523970</v>
      </c>
      <c r="G146">
        <v>-12031216970</v>
      </c>
      <c r="H146">
        <v>-17894703970</v>
      </c>
      <c r="I146">
        <v>-14192162168</v>
      </c>
      <c r="J146">
        <v>-15117121032</v>
      </c>
      <c r="K146">
        <v>-19702426572</v>
      </c>
      <c r="L146">
        <v>-32768576240</v>
      </c>
      <c r="M146">
        <v>-18787291210</v>
      </c>
      <c r="N146">
        <v>-20160171210</v>
      </c>
      <c r="O146">
        <v>-27416615145</v>
      </c>
      <c r="P146">
        <v>-28982044014</v>
      </c>
      <c r="Q146">
        <v>-6304266699</v>
      </c>
    </row>
    <row r="147" spans="1:17" x14ac:dyDescent="0.35">
      <c r="A147" t="s">
        <v>1939</v>
      </c>
      <c r="B147" t="s">
        <v>154</v>
      </c>
      <c r="C147">
        <v>488354510353</v>
      </c>
      <c r="D147">
        <v>575892581346</v>
      </c>
      <c r="E147">
        <v>0</v>
      </c>
      <c r="F147">
        <v>586435933436</v>
      </c>
      <c r="G147">
        <v>2534589251068</v>
      </c>
      <c r="H147">
        <v>694043574965</v>
      </c>
      <c r="I147">
        <v>112963740556</v>
      </c>
      <c r="J147">
        <v>261758092019</v>
      </c>
      <c r="K147">
        <v>386662653505</v>
      </c>
      <c r="L147">
        <v>-191373854385</v>
      </c>
      <c r="M147">
        <v>473892122345</v>
      </c>
      <c r="N147">
        <v>661819230142</v>
      </c>
      <c r="O147">
        <v>552680327257</v>
      </c>
      <c r="P147">
        <v>701193087082</v>
      </c>
      <c r="Q147">
        <v>134493048562</v>
      </c>
    </row>
    <row r="148" spans="1:17" x14ac:dyDescent="0.35">
      <c r="A148" t="s">
        <v>1939</v>
      </c>
      <c r="B148" t="s">
        <v>155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7" x14ac:dyDescent="0.35">
      <c r="A149" t="s">
        <v>1939</v>
      </c>
      <c r="B149" t="s">
        <v>156</v>
      </c>
      <c r="C149">
        <v>-377038858896</v>
      </c>
      <c r="D149">
        <v>-761940651357</v>
      </c>
      <c r="E149">
        <v>-267320427150</v>
      </c>
      <c r="F149">
        <v>-1744240304953</v>
      </c>
      <c r="G149">
        <v>-4930919504809</v>
      </c>
      <c r="H149">
        <v>-3916316461081</v>
      </c>
      <c r="I149">
        <v>-118901940710</v>
      </c>
      <c r="J149">
        <v>-514069941896</v>
      </c>
      <c r="K149">
        <v>-1737445040724</v>
      </c>
      <c r="L149">
        <v>-3880179058272</v>
      </c>
      <c r="M149">
        <v>-590938995346</v>
      </c>
      <c r="N149">
        <v>-1195296954891</v>
      </c>
      <c r="O149">
        <v>-1277358852324</v>
      </c>
      <c r="P149">
        <v>-1302729781220</v>
      </c>
      <c r="Q149">
        <v>-4743605709</v>
      </c>
    </row>
    <row r="150" spans="1:17" x14ac:dyDescent="0.35">
      <c r="A150" t="s">
        <v>1939</v>
      </c>
      <c r="B150" t="s">
        <v>157</v>
      </c>
      <c r="C150">
        <v>0</v>
      </c>
      <c r="D150">
        <v>3318556125</v>
      </c>
      <c r="E150">
        <v>12242000000</v>
      </c>
      <c r="F150">
        <v>16922000000</v>
      </c>
      <c r="G150">
        <v>31141015296</v>
      </c>
      <c r="H150">
        <v>65141015296</v>
      </c>
      <c r="I150">
        <v>550000000</v>
      </c>
      <c r="J150">
        <v>67571173605</v>
      </c>
      <c r="K150">
        <v>66432244261</v>
      </c>
      <c r="L150">
        <v>70029344743</v>
      </c>
      <c r="M150">
        <v>1000000000</v>
      </c>
      <c r="N150">
        <v>1000000000</v>
      </c>
      <c r="O150">
        <v>1027272727</v>
      </c>
      <c r="P150">
        <v>1651907407</v>
      </c>
    </row>
    <row r="151" spans="1:17" x14ac:dyDescent="0.35">
      <c r="A151" t="s">
        <v>1939</v>
      </c>
      <c r="B151" t="s">
        <v>158</v>
      </c>
      <c r="C151">
        <v>-122789904119</v>
      </c>
      <c r="D151">
        <v>-154500000000</v>
      </c>
      <c r="E151">
        <v>0</v>
      </c>
      <c r="F151">
        <v>-40000000000</v>
      </c>
      <c r="G151">
        <v>-183000000000</v>
      </c>
      <c r="H151">
        <v>-233000000000</v>
      </c>
      <c r="I151">
        <v>-141175900000</v>
      </c>
      <c r="J151">
        <v>-265300000000</v>
      </c>
      <c r="K151">
        <v>-304330000000</v>
      </c>
      <c r="L151">
        <v>-810826476270</v>
      </c>
      <c r="M151">
        <v>-33500000000</v>
      </c>
      <c r="N151">
        <v>-97925000000</v>
      </c>
      <c r="O151">
        <v>-123772000000</v>
      </c>
      <c r="P151">
        <v>-259552700000</v>
      </c>
    </row>
    <row r="152" spans="1:17" x14ac:dyDescent="0.35">
      <c r="A152" t="s">
        <v>1939</v>
      </c>
      <c r="B152" t="s">
        <v>159</v>
      </c>
      <c r="C152">
        <v>50400000000</v>
      </c>
      <c r="D152">
        <v>80400000000</v>
      </c>
      <c r="E152">
        <v>4200397839</v>
      </c>
      <c r="F152">
        <v>8024497839</v>
      </c>
      <c r="G152">
        <v>108024497839</v>
      </c>
      <c r="H152">
        <v>124024497839</v>
      </c>
      <c r="I152">
        <v>171175900000</v>
      </c>
      <c r="J152">
        <v>281750000000</v>
      </c>
      <c r="K152">
        <v>313250000000</v>
      </c>
      <c r="L152">
        <v>322850000000</v>
      </c>
      <c r="M152">
        <v>352830000000</v>
      </c>
      <c r="N152">
        <v>364230000000</v>
      </c>
      <c r="O152">
        <v>560707376270</v>
      </c>
      <c r="P152">
        <v>523932376270</v>
      </c>
      <c r="Q152">
        <v>10000000000</v>
      </c>
    </row>
    <row r="153" spans="1:17" x14ac:dyDescent="0.35">
      <c r="A153" t="s">
        <v>1939</v>
      </c>
      <c r="B153" t="s">
        <v>160</v>
      </c>
      <c r="C153">
        <v>-137822540000</v>
      </c>
      <c r="D153">
        <v>-137822540000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-49990000000</v>
      </c>
      <c r="O153">
        <v>-49990000000</v>
      </c>
      <c r="P153">
        <v>-49990000000</v>
      </c>
    </row>
    <row r="154" spans="1:17" x14ac:dyDescent="0.35">
      <c r="A154" t="s">
        <v>1939</v>
      </c>
      <c r="B154" t="s">
        <v>161</v>
      </c>
      <c r="C154">
        <v>11534407696</v>
      </c>
      <c r="D154">
        <v>11534407696</v>
      </c>
      <c r="E154">
        <v>-250078427150</v>
      </c>
      <c r="F154">
        <v>0</v>
      </c>
      <c r="G154">
        <v>0</v>
      </c>
      <c r="H154">
        <v>0</v>
      </c>
      <c r="I154">
        <v>0</v>
      </c>
      <c r="J154">
        <v>67163284818</v>
      </c>
      <c r="K154">
        <v>165550433310</v>
      </c>
      <c r="L154">
        <v>530395255115</v>
      </c>
      <c r="M154">
        <v>0</v>
      </c>
      <c r="N154">
        <v>0</v>
      </c>
      <c r="P154">
        <v>55080000000</v>
      </c>
    </row>
    <row r="155" spans="1:17" x14ac:dyDescent="0.35">
      <c r="A155" t="s">
        <v>1939</v>
      </c>
      <c r="B155" t="s">
        <v>162</v>
      </c>
      <c r="C155">
        <v>15662359296</v>
      </c>
      <c r="D155">
        <v>20571293268</v>
      </c>
      <c r="E155">
        <v>0</v>
      </c>
      <c r="F155">
        <v>799602161</v>
      </c>
      <c r="G155">
        <v>799602161</v>
      </c>
      <c r="H155">
        <v>8293469531</v>
      </c>
      <c r="I155">
        <v>0</v>
      </c>
      <c r="J155">
        <v>5764244669</v>
      </c>
      <c r="K155">
        <v>7479460786</v>
      </c>
      <c r="L155">
        <v>49538092971</v>
      </c>
      <c r="M155">
        <v>4094283096</v>
      </c>
      <c r="N155">
        <v>9663678666</v>
      </c>
      <c r="O155">
        <v>24854151254</v>
      </c>
      <c r="P155">
        <v>26471798203</v>
      </c>
      <c r="Q155">
        <v>6600331501</v>
      </c>
    </row>
    <row r="156" spans="1:17" x14ac:dyDescent="0.35">
      <c r="A156" t="s">
        <v>1939</v>
      </c>
      <c r="B156" t="s">
        <v>163</v>
      </c>
      <c r="C156">
        <v>-560054536023</v>
      </c>
      <c r="D156">
        <v>-938438934268</v>
      </c>
      <c r="E156">
        <v>0</v>
      </c>
      <c r="F156">
        <v>-1758494204953</v>
      </c>
      <c r="G156">
        <v>-4973954389513</v>
      </c>
      <c r="H156">
        <v>-3951857478415</v>
      </c>
      <c r="I156">
        <v>-88351940710</v>
      </c>
      <c r="J156">
        <v>-357121238804</v>
      </c>
      <c r="K156">
        <v>-1489062902367</v>
      </c>
      <c r="L156">
        <v>-3718192841713</v>
      </c>
      <c r="M156">
        <v>-266514712250</v>
      </c>
      <c r="N156">
        <v>-968318276225</v>
      </c>
      <c r="O156">
        <v>-864532052073</v>
      </c>
      <c r="P156">
        <v>-1005136399340</v>
      </c>
      <c r="Q156">
        <v>11856725792</v>
      </c>
    </row>
    <row r="157" spans="1:17" x14ac:dyDescent="0.35">
      <c r="A157" t="s">
        <v>1939</v>
      </c>
      <c r="B157" t="s">
        <v>164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7" x14ac:dyDescent="0.35">
      <c r="A158" t="s">
        <v>1939</v>
      </c>
      <c r="B158" t="s">
        <v>165</v>
      </c>
      <c r="C158">
        <v>207450000</v>
      </c>
      <c r="D158">
        <v>509262590000</v>
      </c>
      <c r="E158">
        <v>0</v>
      </c>
      <c r="F158">
        <v>0</v>
      </c>
      <c r="G158">
        <v>216960576792</v>
      </c>
      <c r="H158">
        <v>216960576792</v>
      </c>
      <c r="I158">
        <v>0</v>
      </c>
      <c r="J158">
        <v>210000000</v>
      </c>
      <c r="K158">
        <v>864450000000</v>
      </c>
      <c r="L158">
        <v>1231710200000</v>
      </c>
      <c r="M158">
        <v>44750000</v>
      </c>
      <c r="N158">
        <v>282880000</v>
      </c>
      <c r="O158">
        <v>283080000</v>
      </c>
      <c r="P158">
        <v>113883080000</v>
      </c>
    </row>
    <row r="159" spans="1:17" x14ac:dyDescent="0.35">
      <c r="A159" t="s">
        <v>1939</v>
      </c>
      <c r="B159" t="s">
        <v>1977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7" x14ac:dyDescent="0.35">
      <c r="A160" t="s">
        <v>1939</v>
      </c>
      <c r="B160" t="s">
        <v>166</v>
      </c>
      <c r="C160">
        <v>914796302359</v>
      </c>
      <c r="D160">
        <v>1093255332386</v>
      </c>
      <c r="E160">
        <v>214635731339</v>
      </c>
      <c r="F160">
        <v>1706476994494</v>
      </c>
      <c r="G160">
        <v>3415049249365</v>
      </c>
      <c r="H160">
        <v>5119084365669</v>
      </c>
      <c r="I160">
        <v>202430539308</v>
      </c>
      <c r="J160">
        <v>536233785449</v>
      </c>
      <c r="K160">
        <v>1356339760439</v>
      </c>
      <c r="L160">
        <v>3701335751540</v>
      </c>
      <c r="M160">
        <v>612972773494</v>
      </c>
      <c r="N160">
        <v>1214612168480</v>
      </c>
      <c r="O160">
        <v>1589058557975</v>
      </c>
      <c r="P160">
        <v>2363926854461</v>
      </c>
      <c r="Q160">
        <v>43439079922</v>
      </c>
    </row>
    <row r="161" spans="1:18" x14ac:dyDescent="0.35">
      <c r="A161" t="s">
        <v>1939</v>
      </c>
      <c r="B161" t="s">
        <v>167</v>
      </c>
      <c r="C161">
        <v>-726677780298</v>
      </c>
      <c r="D161">
        <v>-1209319390094</v>
      </c>
      <c r="E161">
        <v>-84933802970</v>
      </c>
      <c r="F161">
        <v>-499570785347</v>
      </c>
      <c r="G161">
        <v>-709014351198</v>
      </c>
      <c r="H161">
        <v>-1814021110872</v>
      </c>
      <c r="I161">
        <v>-190329862621</v>
      </c>
      <c r="J161">
        <v>-389887835341</v>
      </c>
      <c r="K161">
        <v>-679365988768</v>
      </c>
      <c r="L161">
        <v>-878292583415</v>
      </c>
      <c r="M161">
        <v>-830947864327</v>
      </c>
      <c r="N161">
        <v>-979094414427</v>
      </c>
      <c r="O161">
        <v>-1316941989152</v>
      </c>
      <c r="P161">
        <v>-2190407246412</v>
      </c>
      <c r="Q161">
        <v>-202958840592</v>
      </c>
    </row>
    <row r="162" spans="1:18" x14ac:dyDescent="0.35">
      <c r="A162" t="s">
        <v>1939</v>
      </c>
      <c r="B162" t="s">
        <v>1978</v>
      </c>
      <c r="C162">
        <v>-248313012</v>
      </c>
      <c r="D162">
        <v>-496626024</v>
      </c>
      <c r="E162">
        <v>-632192361</v>
      </c>
      <c r="F162">
        <v>-1656115206</v>
      </c>
      <c r="G162">
        <v>-2680038051</v>
      </c>
      <c r="H162">
        <v>-3703960896</v>
      </c>
      <c r="I162">
        <v>-1023922845</v>
      </c>
      <c r="J162">
        <v>-30000000000</v>
      </c>
      <c r="K162">
        <v>-3071768535</v>
      </c>
      <c r="L162">
        <v>-4095691380</v>
      </c>
      <c r="M162">
        <v>-1023922845</v>
      </c>
      <c r="N162">
        <v>-2047845690</v>
      </c>
      <c r="O162">
        <v>-3071768535</v>
      </c>
      <c r="P162">
        <v>-4095691380</v>
      </c>
      <c r="Q162">
        <v>-1023922845</v>
      </c>
    </row>
    <row r="163" spans="1:18" x14ac:dyDescent="0.35">
      <c r="A163" t="s">
        <v>1939</v>
      </c>
      <c r="B163" t="s">
        <v>168</v>
      </c>
      <c r="C163">
        <v>-49228000</v>
      </c>
      <c r="D163">
        <v>-49228000</v>
      </c>
      <c r="E163">
        <v>-198064400</v>
      </c>
      <c r="F163">
        <v>-208187000</v>
      </c>
      <c r="G163">
        <v>-140055161810</v>
      </c>
      <c r="H163">
        <v>-140110746122</v>
      </c>
      <c r="I163">
        <v>-56850000</v>
      </c>
      <c r="J163">
        <v>-246398500</v>
      </c>
      <c r="K163">
        <v>-35802608000</v>
      </c>
      <c r="L163">
        <v>-57128174500</v>
      </c>
      <c r="M163">
        <v>-598845213</v>
      </c>
      <c r="N163">
        <v>-406900468</v>
      </c>
      <c r="O163">
        <v>-26987693450</v>
      </c>
      <c r="P163">
        <v>-84295256500</v>
      </c>
      <c r="Q163">
        <v>-4706100</v>
      </c>
    </row>
    <row r="164" spans="1:18" x14ac:dyDescent="0.35">
      <c r="A164" t="s">
        <v>1939</v>
      </c>
      <c r="B164" t="s">
        <v>169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8" x14ac:dyDescent="0.35">
      <c r="A165" t="s">
        <v>1939</v>
      </c>
      <c r="B165" t="s">
        <v>170</v>
      </c>
      <c r="C165">
        <v>188028431049</v>
      </c>
      <c r="D165">
        <v>392652678268</v>
      </c>
      <c r="E165">
        <v>128871671608</v>
      </c>
      <c r="F165">
        <v>1205041906941</v>
      </c>
      <c r="G165">
        <v>2780260275098</v>
      </c>
      <c r="H165">
        <v>3378209124571</v>
      </c>
      <c r="I165">
        <v>11019903842</v>
      </c>
      <c r="J165">
        <v>116309551608</v>
      </c>
      <c r="K165">
        <v>1502549395136</v>
      </c>
      <c r="L165">
        <v>3993529502245</v>
      </c>
      <c r="M165">
        <v>-219553108891</v>
      </c>
      <c r="N165">
        <v>233345887895</v>
      </c>
      <c r="O165">
        <v>242340186838</v>
      </c>
      <c r="P165">
        <v>199011740169</v>
      </c>
      <c r="Q165">
        <v>-160548389615</v>
      </c>
    </row>
    <row r="166" spans="1:18" x14ac:dyDescent="0.35">
      <c r="A166" t="s">
        <v>1939</v>
      </c>
      <c r="B166" t="s">
        <v>171</v>
      </c>
      <c r="C166">
        <v>116328405379</v>
      </c>
      <c r="D166">
        <v>30106325346</v>
      </c>
      <c r="E166">
        <v>-90783396649</v>
      </c>
      <c r="F166">
        <v>32983635424</v>
      </c>
      <c r="G166">
        <v>340895136653</v>
      </c>
      <c r="H166">
        <v>120395221121</v>
      </c>
      <c r="I166">
        <v>35631703688</v>
      </c>
      <c r="J166">
        <v>20946404823</v>
      </c>
      <c r="K166">
        <v>400149146274</v>
      </c>
      <c r="L166">
        <v>83962806147</v>
      </c>
      <c r="M166">
        <v>-12175698796</v>
      </c>
      <c r="N166">
        <v>-73153158188</v>
      </c>
      <c r="O166">
        <v>-69511537978</v>
      </c>
      <c r="P166">
        <v>-104931572089</v>
      </c>
      <c r="Q166">
        <v>-14198615261</v>
      </c>
    </row>
    <row r="167" spans="1:18" x14ac:dyDescent="0.35">
      <c r="A167" t="s">
        <v>1939</v>
      </c>
      <c r="B167" t="s">
        <v>172</v>
      </c>
      <c r="C167">
        <v>105369786743</v>
      </c>
      <c r="D167">
        <v>105369786743</v>
      </c>
      <c r="E167">
        <v>135405178447</v>
      </c>
      <c r="F167">
        <v>135405178447</v>
      </c>
      <c r="G167">
        <v>135405178447</v>
      </c>
      <c r="H167">
        <v>135405178447</v>
      </c>
      <c r="I167">
        <v>250041671907</v>
      </c>
      <c r="J167">
        <v>250041671907</v>
      </c>
      <c r="K167">
        <v>250041671907</v>
      </c>
      <c r="L167">
        <v>250041671907</v>
      </c>
      <c r="M167">
        <v>333840180277</v>
      </c>
      <c r="N167">
        <v>333840180277</v>
      </c>
      <c r="O167">
        <v>333840180277</v>
      </c>
      <c r="P167">
        <v>333840180277</v>
      </c>
      <c r="Q167">
        <v>229105088949</v>
      </c>
    </row>
    <row r="168" spans="1:18" x14ac:dyDescent="0.35">
      <c r="A168" t="s">
        <v>1939</v>
      </c>
      <c r="B168" t="s">
        <v>173</v>
      </c>
      <c r="C168">
        <v>-69321509</v>
      </c>
      <c r="D168">
        <v>-70933642</v>
      </c>
      <c r="E168">
        <v>-3112243</v>
      </c>
      <c r="F168">
        <v>-6806050</v>
      </c>
      <c r="G168">
        <v>4558030</v>
      </c>
      <c r="H168">
        <v>16272339</v>
      </c>
      <c r="I168">
        <v>16524902</v>
      </c>
      <c r="J168">
        <v>62562814</v>
      </c>
      <c r="K168">
        <v>-35492057</v>
      </c>
      <c r="L168">
        <v>-164297777</v>
      </c>
      <c r="M168">
        <v>1406734</v>
      </c>
      <c r="N168">
        <v>201147422</v>
      </c>
      <c r="O168">
        <v>280539785</v>
      </c>
      <c r="P168">
        <v>196480761</v>
      </c>
      <c r="Q168">
        <v>24507971</v>
      </c>
    </row>
    <row r="169" spans="1:18" x14ac:dyDescent="0.35">
      <c r="A169" t="s">
        <v>1939</v>
      </c>
      <c r="B169" t="s">
        <v>174</v>
      </c>
      <c r="C169">
        <v>221628870613</v>
      </c>
      <c r="D169">
        <v>135405178447</v>
      </c>
      <c r="E169">
        <v>44618669555</v>
      </c>
      <c r="F169">
        <v>168382007821</v>
      </c>
      <c r="G169">
        <v>476304873130</v>
      </c>
      <c r="H169">
        <v>255816671907</v>
      </c>
      <c r="I169">
        <v>285689900497</v>
      </c>
      <c r="J169">
        <v>271050639544</v>
      </c>
      <c r="K169">
        <v>650155326124</v>
      </c>
      <c r="L169">
        <v>333840180277</v>
      </c>
      <c r="M169">
        <v>321665888215</v>
      </c>
      <c r="N169">
        <v>260888169511</v>
      </c>
      <c r="O169">
        <v>264609182084</v>
      </c>
      <c r="P169">
        <v>229105088949</v>
      </c>
      <c r="Q169">
        <v>214930981659</v>
      </c>
    </row>
    <row r="170" spans="1:18" x14ac:dyDescent="0.35">
      <c r="A170" t="s">
        <v>1940</v>
      </c>
      <c r="B170" t="s">
        <v>153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8" x14ac:dyDescent="0.35">
      <c r="A171" t="s">
        <v>1940</v>
      </c>
      <c r="B171" t="s">
        <v>1959</v>
      </c>
      <c r="C171">
        <v>1211646407049</v>
      </c>
      <c r="D171">
        <v>1042187062893</v>
      </c>
      <c r="E171">
        <v>494546352517</v>
      </c>
      <c r="F171">
        <v>608687014422</v>
      </c>
      <c r="G171">
        <v>862242053858</v>
      </c>
      <c r="H171">
        <v>1593227485069</v>
      </c>
      <c r="I171">
        <v>325179985349</v>
      </c>
      <c r="J171">
        <v>857181801618</v>
      </c>
      <c r="K171">
        <v>1244630870186</v>
      </c>
      <c r="L171">
        <v>1620373968064</v>
      </c>
      <c r="M171">
        <v>0</v>
      </c>
      <c r="N171">
        <v>0</v>
      </c>
      <c r="Q171">
        <v>319080303232</v>
      </c>
      <c r="R171">
        <v>456886278280</v>
      </c>
    </row>
    <row r="172" spans="1:18" x14ac:dyDescent="0.35">
      <c r="A172" t="s">
        <v>1940</v>
      </c>
      <c r="B172" t="s">
        <v>1960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8" x14ac:dyDescent="0.35">
      <c r="A173" t="s">
        <v>1940</v>
      </c>
      <c r="B173" t="s">
        <v>1961</v>
      </c>
      <c r="C173">
        <v>170665784503</v>
      </c>
      <c r="D173">
        <v>0</v>
      </c>
      <c r="E173">
        <v>62821709048</v>
      </c>
      <c r="F173">
        <v>126407906692</v>
      </c>
      <c r="G173">
        <v>186556565485</v>
      </c>
      <c r="H173">
        <v>297871294364</v>
      </c>
      <c r="I173">
        <v>118518372441</v>
      </c>
      <c r="J173">
        <v>249401394719</v>
      </c>
      <c r="K173">
        <v>380166661063</v>
      </c>
      <c r="L173">
        <v>510819224364</v>
      </c>
      <c r="M173">
        <v>0</v>
      </c>
      <c r="N173">
        <v>0</v>
      </c>
      <c r="Q173">
        <v>129467721011</v>
      </c>
      <c r="R173">
        <v>259774191312</v>
      </c>
    </row>
    <row r="174" spans="1:18" x14ac:dyDescent="0.35">
      <c r="A174" t="s">
        <v>1940</v>
      </c>
      <c r="B174" t="s">
        <v>1962</v>
      </c>
      <c r="C174">
        <v>-9903588277</v>
      </c>
      <c r="D174">
        <v>37313194462</v>
      </c>
      <c r="E174">
        <v>0</v>
      </c>
      <c r="F174">
        <v>-2235787800</v>
      </c>
      <c r="G174">
        <v>14880970390</v>
      </c>
      <c r="H174">
        <v>50040956387</v>
      </c>
      <c r="I174">
        <v>0</v>
      </c>
      <c r="J174">
        <v>-55000000</v>
      </c>
      <c r="K174">
        <v>-188900000</v>
      </c>
      <c r="L174">
        <v>86315585</v>
      </c>
      <c r="M174">
        <v>0</v>
      </c>
      <c r="N174">
        <v>0</v>
      </c>
      <c r="R174">
        <v>15767531584</v>
      </c>
    </row>
    <row r="175" spans="1:18" x14ac:dyDescent="0.35">
      <c r="A175" t="s">
        <v>1940</v>
      </c>
      <c r="B175" t="s">
        <v>1963</v>
      </c>
      <c r="C175">
        <v>713922051</v>
      </c>
      <c r="D175">
        <v>20691625098</v>
      </c>
      <c r="E175">
        <v>0</v>
      </c>
      <c r="F175">
        <v>999205335</v>
      </c>
      <c r="G175">
        <v>997263828</v>
      </c>
      <c r="H175">
        <v>3983814754</v>
      </c>
      <c r="I175">
        <v>-10130133565</v>
      </c>
      <c r="J175">
        <v>-71130650617</v>
      </c>
      <c r="K175">
        <v>-78352326810</v>
      </c>
      <c r="L175">
        <v>-32549562329</v>
      </c>
      <c r="M175">
        <v>0</v>
      </c>
      <c r="N175">
        <v>0</v>
      </c>
      <c r="Q175">
        <v>-3138925524</v>
      </c>
      <c r="R175">
        <v>10039727427</v>
      </c>
    </row>
    <row r="176" spans="1:18" x14ac:dyDescent="0.35">
      <c r="A176" t="s">
        <v>1940</v>
      </c>
      <c r="B176" t="s">
        <v>1964</v>
      </c>
      <c r="C176">
        <v>-45753391298</v>
      </c>
      <c r="D176">
        <v>0</v>
      </c>
      <c r="E176">
        <v>-4689265262</v>
      </c>
      <c r="F176">
        <v>-44057945349</v>
      </c>
      <c r="G176">
        <v>-19177928501</v>
      </c>
      <c r="H176">
        <v>-28654965771</v>
      </c>
      <c r="I176">
        <v>-13537228333</v>
      </c>
      <c r="J176">
        <v>-55865373692</v>
      </c>
      <c r="K176">
        <v>-123556060895</v>
      </c>
      <c r="L176">
        <v>-281558063315</v>
      </c>
      <c r="M176">
        <v>0</v>
      </c>
      <c r="N176">
        <v>0</v>
      </c>
      <c r="Q176">
        <v>-7840731305</v>
      </c>
      <c r="R176">
        <v>-20251618069</v>
      </c>
    </row>
    <row r="177" spans="1:18" x14ac:dyDescent="0.35">
      <c r="A177" t="s">
        <v>1940</v>
      </c>
      <c r="B177" t="s">
        <v>1965</v>
      </c>
      <c r="C177">
        <v>239441731407</v>
      </c>
      <c r="D177">
        <v>-1261700487266</v>
      </c>
      <c r="E177">
        <v>87082395087</v>
      </c>
      <c r="F177">
        <v>176070624343</v>
      </c>
      <c r="G177">
        <v>261523002324</v>
      </c>
      <c r="H177">
        <v>388418024530</v>
      </c>
      <c r="I177">
        <v>119411667076</v>
      </c>
      <c r="J177">
        <v>248292730106</v>
      </c>
      <c r="K177">
        <v>376816247739</v>
      </c>
      <c r="L177">
        <v>512898381633</v>
      </c>
      <c r="M177">
        <v>0</v>
      </c>
      <c r="N177">
        <v>0</v>
      </c>
      <c r="Q177">
        <v>94331517100</v>
      </c>
      <c r="R177">
        <v>180745010631</v>
      </c>
    </row>
    <row r="178" spans="1:18" x14ac:dyDescent="0.35">
      <c r="A178" t="s">
        <v>1940</v>
      </c>
      <c r="B178" t="s">
        <v>1966</v>
      </c>
      <c r="C178">
        <v>0</v>
      </c>
      <c r="D178">
        <v>211562960746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8" x14ac:dyDescent="0.35">
      <c r="A179" t="s">
        <v>1940</v>
      </c>
      <c r="B179" t="s">
        <v>1967</v>
      </c>
      <c r="C179">
        <v>1566810865436</v>
      </c>
      <c r="D179">
        <v>50054355933</v>
      </c>
      <c r="E179">
        <v>639761191390</v>
      </c>
      <c r="F179">
        <v>865871017643</v>
      </c>
      <c r="G179">
        <v>1307021927384</v>
      </c>
      <c r="H179">
        <v>2304886609333</v>
      </c>
      <c r="I179">
        <v>539442662968</v>
      </c>
      <c r="J179">
        <v>1227824902134</v>
      </c>
      <c r="K179">
        <v>1799516491283</v>
      </c>
      <c r="L179">
        <v>2330070264002</v>
      </c>
      <c r="M179">
        <v>0</v>
      </c>
      <c r="N179">
        <v>0</v>
      </c>
      <c r="Q179">
        <v>531899884514</v>
      </c>
      <c r="R179">
        <v>902961121165</v>
      </c>
    </row>
    <row r="180" spans="1:18" x14ac:dyDescent="0.35">
      <c r="A180" t="s">
        <v>1940</v>
      </c>
      <c r="B180" t="s">
        <v>1968</v>
      </c>
      <c r="C180">
        <v>-204785148139</v>
      </c>
      <c r="D180">
        <v>109261355846</v>
      </c>
      <c r="E180">
        <v>-48042365089</v>
      </c>
      <c r="F180">
        <v>293461983665</v>
      </c>
      <c r="G180">
        <v>-120338003402</v>
      </c>
      <c r="H180">
        <v>-136482740225</v>
      </c>
      <c r="I180">
        <v>113820746424</v>
      </c>
      <c r="J180">
        <v>131647430934</v>
      </c>
      <c r="K180">
        <v>115109731254</v>
      </c>
      <c r="L180">
        <v>-208502031668</v>
      </c>
      <c r="M180">
        <v>0</v>
      </c>
      <c r="N180">
        <v>0</v>
      </c>
      <c r="Q180">
        <v>179716404345</v>
      </c>
      <c r="R180">
        <v>350672773056</v>
      </c>
    </row>
    <row r="181" spans="1:18" x14ac:dyDescent="0.35">
      <c r="A181" t="s">
        <v>1940</v>
      </c>
      <c r="B181" t="s">
        <v>1969</v>
      </c>
      <c r="C181">
        <v>1422891915845</v>
      </c>
      <c r="D181">
        <v>-188333529536</v>
      </c>
      <c r="E181">
        <v>397318996493</v>
      </c>
      <c r="F181">
        <v>555707713583</v>
      </c>
      <c r="G181">
        <v>583292426758</v>
      </c>
      <c r="H181">
        <v>430138583097</v>
      </c>
      <c r="I181">
        <v>-120889548421</v>
      </c>
      <c r="J181">
        <v>-100662388923</v>
      </c>
      <c r="K181">
        <v>-164673880252</v>
      </c>
      <c r="L181">
        <v>429764304</v>
      </c>
      <c r="M181">
        <v>196542661283</v>
      </c>
      <c r="N181">
        <v>111860130004</v>
      </c>
      <c r="P181">
        <v>332009373543</v>
      </c>
      <c r="Q181">
        <v>143167632002</v>
      </c>
      <c r="R181">
        <v>185167710511</v>
      </c>
    </row>
    <row r="182" spans="1:18" x14ac:dyDescent="0.35">
      <c r="A182" t="s">
        <v>1940</v>
      </c>
      <c r="B182" t="s">
        <v>1970</v>
      </c>
      <c r="C182">
        <v>-1537751849761</v>
      </c>
      <c r="D182">
        <v>-124449981144</v>
      </c>
      <c r="E182">
        <v>-263509293600</v>
      </c>
      <c r="F182">
        <v>654885158315</v>
      </c>
      <c r="G182">
        <v>306109441307</v>
      </c>
      <c r="H182">
        <v>368069778575</v>
      </c>
      <c r="I182">
        <v>-219962299659</v>
      </c>
      <c r="J182">
        <v>-542445593090</v>
      </c>
      <c r="K182">
        <v>-352580201231</v>
      </c>
      <c r="L182">
        <v>-775022431253</v>
      </c>
      <c r="M182">
        <v>-626965003323</v>
      </c>
      <c r="N182">
        <v>-890780142381</v>
      </c>
      <c r="P182">
        <v>-565001082540</v>
      </c>
      <c r="Q182">
        <v>-188230930236</v>
      </c>
      <c r="R182">
        <v>-493765176570</v>
      </c>
    </row>
    <row r="183" spans="1:18" x14ac:dyDescent="0.35">
      <c r="A183" t="s">
        <v>1940</v>
      </c>
      <c r="B183" t="s">
        <v>1971</v>
      </c>
      <c r="C183">
        <v>-2725655387</v>
      </c>
      <c r="D183">
        <v>870698517</v>
      </c>
      <c r="E183">
        <v>-43998595369</v>
      </c>
      <c r="F183">
        <v>9435422389</v>
      </c>
      <c r="G183">
        <v>1448171745</v>
      </c>
      <c r="H183">
        <v>-154221473192</v>
      </c>
      <c r="I183">
        <v>-9806655345</v>
      </c>
      <c r="J183">
        <v>-1629575317</v>
      </c>
      <c r="K183">
        <v>-5132030413</v>
      </c>
      <c r="L183">
        <v>-10179607692</v>
      </c>
      <c r="M183">
        <v>2418525899</v>
      </c>
      <c r="N183">
        <v>5030335046</v>
      </c>
      <c r="P183">
        <v>734931481</v>
      </c>
      <c r="Q183">
        <v>-9597768488</v>
      </c>
      <c r="R183">
        <v>-8824942505</v>
      </c>
    </row>
    <row r="184" spans="1:18" x14ac:dyDescent="0.35">
      <c r="A184" t="s">
        <v>1940</v>
      </c>
      <c r="B184" t="s">
        <v>1972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340189058916</v>
      </c>
      <c r="M184">
        <v>1213787671</v>
      </c>
      <c r="N184">
        <v>-29299230020</v>
      </c>
      <c r="P184">
        <v>-385388612788</v>
      </c>
      <c r="Q184">
        <v>40619376357</v>
      </c>
      <c r="R184">
        <v>-222602406186</v>
      </c>
    </row>
    <row r="185" spans="1:18" x14ac:dyDescent="0.35">
      <c r="A185" t="s">
        <v>1940</v>
      </c>
      <c r="B185" t="s">
        <v>1973</v>
      </c>
      <c r="C185">
        <v>-191681431554</v>
      </c>
      <c r="D185">
        <v>-224689322946</v>
      </c>
      <c r="E185">
        <v>-72408939440</v>
      </c>
      <c r="F185">
        <v>-190480441125</v>
      </c>
      <c r="G185">
        <v>-257256931470</v>
      </c>
      <c r="H185">
        <v>-272647226193</v>
      </c>
      <c r="I185">
        <v>-55403232867</v>
      </c>
      <c r="J185">
        <v>-262085670426</v>
      </c>
      <c r="K185">
        <v>-341149339393</v>
      </c>
      <c r="L185">
        <v>-333875915428</v>
      </c>
      <c r="M185">
        <v>-115433255802</v>
      </c>
      <c r="N185">
        <v>-249399861793</v>
      </c>
      <c r="P185">
        <v>-513685940625</v>
      </c>
      <c r="Q185">
        <v>-68795494043</v>
      </c>
      <c r="R185">
        <v>-179629821973</v>
      </c>
    </row>
    <row r="186" spans="1:18" x14ac:dyDescent="0.35">
      <c r="A186" t="s">
        <v>1940</v>
      </c>
      <c r="B186" t="s">
        <v>1974</v>
      </c>
      <c r="C186">
        <v>-208949818844</v>
      </c>
      <c r="D186">
        <v>0</v>
      </c>
      <c r="E186">
        <v>-273276289783</v>
      </c>
      <c r="F186">
        <v>-325253139245</v>
      </c>
      <c r="G186">
        <v>-337510648755</v>
      </c>
      <c r="H186">
        <v>-424084709168</v>
      </c>
      <c r="I186">
        <v>-109652359339</v>
      </c>
      <c r="J186">
        <v>-107377817170</v>
      </c>
      <c r="K186">
        <v>-139165687827</v>
      </c>
      <c r="L186">
        <v>-186380175992</v>
      </c>
      <c r="M186">
        <v>-76577677632</v>
      </c>
      <c r="N186">
        <v>-85474870252</v>
      </c>
      <c r="P186">
        <v>-127309823580</v>
      </c>
      <c r="Q186">
        <v>-38682275139</v>
      </c>
      <c r="R186">
        <v>-82080011763</v>
      </c>
    </row>
    <row r="187" spans="1:18" x14ac:dyDescent="0.35">
      <c r="A187" t="s">
        <v>1940</v>
      </c>
      <c r="B187" t="s">
        <v>1975</v>
      </c>
      <c r="C187">
        <v>-2995951921</v>
      </c>
      <c r="D187">
        <v>38971160238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39147531200</v>
      </c>
      <c r="K187">
        <v>39147531199</v>
      </c>
      <c r="L187">
        <v>0</v>
      </c>
      <c r="M187">
        <v>0</v>
      </c>
      <c r="N187">
        <v>6268393829</v>
      </c>
      <c r="P187">
        <v>7689995322</v>
      </c>
      <c r="Q187">
        <v>1100654461</v>
      </c>
      <c r="R187">
        <v>1100654461</v>
      </c>
    </row>
    <row r="188" spans="1:18" x14ac:dyDescent="0.35">
      <c r="A188" t="s">
        <v>1940</v>
      </c>
      <c r="B188" t="s">
        <v>1976</v>
      </c>
      <c r="C188">
        <v>-11626508581</v>
      </c>
      <c r="D188">
        <v>-37220379717</v>
      </c>
      <c r="E188">
        <v>0</v>
      </c>
      <c r="F188">
        <v>0</v>
      </c>
      <c r="G188">
        <v>0</v>
      </c>
      <c r="H188">
        <v>-43767081899</v>
      </c>
      <c r="I188">
        <v>0</v>
      </c>
      <c r="J188">
        <v>-23175508706</v>
      </c>
      <c r="K188">
        <v>-34436443893</v>
      </c>
      <c r="L188">
        <v>-81428372268</v>
      </c>
      <c r="M188">
        <v>-8270118737</v>
      </c>
      <c r="N188">
        <v>-12577421022</v>
      </c>
      <c r="P188">
        <v>-5339176233</v>
      </c>
      <c r="Q188">
        <v>-4525367324</v>
      </c>
      <c r="R188">
        <v>-2320960753</v>
      </c>
    </row>
    <row r="189" spans="1:18" x14ac:dyDescent="0.35">
      <c r="A189" t="s">
        <v>1940</v>
      </c>
      <c r="B189" t="s">
        <v>154</v>
      </c>
      <c r="C189">
        <v>1020099300228</v>
      </c>
      <c r="D189">
        <v>-164524207228</v>
      </c>
      <c r="E189">
        <v>245844943802</v>
      </c>
      <c r="F189">
        <v>1598148899838</v>
      </c>
      <c r="G189">
        <v>1304873231842</v>
      </c>
      <c r="H189">
        <v>2003669619303</v>
      </c>
      <c r="I189">
        <v>102295809429</v>
      </c>
      <c r="J189">
        <v>293021189611</v>
      </c>
      <c r="K189">
        <v>848414049702</v>
      </c>
      <c r="L189">
        <v>1075300552922</v>
      </c>
      <c r="M189">
        <v>-124488057454</v>
      </c>
      <c r="N189">
        <v>-83347461740</v>
      </c>
      <c r="P189">
        <v>461473215519</v>
      </c>
      <c r="Q189">
        <v>586672116449</v>
      </c>
      <c r="R189">
        <v>450678939443</v>
      </c>
    </row>
    <row r="190" spans="1:18" x14ac:dyDescent="0.35">
      <c r="A190" t="s">
        <v>1940</v>
      </c>
      <c r="B190" t="s">
        <v>155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8" x14ac:dyDescent="0.35">
      <c r="A191" t="s">
        <v>1940</v>
      </c>
      <c r="B191" t="s">
        <v>156</v>
      </c>
      <c r="C191">
        <v>-1230248995168</v>
      </c>
      <c r="D191">
        <v>-5708210555</v>
      </c>
      <c r="E191">
        <v>-546972106217</v>
      </c>
      <c r="F191">
        <v>-1494514970609</v>
      </c>
      <c r="G191">
        <v>-1099673966906</v>
      </c>
      <c r="H191">
        <v>-2205474158026</v>
      </c>
      <c r="I191">
        <v>-36881335668</v>
      </c>
      <c r="J191">
        <v>-116222597302</v>
      </c>
      <c r="K191">
        <v>-126703263545</v>
      </c>
      <c r="L191">
        <v>-95760288006</v>
      </c>
      <c r="M191">
        <v>-9030197222</v>
      </c>
      <c r="N191">
        <v>-23180817476</v>
      </c>
      <c r="P191">
        <v>-89826873679</v>
      </c>
      <c r="Q191">
        <v>-6145599319</v>
      </c>
      <c r="R191">
        <v>-14214459432</v>
      </c>
    </row>
    <row r="192" spans="1:18" x14ac:dyDescent="0.35">
      <c r="A192" t="s">
        <v>1940</v>
      </c>
      <c r="B192" t="s">
        <v>157</v>
      </c>
      <c r="C192">
        <v>451042020</v>
      </c>
      <c r="D192">
        <v>0</v>
      </c>
      <c r="E192">
        <v>-349249563</v>
      </c>
      <c r="F192">
        <v>-1303106547</v>
      </c>
      <c r="G192">
        <v>-953856984</v>
      </c>
      <c r="H192">
        <v>-3759544277</v>
      </c>
      <c r="I192">
        <v>0</v>
      </c>
      <c r="J192">
        <v>0</v>
      </c>
      <c r="K192">
        <v>0</v>
      </c>
      <c r="L192">
        <v>3759544277</v>
      </c>
      <c r="M192">
        <v>0</v>
      </c>
      <c r="N192">
        <v>0</v>
      </c>
    </row>
    <row r="193" spans="1:18" x14ac:dyDescent="0.35">
      <c r="A193" t="s">
        <v>1940</v>
      </c>
      <c r="B193" t="s">
        <v>158</v>
      </c>
      <c r="C193">
        <v>-161072628583</v>
      </c>
      <c r="D193">
        <v>-35410000000</v>
      </c>
      <c r="E193">
        <v>0</v>
      </c>
      <c r="F193">
        <v>0</v>
      </c>
      <c r="G193">
        <v>0</v>
      </c>
      <c r="H193">
        <v>-551756937891</v>
      </c>
      <c r="I193">
        <v>0</v>
      </c>
      <c r="J193">
        <v>-235590127489</v>
      </c>
      <c r="K193">
        <v>-109993707550</v>
      </c>
      <c r="L193">
        <v>0</v>
      </c>
      <c r="M193">
        <v>-77446164384</v>
      </c>
      <c r="N193">
        <v>-77446164384</v>
      </c>
      <c r="P193">
        <v>-77446164384</v>
      </c>
    </row>
    <row r="194" spans="1:18" x14ac:dyDescent="0.35">
      <c r="A194" t="s">
        <v>1940</v>
      </c>
      <c r="B194" t="s">
        <v>159</v>
      </c>
      <c r="C194">
        <v>207431038338</v>
      </c>
      <c r="D194">
        <v>103382232760</v>
      </c>
      <c r="E194">
        <v>131181869000</v>
      </c>
      <c r="F194">
        <v>0</v>
      </c>
      <c r="G194">
        <v>162391869000</v>
      </c>
      <c r="H194">
        <v>126594595875</v>
      </c>
      <c r="I194">
        <v>0</v>
      </c>
      <c r="J194">
        <v>338550000000</v>
      </c>
      <c r="K194">
        <v>0</v>
      </c>
      <c r="L194">
        <v>0</v>
      </c>
      <c r="M194">
        <v>0</v>
      </c>
      <c r="N194">
        <v>150000000</v>
      </c>
      <c r="P194">
        <v>-59940000000</v>
      </c>
      <c r="R194">
        <v>97366164384</v>
      </c>
    </row>
    <row r="195" spans="1:18" x14ac:dyDescent="0.35">
      <c r="A195" t="s">
        <v>1940</v>
      </c>
      <c r="B195" t="s">
        <v>160</v>
      </c>
      <c r="C195">
        <v>-325788471317</v>
      </c>
      <c r="D195">
        <v>-1201770227875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-36000000000</v>
      </c>
      <c r="P195">
        <v>-44647693606</v>
      </c>
    </row>
    <row r="196" spans="1:18" x14ac:dyDescent="0.35">
      <c r="A196" t="s">
        <v>1940</v>
      </c>
      <c r="B196" t="s">
        <v>161</v>
      </c>
      <c r="C196">
        <v>-338444715</v>
      </c>
      <c r="D196">
        <v>229241678478</v>
      </c>
      <c r="E196">
        <v>-338444715</v>
      </c>
      <c r="F196">
        <v>44213340000</v>
      </c>
      <c r="G196">
        <v>30617863452</v>
      </c>
      <c r="H196">
        <v>30617863452</v>
      </c>
      <c r="I196">
        <v>0</v>
      </c>
      <c r="J196">
        <v>30617863452</v>
      </c>
      <c r="K196">
        <v>0</v>
      </c>
      <c r="L196">
        <v>0</v>
      </c>
      <c r="M196">
        <v>0</v>
      </c>
      <c r="N196">
        <v>0</v>
      </c>
    </row>
    <row r="197" spans="1:18" x14ac:dyDescent="0.35">
      <c r="A197" t="s">
        <v>1940</v>
      </c>
      <c r="B197" t="s">
        <v>162</v>
      </c>
      <c r="C197">
        <v>10623329003</v>
      </c>
      <c r="D197">
        <v>1205359530740</v>
      </c>
      <c r="E197">
        <v>5863032012</v>
      </c>
      <c r="F197">
        <v>5863032012</v>
      </c>
      <c r="G197">
        <v>15998922012</v>
      </c>
      <c r="H197">
        <v>15998922012</v>
      </c>
      <c r="I197">
        <v>11242561326</v>
      </c>
      <c r="J197">
        <v>40173709044</v>
      </c>
      <c r="K197">
        <v>70175513936</v>
      </c>
      <c r="L197">
        <v>136295351360</v>
      </c>
      <c r="M197">
        <v>6625526161</v>
      </c>
      <c r="N197">
        <v>16295249657</v>
      </c>
      <c r="P197">
        <v>40085209216</v>
      </c>
      <c r="Q197">
        <v>13233308398</v>
      </c>
      <c r="R197">
        <v>20251618069</v>
      </c>
    </row>
    <row r="198" spans="1:18" x14ac:dyDescent="0.35">
      <c r="A198" t="s">
        <v>1940</v>
      </c>
      <c r="B198" t="s">
        <v>163</v>
      </c>
      <c r="C198">
        <v>-1498943130422</v>
      </c>
      <c r="D198">
        <v>295095003548</v>
      </c>
      <c r="E198">
        <v>-410614899483</v>
      </c>
      <c r="F198">
        <v>-1445741705144</v>
      </c>
      <c r="G198">
        <v>-891619169426</v>
      </c>
      <c r="H198">
        <v>-2587779258855</v>
      </c>
      <c r="I198">
        <v>-25638774342</v>
      </c>
      <c r="J198">
        <v>26910984253</v>
      </c>
      <c r="K198">
        <v>-166521457159</v>
      </c>
      <c r="L198">
        <v>44294607631</v>
      </c>
      <c r="M198">
        <v>-79850835445</v>
      </c>
      <c r="N198">
        <v>-84331732203</v>
      </c>
      <c r="P198">
        <v>-231775522453</v>
      </c>
      <c r="Q198">
        <v>7087709079</v>
      </c>
      <c r="R198">
        <v>103403323021</v>
      </c>
    </row>
    <row r="199" spans="1:18" x14ac:dyDescent="0.35">
      <c r="A199" t="s">
        <v>1940</v>
      </c>
      <c r="B199" t="s">
        <v>164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8" x14ac:dyDescent="0.35">
      <c r="A200" t="s">
        <v>1940</v>
      </c>
      <c r="B200" t="s">
        <v>165</v>
      </c>
      <c r="C200">
        <v>7217003739</v>
      </c>
      <c r="D200">
        <v>885812000</v>
      </c>
      <c r="E200">
        <v>0</v>
      </c>
      <c r="F200">
        <v>0</v>
      </c>
      <c r="G200">
        <v>10000000</v>
      </c>
      <c r="H200">
        <v>322285872127</v>
      </c>
      <c r="I200">
        <v>74814000000</v>
      </c>
      <c r="J200">
        <v>210275864552</v>
      </c>
      <c r="K200">
        <v>652093918193</v>
      </c>
      <c r="L200">
        <v>628265694552</v>
      </c>
      <c r="M200">
        <v>0</v>
      </c>
      <c r="N200">
        <v>200012784800</v>
      </c>
    </row>
    <row r="201" spans="1:18" x14ac:dyDescent="0.35">
      <c r="A201" t="s">
        <v>1940</v>
      </c>
      <c r="B201" t="s">
        <v>1977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8" x14ac:dyDescent="0.35">
      <c r="A202" t="s">
        <v>1940</v>
      </c>
      <c r="B202" t="s">
        <v>166</v>
      </c>
      <c r="C202">
        <v>1806405800788</v>
      </c>
      <c r="D202">
        <v>2649286560949</v>
      </c>
      <c r="E202">
        <v>443321812896</v>
      </c>
      <c r="F202">
        <v>769276289133</v>
      </c>
      <c r="G202">
        <v>1074214022806</v>
      </c>
      <c r="H202">
        <v>2098984073304</v>
      </c>
      <c r="I202">
        <v>513367899324</v>
      </c>
      <c r="J202">
        <v>722735925046</v>
      </c>
      <c r="K202">
        <v>148354763287</v>
      </c>
      <c r="L202">
        <v>283465244226</v>
      </c>
      <c r="M202">
        <v>87949740372</v>
      </c>
      <c r="N202">
        <v>93101098351</v>
      </c>
      <c r="P202">
        <v>521353763372</v>
      </c>
      <c r="Q202">
        <v>12930000000</v>
      </c>
      <c r="R202">
        <v>14190000000</v>
      </c>
    </row>
    <row r="203" spans="1:18" x14ac:dyDescent="0.35">
      <c r="A203" t="s">
        <v>1940</v>
      </c>
      <c r="B203" t="s">
        <v>167</v>
      </c>
      <c r="C203">
        <v>-1166053925531</v>
      </c>
      <c r="D203">
        <v>-2660149742109</v>
      </c>
      <c r="E203">
        <v>-195923919950</v>
      </c>
      <c r="F203">
        <v>-752997854400</v>
      </c>
      <c r="G203">
        <v>-1177022866592</v>
      </c>
      <c r="H203">
        <v>-1700704067392</v>
      </c>
      <c r="I203">
        <v>-605017366663</v>
      </c>
      <c r="J203">
        <v>-1210535027386</v>
      </c>
      <c r="K203">
        <v>-1104945613720</v>
      </c>
      <c r="L203">
        <v>-1505518794670</v>
      </c>
      <c r="M203">
        <v>-141772408262</v>
      </c>
      <c r="N203">
        <v>-352195888003</v>
      </c>
      <c r="P203">
        <v>-1069568568897</v>
      </c>
      <c r="Q203">
        <v>-273919834158</v>
      </c>
      <c r="R203">
        <v>-341349645054</v>
      </c>
    </row>
    <row r="204" spans="1:18" x14ac:dyDescent="0.35">
      <c r="A204" t="s">
        <v>1940</v>
      </c>
      <c r="B204" t="s">
        <v>1978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8" x14ac:dyDescent="0.35">
      <c r="A205" t="s">
        <v>1940</v>
      </c>
      <c r="B205" t="s">
        <v>168</v>
      </c>
      <c r="C205">
        <v>-248358410825</v>
      </c>
      <c r="D205">
        <v>-118635345850</v>
      </c>
      <c r="E205">
        <v>-22732984000</v>
      </c>
      <c r="F205">
        <v>-196274560400</v>
      </c>
      <c r="G205">
        <v>-219659933425</v>
      </c>
      <c r="H205">
        <v>-324369937520</v>
      </c>
      <c r="I205">
        <v>0</v>
      </c>
      <c r="J205">
        <v>0</v>
      </c>
      <c r="K205">
        <v>-422393401998</v>
      </c>
      <c r="L205">
        <v>-407670830000</v>
      </c>
      <c r="M205">
        <v>0</v>
      </c>
      <c r="N205">
        <v>-58947343618</v>
      </c>
      <c r="P205">
        <v>-119405383058</v>
      </c>
    </row>
    <row r="206" spans="1:18" x14ac:dyDescent="0.35">
      <c r="A206" t="s">
        <v>1940</v>
      </c>
      <c r="B206" t="s">
        <v>169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8" x14ac:dyDescent="0.35">
      <c r="A207" t="s">
        <v>1940</v>
      </c>
      <c r="B207" t="s">
        <v>170</v>
      </c>
      <c r="C207">
        <v>399210468171</v>
      </c>
      <c r="D207">
        <v>-128612715010</v>
      </c>
      <c r="E207">
        <v>224664908946</v>
      </c>
      <c r="F207">
        <v>-179996125667</v>
      </c>
      <c r="G207">
        <v>-322458777211</v>
      </c>
      <c r="H207">
        <v>396195940519</v>
      </c>
      <c r="I207">
        <v>-16835467339</v>
      </c>
      <c r="J207">
        <v>-277523237788</v>
      </c>
      <c r="K207">
        <v>-726890334238</v>
      </c>
      <c r="L207">
        <v>-1001458685892</v>
      </c>
      <c r="M207">
        <v>-53822667890</v>
      </c>
      <c r="N207">
        <v>-318042133270</v>
      </c>
      <c r="P207">
        <v>-667620188583</v>
      </c>
      <c r="Q207">
        <v>-260989834158</v>
      </c>
      <c r="R207">
        <v>-327159645054</v>
      </c>
    </row>
    <row r="208" spans="1:18" x14ac:dyDescent="0.35">
      <c r="A208" t="s">
        <v>1940</v>
      </c>
      <c r="B208" t="s">
        <v>171</v>
      </c>
      <c r="C208">
        <v>-79633362023</v>
      </c>
      <c r="D208">
        <v>1958081310</v>
      </c>
      <c r="E208">
        <v>59894953265</v>
      </c>
      <c r="F208">
        <v>-27588930973</v>
      </c>
      <c r="G208">
        <v>90795285205</v>
      </c>
      <c r="H208">
        <v>-187913699033</v>
      </c>
      <c r="I208">
        <v>59821567748</v>
      </c>
      <c r="J208">
        <v>42408936076</v>
      </c>
      <c r="K208">
        <v>-44997741695</v>
      </c>
      <c r="L208">
        <v>118136474661</v>
      </c>
      <c r="M208">
        <v>-258161560789</v>
      </c>
      <c r="N208">
        <v>-485721327213</v>
      </c>
      <c r="P208">
        <v>-437922495517</v>
      </c>
      <c r="Q208">
        <v>332769991370</v>
      </c>
      <c r="R208">
        <v>226922617410</v>
      </c>
    </row>
    <row r="209" spans="1:18" x14ac:dyDescent="0.35">
      <c r="A209" t="s">
        <v>1940</v>
      </c>
      <c r="B209" t="s">
        <v>172</v>
      </c>
      <c r="C209">
        <v>400931370621</v>
      </c>
      <c r="D209">
        <v>176477881051</v>
      </c>
      <c r="E209">
        <v>437921796024</v>
      </c>
      <c r="F209">
        <v>437921796024</v>
      </c>
      <c r="G209">
        <v>437921796024</v>
      </c>
      <c r="H209">
        <v>437921796024</v>
      </c>
      <c r="I209">
        <v>230395142669</v>
      </c>
      <c r="J209">
        <v>230395142669</v>
      </c>
      <c r="K209">
        <v>230395142669</v>
      </c>
      <c r="L209">
        <v>230395142669</v>
      </c>
      <c r="M209">
        <v>694458293386</v>
      </c>
      <c r="N209">
        <v>694458293386</v>
      </c>
      <c r="P209">
        <v>694458293386</v>
      </c>
      <c r="Q209">
        <v>245549342427</v>
      </c>
      <c r="R209">
        <v>245549342427</v>
      </c>
    </row>
    <row r="210" spans="1:18" x14ac:dyDescent="0.35">
      <c r="A210" t="s">
        <v>1940</v>
      </c>
      <c r="B210" t="s">
        <v>173</v>
      </c>
      <c r="C210">
        <v>-11570728272</v>
      </c>
      <c r="D210">
        <v>0</v>
      </c>
      <c r="E210">
        <v>0</v>
      </c>
      <c r="F210">
        <v>0</v>
      </c>
      <c r="G210">
        <v>-33877564663</v>
      </c>
      <c r="H210">
        <v>-34345777230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P210">
        <v>-10926483143</v>
      </c>
    </row>
    <row r="211" spans="1:18" x14ac:dyDescent="0.35">
      <c r="A211" t="s">
        <v>1940</v>
      </c>
      <c r="B211" t="s">
        <v>174</v>
      </c>
      <c r="C211">
        <v>309727280326</v>
      </c>
      <c r="D211">
        <v>178435962361</v>
      </c>
      <c r="E211">
        <v>497816749289</v>
      </c>
      <c r="F211">
        <v>410332865051</v>
      </c>
      <c r="G211">
        <v>494839516566</v>
      </c>
      <c r="H211">
        <v>215662319761</v>
      </c>
      <c r="I211">
        <v>290216710417</v>
      </c>
      <c r="J211">
        <v>272804078745</v>
      </c>
      <c r="K211">
        <v>185397400974</v>
      </c>
      <c r="L211">
        <v>348531617330</v>
      </c>
      <c r="M211">
        <v>436296732597</v>
      </c>
      <c r="N211">
        <v>208736966173</v>
      </c>
      <c r="P211">
        <v>245609314726</v>
      </c>
      <c r="Q211">
        <v>578319333797</v>
      </c>
      <c r="R211">
        <v>472471959837</v>
      </c>
    </row>
    <row r="212" spans="1:18" x14ac:dyDescent="0.35">
      <c r="A212" t="s">
        <v>1941</v>
      </c>
      <c r="B212" t="s">
        <v>153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8" x14ac:dyDescent="0.35">
      <c r="A213" t="s">
        <v>1941</v>
      </c>
      <c r="B213" t="s">
        <v>1959</v>
      </c>
      <c r="C213">
        <v>0</v>
      </c>
      <c r="D213">
        <v>3756903097459</v>
      </c>
      <c r="E213">
        <v>558381778597</v>
      </c>
      <c r="F213">
        <v>1171358834248</v>
      </c>
      <c r="G213">
        <v>2019831485551</v>
      </c>
      <c r="H213">
        <v>2628518284263</v>
      </c>
      <c r="I213">
        <v>0</v>
      </c>
      <c r="J213">
        <v>0</v>
      </c>
      <c r="K213">
        <v>205370566567</v>
      </c>
      <c r="L213">
        <v>248565558605</v>
      </c>
      <c r="M213">
        <v>12723271480</v>
      </c>
      <c r="N213">
        <v>40735400794</v>
      </c>
      <c r="P213">
        <v>156333992131</v>
      </c>
      <c r="Q213">
        <v>18602954613</v>
      </c>
      <c r="R213">
        <v>75026650899</v>
      </c>
    </row>
    <row r="214" spans="1:18" x14ac:dyDescent="0.35">
      <c r="A214" t="s">
        <v>1941</v>
      </c>
      <c r="B214" t="s">
        <v>1960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8" x14ac:dyDescent="0.35">
      <c r="A215" t="s">
        <v>1941</v>
      </c>
      <c r="B215" t="s">
        <v>1961</v>
      </c>
      <c r="C215">
        <v>0</v>
      </c>
      <c r="D215">
        <v>-2622395672055</v>
      </c>
      <c r="E215">
        <v>-371457378825</v>
      </c>
      <c r="F215">
        <v>-723090765305</v>
      </c>
      <c r="G215">
        <v>-1344260696930</v>
      </c>
      <c r="H215">
        <v>-2093028801346</v>
      </c>
      <c r="I215">
        <v>0</v>
      </c>
      <c r="J215">
        <v>0</v>
      </c>
      <c r="K215">
        <v>79216746481</v>
      </c>
      <c r="L215">
        <v>92943255071</v>
      </c>
      <c r="M215">
        <v>24020888110</v>
      </c>
      <c r="N215">
        <v>49732726419</v>
      </c>
      <c r="P215">
        <v>107412760490</v>
      </c>
      <c r="Q215">
        <v>29870526136</v>
      </c>
      <c r="R215">
        <v>61360539456</v>
      </c>
    </row>
    <row r="216" spans="1:18" x14ac:dyDescent="0.35">
      <c r="A216" t="s">
        <v>1941</v>
      </c>
      <c r="B216" t="s">
        <v>1962</v>
      </c>
      <c r="C216">
        <v>0</v>
      </c>
      <c r="D216">
        <v>-80840528779</v>
      </c>
      <c r="E216">
        <v>-17376927626</v>
      </c>
      <c r="F216">
        <v>-30693953177</v>
      </c>
      <c r="G216">
        <v>-40927543323</v>
      </c>
      <c r="H216">
        <v>-52237264849</v>
      </c>
      <c r="I216">
        <v>0</v>
      </c>
      <c r="J216">
        <v>0</v>
      </c>
      <c r="K216">
        <v>2533018070</v>
      </c>
      <c r="L216">
        <v>7813736963</v>
      </c>
      <c r="M216">
        <v>0</v>
      </c>
      <c r="N216">
        <v>440258464</v>
      </c>
      <c r="P216">
        <v>57521162039</v>
      </c>
      <c r="Q216">
        <v>1670000000</v>
      </c>
      <c r="R216">
        <v>4107506721</v>
      </c>
    </row>
    <row r="217" spans="1:18" x14ac:dyDescent="0.35">
      <c r="A217" t="s">
        <v>1941</v>
      </c>
      <c r="B217" t="s">
        <v>1963</v>
      </c>
      <c r="C217">
        <v>0</v>
      </c>
      <c r="D217">
        <v>-119417053222</v>
      </c>
      <c r="E217">
        <v>-16783894409</v>
      </c>
      <c r="F217">
        <v>-55355984459</v>
      </c>
      <c r="G217">
        <v>-79767984048</v>
      </c>
      <c r="H217">
        <v>-104198008248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1542678770</v>
      </c>
    </row>
    <row r="218" spans="1:18" x14ac:dyDescent="0.35">
      <c r="A218" t="s">
        <v>1941</v>
      </c>
      <c r="B218" t="s">
        <v>1964</v>
      </c>
      <c r="C218">
        <v>0</v>
      </c>
      <c r="D218">
        <v>-35566537716</v>
      </c>
      <c r="E218">
        <v>-3101368511</v>
      </c>
      <c r="F218">
        <v>-3659019814</v>
      </c>
      <c r="G218">
        <v>-3720178886</v>
      </c>
      <c r="H218">
        <v>-4005178886</v>
      </c>
      <c r="I218">
        <v>0</v>
      </c>
      <c r="J218">
        <v>0</v>
      </c>
      <c r="K218">
        <v>-219982582886</v>
      </c>
      <c r="L218">
        <v>-258106475604</v>
      </c>
      <c r="M218">
        <v>-1924315494</v>
      </c>
      <c r="N218">
        <v>-4651068177</v>
      </c>
      <c r="P218">
        <v>-1399345586</v>
      </c>
      <c r="Q218">
        <v>-2037866774</v>
      </c>
      <c r="R218">
        <v>-1599807022</v>
      </c>
    </row>
    <row r="219" spans="1:18" x14ac:dyDescent="0.35">
      <c r="A219" t="s">
        <v>1941</v>
      </c>
      <c r="B219" t="s">
        <v>1965</v>
      </c>
      <c r="C219">
        <v>0</v>
      </c>
      <c r="D219">
        <v>329814223793</v>
      </c>
      <c r="E219">
        <v>19198336112</v>
      </c>
      <c r="F219">
        <v>92614434007</v>
      </c>
      <c r="G219">
        <v>214360945750</v>
      </c>
      <c r="H219">
        <v>230520769079</v>
      </c>
      <c r="I219">
        <v>0</v>
      </c>
      <c r="J219">
        <v>0</v>
      </c>
      <c r="K219">
        <v>55976765637</v>
      </c>
      <c r="L219">
        <v>68948692550</v>
      </c>
      <c r="M219">
        <v>10574095613</v>
      </c>
      <c r="N219">
        <v>21769660685</v>
      </c>
      <c r="P219">
        <v>44303486405</v>
      </c>
      <c r="Q219">
        <v>12672757128</v>
      </c>
      <c r="R219">
        <v>27261602713</v>
      </c>
    </row>
    <row r="220" spans="1:18" x14ac:dyDescent="0.35">
      <c r="A220" t="s">
        <v>1941</v>
      </c>
      <c r="B220" t="s">
        <v>1966</v>
      </c>
      <c r="C220">
        <v>0</v>
      </c>
      <c r="D220">
        <v>-637980743677</v>
      </c>
      <c r="E220">
        <v>-49714116178</v>
      </c>
      <c r="F220">
        <v>-148613325669</v>
      </c>
      <c r="G220">
        <v>-283671445179</v>
      </c>
      <c r="H220">
        <v>-307451441733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8" x14ac:dyDescent="0.35">
      <c r="A221" t="s">
        <v>1941</v>
      </c>
      <c r="B221" t="s">
        <v>1967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123114513869</v>
      </c>
      <c r="L221">
        <v>160164767585</v>
      </c>
      <c r="M221">
        <v>45393939709</v>
      </c>
      <c r="N221">
        <v>108026978185</v>
      </c>
      <c r="P221">
        <v>365714734249</v>
      </c>
      <c r="Q221">
        <v>60778371103</v>
      </c>
      <c r="R221">
        <v>166156492767</v>
      </c>
    </row>
    <row r="222" spans="1:18" x14ac:dyDescent="0.35">
      <c r="A222" t="s">
        <v>1941</v>
      </c>
      <c r="B222" t="s">
        <v>1968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-48581723304</v>
      </c>
      <c r="L222">
        <v>357984091532</v>
      </c>
      <c r="M222">
        <v>21545320972</v>
      </c>
      <c r="N222">
        <v>-206904156656</v>
      </c>
      <c r="P222">
        <v>-800467248525</v>
      </c>
      <c r="Q222">
        <v>2952179431</v>
      </c>
      <c r="R222">
        <v>-19686751835</v>
      </c>
    </row>
    <row r="223" spans="1:18" x14ac:dyDescent="0.35">
      <c r="A223" t="s">
        <v>1941</v>
      </c>
      <c r="B223" t="s">
        <v>1969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-340901265092</v>
      </c>
      <c r="L223">
        <v>-317362472178</v>
      </c>
      <c r="M223">
        <v>1386910021</v>
      </c>
      <c r="N223">
        <v>124335847741</v>
      </c>
      <c r="P223">
        <v>-119781212103</v>
      </c>
      <c r="Q223">
        <v>-253194747671</v>
      </c>
      <c r="R223">
        <v>-388598079252</v>
      </c>
    </row>
    <row r="224" spans="1:18" x14ac:dyDescent="0.35">
      <c r="A224" t="s">
        <v>1941</v>
      </c>
      <c r="B224" t="s">
        <v>1970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-255712254291</v>
      </c>
      <c r="L224">
        <v>-871279183203</v>
      </c>
      <c r="M224">
        <v>227083149146</v>
      </c>
      <c r="N224">
        <v>69973479258</v>
      </c>
      <c r="P224">
        <v>982125902992</v>
      </c>
      <c r="Q224">
        <v>-116626484064</v>
      </c>
      <c r="R224">
        <v>-307180171920</v>
      </c>
    </row>
    <row r="225" spans="1:18" x14ac:dyDescent="0.35">
      <c r="A225" t="s">
        <v>1941</v>
      </c>
      <c r="B225" t="s">
        <v>1971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-1118427197</v>
      </c>
      <c r="L225">
        <v>504792730</v>
      </c>
      <c r="M225">
        <v>46162699</v>
      </c>
      <c r="N225">
        <v>-14852811803</v>
      </c>
      <c r="P225">
        <v>-31744399834</v>
      </c>
      <c r="Q225">
        <v>4852659245</v>
      </c>
      <c r="R225">
        <v>4697592195</v>
      </c>
    </row>
    <row r="226" spans="1:18" x14ac:dyDescent="0.35">
      <c r="A226" t="s">
        <v>1941</v>
      </c>
      <c r="B226" t="s">
        <v>1972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8" x14ac:dyDescent="0.35">
      <c r="A227" t="s">
        <v>1941</v>
      </c>
      <c r="B227" t="s">
        <v>1973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-35713855094</v>
      </c>
      <c r="L227">
        <v>-34088208781</v>
      </c>
      <c r="M227">
        <v>-9814326194</v>
      </c>
      <c r="N227">
        <v>-21647122383</v>
      </c>
      <c r="P227">
        <v>-48548962224</v>
      </c>
      <c r="Q227">
        <v>-12819213404</v>
      </c>
      <c r="R227">
        <v>-26129739379</v>
      </c>
    </row>
    <row r="228" spans="1:18" x14ac:dyDescent="0.35">
      <c r="A228" t="s">
        <v>1941</v>
      </c>
      <c r="B228" t="s">
        <v>1974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-118234168333</v>
      </c>
      <c r="L228">
        <v>-118294168333</v>
      </c>
      <c r="M228">
        <v>-753417825</v>
      </c>
      <c r="N228">
        <v>-1373900937</v>
      </c>
      <c r="P228">
        <v>-25360978157</v>
      </c>
      <c r="Q228">
        <v>-1720486567</v>
      </c>
      <c r="R228">
        <v>-2200000000</v>
      </c>
    </row>
    <row r="229" spans="1:18" x14ac:dyDescent="0.35">
      <c r="A229" t="s">
        <v>1941</v>
      </c>
      <c r="B229" t="s">
        <v>1975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17748460000</v>
      </c>
      <c r="L229">
        <v>0</v>
      </c>
      <c r="M229">
        <v>0</v>
      </c>
      <c r="N229">
        <v>0</v>
      </c>
    </row>
    <row r="230" spans="1:18" x14ac:dyDescent="0.35">
      <c r="A230" t="s">
        <v>1941</v>
      </c>
      <c r="B230" t="s">
        <v>1976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8" x14ac:dyDescent="0.35">
      <c r="A231" t="s">
        <v>1941</v>
      </c>
      <c r="B231" t="s">
        <v>154</v>
      </c>
      <c r="C231">
        <v>0</v>
      </c>
      <c r="D231">
        <v>590516785803</v>
      </c>
      <c r="E231">
        <v>119146429160</v>
      </c>
      <c r="F231">
        <v>302560219831</v>
      </c>
      <c r="G231">
        <v>481844582935</v>
      </c>
      <c r="H231">
        <v>298118358280</v>
      </c>
      <c r="I231">
        <v>0</v>
      </c>
      <c r="J231">
        <v>0</v>
      </c>
      <c r="K231">
        <v>-659398719442</v>
      </c>
      <c r="L231">
        <v>-822370380648</v>
      </c>
      <c r="M231">
        <v>284887738528</v>
      </c>
      <c r="N231">
        <v>57558313405</v>
      </c>
      <c r="P231">
        <v>321937836398</v>
      </c>
      <c r="Q231">
        <v>-315777721927</v>
      </c>
      <c r="R231">
        <v>-572940657424</v>
      </c>
    </row>
    <row r="232" spans="1:18" x14ac:dyDescent="0.35">
      <c r="A232" t="s">
        <v>1941</v>
      </c>
      <c r="B232" t="s">
        <v>155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8" x14ac:dyDescent="0.35">
      <c r="A233" t="s">
        <v>1941</v>
      </c>
      <c r="B233" t="s">
        <v>156</v>
      </c>
      <c r="C233">
        <v>-374046245176</v>
      </c>
      <c r="D233">
        <v>-559622810512</v>
      </c>
      <c r="E233">
        <v>-676103109</v>
      </c>
      <c r="F233">
        <v>-31323411</v>
      </c>
      <c r="G233">
        <v>-82767593</v>
      </c>
      <c r="H233">
        <v>-1511636289</v>
      </c>
      <c r="I233">
        <v>-3518251</v>
      </c>
      <c r="J233">
        <v>-78610992</v>
      </c>
      <c r="K233">
        <v>-2407611363</v>
      </c>
      <c r="L233">
        <v>-7617425505</v>
      </c>
      <c r="M233">
        <v>-329315852</v>
      </c>
      <c r="N233">
        <v>-836794000</v>
      </c>
      <c r="P233">
        <v>-14663658704</v>
      </c>
      <c r="Q233">
        <v>-4639925927</v>
      </c>
      <c r="R233">
        <v>-8479723065</v>
      </c>
    </row>
    <row r="234" spans="1:18" x14ac:dyDescent="0.35">
      <c r="A234" t="s">
        <v>1941</v>
      </c>
      <c r="B234" t="s">
        <v>157</v>
      </c>
      <c r="C234">
        <v>117000000</v>
      </c>
      <c r="D234">
        <v>532000000</v>
      </c>
      <c r="E234">
        <v>0</v>
      </c>
      <c r="F234">
        <v>310000000</v>
      </c>
      <c r="G234">
        <v>310000000</v>
      </c>
      <c r="H234">
        <v>460000000</v>
      </c>
      <c r="I234">
        <v>0</v>
      </c>
      <c r="J234">
        <v>990000000</v>
      </c>
      <c r="K234">
        <v>990000000</v>
      </c>
      <c r="L234">
        <v>796887173</v>
      </c>
      <c r="M234">
        <v>0</v>
      </c>
      <c r="N234">
        <v>0</v>
      </c>
      <c r="P234">
        <v>50000000</v>
      </c>
    </row>
    <row r="235" spans="1:18" x14ac:dyDescent="0.35">
      <c r="A235" t="s">
        <v>1941</v>
      </c>
      <c r="B235" t="s">
        <v>158</v>
      </c>
      <c r="C235">
        <v>-49730000000</v>
      </c>
      <c r="D235">
        <v>-52430000000</v>
      </c>
      <c r="E235">
        <v>-2500000000</v>
      </c>
      <c r="F235">
        <v>-43855000000</v>
      </c>
      <c r="G235">
        <v>-57482451700</v>
      </c>
      <c r="H235">
        <v>-313887451700</v>
      </c>
      <c r="I235">
        <v>-3400000000</v>
      </c>
      <c r="J235">
        <v>-141100000000</v>
      </c>
      <c r="K235">
        <v>-453363391109</v>
      </c>
      <c r="L235">
        <v>-261823391109</v>
      </c>
      <c r="M235">
        <v>-21467486712</v>
      </c>
      <c r="N235">
        <v>-448104862472</v>
      </c>
      <c r="P235">
        <v>-765015282690</v>
      </c>
      <c r="Q235">
        <v>-14231000000</v>
      </c>
      <c r="R235">
        <v>-7620208459</v>
      </c>
    </row>
    <row r="236" spans="1:18" x14ac:dyDescent="0.35">
      <c r="A236" t="s">
        <v>1941</v>
      </c>
      <c r="B236" t="s">
        <v>159</v>
      </c>
      <c r="C236">
        <v>85159519500</v>
      </c>
      <c r="D236">
        <v>89703586629</v>
      </c>
      <c r="E236">
        <v>5000000000</v>
      </c>
      <c r="F236">
        <v>35000000000</v>
      </c>
      <c r="G236">
        <v>68445000000</v>
      </c>
      <c r="H236">
        <v>88589803640</v>
      </c>
      <c r="I236">
        <v>159310847029</v>
      </c>
      <c r="J236">
        <v>188630000000</v>
      </c>
      <c r="K236">
        <v>399000000000</v>
      </c>
      <c r="L236">
        <v>182025606393</v>
      </c>
      <c r="M236">
        <v>22313771080</v>
      </c>
      <c r="N236">
        <v>311050000000</v>
      </c>
      <c r="P236">
        <v>959536176432</v>
      </c>
      <c r="Q236">
        <v>30000000000</v>
      </c>
      <c r="R236">
        <v>34700000000</v>
      </c>
    </row>
    <row r="237" spans="1:18" x14ac:dyDescent="0.35">
      <c r="A237" t="s">
        <v>1941</v>
      </c>
      <c r="B237" t="s">
        <v>160</v>
      </c>
      <c r="C237">
        <v>-5245100000</v>
      </c>
      <c r="D237">
        <v>-12911760000</v>
      </c>
      <c r="E237">
        <v>-100000000</v>
      </c>
      <c r="F237">
        <v>-100000000</v>
      </c>
      <c r="G237">
        <v>-100000000</v>
      </c>
      <c r="H237">
        <v>-100000000</v>
      </c>
      <c r="I237">
        <v>-200000000</v>
      </c>
      <c r="J237">
        <v>-200000000</v>
      </c>
      <c r="K237">
        <v>-500000000</v>
      </c>
      <c r="L237">
        <v>-500000000</v>
      </c>
      <c r="M237">
        <v>0</v>
      </c>
      <c r="N237">
        <v>0</v>
      </c>
    </row>
    <row r="238" spans="1:18" x14ac:dyDescent="0.35">
      <c r="A238" t="s">
        <v>1941</v>
      </c>
      <c r="B238" t="s">
        <v>161</v>
      </c>
      <c r="C238">
        <v>1500000000</v>
      </c>
      <c r="D238">
        <v>37480000000</v>
      </c>
      <c r="E238">
        <v>0</v>
      </c>
      <c r="F238">
        <v>1054550000</v>
      </c>
      <c r="G238">
        <v>1054550000</v>
      </c>
      <c r="H238">
        <v>1054550000</v>
      </c>
      <c r="I238">
        <v>184827368000</v>
      </c>
      <c r="J238">
        <v>370682766000</v>
      </c>
      <c r="K238">
        <v>448412470445</v>
      </c>
      <c r="L238">
        <v>525182020445</v>
      </c>
      <c r="M238">
        <v>0</v>
      </c>
      <c r="N238">
        <v>10793640000</v>
      </c>
      <c r="P238">
        <v>156495471417</v>
      </c>
    </row>
    <row r="239" spans="1:18" x14ac:dyDescent="0.35">
      <c r="A239" t="s">
        <v>1941</v>
      </c>
      <c r="B239" t="s">
        <v>162</v>
      </c>
      <c r="C239">
        <v>4481637907</v>
      </c>
      <c r="D239">
        <v>8245094130</v>
      </c>
      <c r="E239">
        <v>327754027</v>
      </c>
      <c r="F239">
        <v>684101888</v>
      </c>
      <c r="G239">
        <v>1351812168</v>
      </c>
      <c r="H239">
        <v>1877243984</v>
      </c>
      <c r="I239">
        <v>1928094319</v>
      </c>
      <c r="J239">
        <v>2677091649</v>
      </c>
      <c r="K239">
        <v>4005141812</v>
      </c>
      <c r="L239">
        <v>5201998678</v>
      </c>
      <c r="M239">
        <v>1512955529</v>
      </c>
      <c r="N239">
        <v>3475882230</v>
      </c>
      <c r="P239">
        <v>7420063191</v>
      </c>
      <c r="Q239">
        <v>2037866774</v>
      </c>
      <c r="R239">
        <v>2001942361</v>
      </c>
    </row>
    <row r="240" spans="1:18" x14ac:dyDescent="0.35">
      <c r="A240" t="s">
        <v>1941</v>
      </c>
      <c r="B240" t="s">
        <v>163</v>
      </c>
      <c r="C240">
        <v>-337763187769</v>
      </c>
      <c r="D240">
        <v>-489003889753</v>
      </c>
      <c r="E240">
        <v>2051650918</v>
      </c>
      <c r="F240">
        <v>-6937671523</v>
      </c>
      <c r="G240">
        <v>13496142875</v>
      </c>
      <c r="H240">
        <v>-223517490365</v>
      </c>
      <c r="I240">
        <v>342462791097</v>
      </c>
      <c r="J240">
        <v>421601246657</v>
      </c>
      <c r="K240">
        <v>396136609785</v>
      </c>
      <c r="L240">
        <v>443265696075</v>
      </c>
      <c r="M240">
        <v>2029924045</v>
      </c>
      <c r="N240">
        <v>-123622134242</v>
      </c>
      <c r="P240">
        <v>343822769646</v>
      </c>
      <c r="Q240">
        <v>13166940847</v>
      </c>
      <c r="R240">
        <v>20602010837</v>
      </c>
    </row>
    <row r="241" spans="1:18" x14ac:dyDescent="0.35">
      <c r="A241" t="s">
        <v>1941</v>
      </c>
      <c r="B241" t="s">
        <v>164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8" x14ac:dyDescent="0.35">
      <c r="A242" t="s">
        <v>1941</v>
      </c>
      <c r="B242" t="s">
        <v>165</v>
      </c>
      <c r="C242">
        <v>2374048000</v>
      </c>
      <c r="D242">
        <v>2374048000</v>
      </c>
      <c r="E242">
        <v>0</v>
      </c>
      <c r="F242">
        <v>0</v>
      </c>
      <c r="G242">
        <v>0</v>
      </c>
      <c r="H242">
        <v>479377670000</v>
      </c>
      <c r="I242">
        <v>0</v>
      </c>
      <c r="J242">
        <v>1371000000</v>
      </c>
      <c r="K242">
        <v>1371000000</v>
      </c>
      <c r="L242">
        <v>1371000000</v>
      </c>
      <c r="M242">
        <v>0</v>
      </c>
      <c r="N242">
        <v>0</v>
      </c>
      <c r="R242">
        <v>34510000000</v>
      </c>
    </row>
    <row r="243" spans="1:18" x14ac:dyDescent="0.35">
      <c r="A243" t="s">
        <v>1941</v>
      </c>
      <c r="B243" t="s">
        <v>1977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8" x14ac:dyDescent="0.35">
      <c r="A244" t="s">
        <v>1941</v>
      </c>
      <c r="B244" t="s">
        <v>166</v>
      </c>
      <c r="C244">
        <v>1284717290265</v>
      </c>
      <c r="D244">
        <v>1866224955789</v>
      </c>
      <c r="E244">
        <v>129821472455</v>
      </c>
      <c r="F244">
        <v>262056644625</v>
      </c>
      <c r="G244">
        <v>468187472149</v>
      </c>
      <c r="H244">
        <v>664605901421</v>
      </c>
      <c r="I244">
        <v>229192833409</v>
      </c>
      <c r="J244">
        <v>428100007009</v>
      </c>
      <c r="K244">
        <v>591469121648</v>
      </c>
      <c r="L244">
        <v>863658401672</v>
      </c>
      <c r="M244">
        <v>179545052689</v>
      </c>
      <c r="N244">
        <v>477651989898</v>
      </c>
      <c r="P244">
        <v>952401530174</v>
      </c>
      <c r="Q244">
        <v>273753953807</v>
      </c>
      <c r="R244">
        <v>685450106534</v>
      </c>
    </row>
    <row r="245" spans="1:18" x14ac:dyDescent="0.35">
      <c r="A245" t="s">
        <v>1941</v>
      </c>
      <c r="B245" t="s">
        <v>167</v>
      </c>
      <c r="C245">
        <v>-1038681964765</v>
      </c>
      <c r="D245">
        <v>-1659113578552</v>
      </c>
      <c r="E245">
        <v>-276497826500</v>
      </c>
      <c r="F245">
        <v>-493805427851</v>
      </c>
      <c r="G245">
        <v>-816752572949</v>
      </c>
      <c r="H245">
        <v>-1105449822312</v>
      </c>
      <c r="I245">
        <v>-89894666105</v>
      </c>
      <c r="J245">
        <v>-231006072113</v>
      </c>
      <c r="K245">
        <v>-442438060717</v>
      </c>
      <c r="L245">
        <v>-610938128499</v>
      </c>
      <c r="M245">
        <v>-164005410701</v>
      </c>
      <c r="N245">
        <v>-329962048307</v>
      </c>
      <c r="P245">
        <v>-839700898827</v>
      </c>
      <c r="Q245">
        <v>-226528724845</v>
      </c>
      <c r="R245">
        <v>-509279723444</v>
      </c>
    </row>
    <row r="246" spans="1:18" x14ac:dyDescent="0.35">
      <c r="A246" t="s">
        <v>1941</v>
      </c>
      <c r="B246" t="s">
        <v>1978</v>
      </c>
      <c r="C246">
        <v>-26166782841</v>
      </c>
      <c r="D246">
        <v>-31445143887</v>
      </c>
      <c r="E246">
        <v>-2639180523</v>
      </c>
      <c r="F246">
        <v>-8255861046</v>
      </c>
      <c r="G246">
        <v>-14493020295</v>
      </c>
      <c r="H246">
        <v>-22366072367</v>
      </c>
      <c r="I246">
        <v>-8363216326</v>
      </c>
      <c r="J246">
        <v>-17285672775</v>
      </c>
      <c r="K246">
        <v>-26786817232</v>
      </c>
      <c r="L246">
        <v>-36263042077</v>
      </c>
      <c r="M246">
        <v>-13249257625</v>
      </c>
      <c r="N246">
        <v>-23496533518</v>
      </c>
      <c r="P246">
        <v>-82110715370</v>
      </c>
      <c r="Q246">
        <v>-24970988509</v>
      </c>
      <c r="R246">
        <v>-49129689552</v>
      </c>
    </row>
    <row r="247" spans="1:18" x14ac:dyDescent="0.35">
      <c r="A247" t="s">
        <v>1941</v>
      </c>
      <c r="B247" t="s">
        <v>168</v>
      </c>
      <c r="C247">
        <v>-22447740</v>
      </c>
      <c r="D247">
        <v>-38407740</v>
      </c>
      <c r="E247">
        <v>-19950000</v>
      </c>
      <c r="F247">
        <v>-76724264015</v>
      </c>
      <c r="G247">
        <v>-76759889015</v>
      </c>
      <c r="H247">
        <v>-76809271915</v>
      </c>
      <c r="I247">
        <v>0</v>
      </c>
      <c r="J247">
        <v>0</v>
      </c>
      <c r="K247">
        <v>-3993325</v>
      </c>
      <c r="L247">
        <v>-3993325</v>
      </c>
      <c r="M247">
        <v>0</v>
      </c>
      <c r="N247">
        <v>-126278867785</v>
      </c>
      <c r="P247">
        <v>-126278867785</v>
      </c>
    </row>
    <row r="248" spans="1:18" x14ac:dyDescent="0.35">
      <c r="A248" t="s">
        <v>1941</v>
      </c>
      <c r="B248" t="s">
        <v>169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8" x14ac:dyDescent="0.35">
      <c r="A249" t="s">
        <v>1941</v>
      </c>
      <c r="B249" t="s">
        <v>170</v>
      </c>
      <c r="C249">
        <v>222220142919</v>
      </c>
      <c r="D249">
        <v>178001873610</v>
      </c>
      <c r="E249">
        <v>-149335484568</v>
      </c>
      <c r="F249">
        <v>-316728908287</v>
      </c>
      <c r="G249">
        <v>-439818010110</v>
      </c>
      <c r="H249">
        <v>-60641595173</v>
      </c>
      <c r="I249">
        <v>130934950978</v>
      </c>
      <c r="J249">
        <v>181179262121</v>
      </c>
      <c r="K249">
        <v>123611250374</v>
      </c>
      <c r="L249">
        <v>217824237771</v>
      </c>
      <c r="M249">
        <v>2290384363</v>
      </c>
      <c r="N249">
        <v>-2085459712</v>
      </c>
      <c r="P249">
        <v>-95688951808</v>
      </c>
      <c r="Q249">
        <v>22254240453</v>
      </c>
      <c r="R249">
        <v>161550693538</v>
      </c>
    </row>
    <row r="250" spans="1:18" x14ac:dyDescent="0.35">
      <c r="A250" t="s">
        <v>1941</v>
      </c>
      <c r="B250" t="s">
        <v>171</v>
      </c>
      <c r="C250">
        <v>286412257586</v>
      </c>
      <c r="D250">
        <v>279514769660</v>
      </c>
      <c r="E250">
        <v>-28137404490</v>
      </c>
      <c r="F250">
        <v>-21106359979</v>
      </c>
      <c r="G250">
        <v>55522715700</v>
      </c>
      <c r="H250">
        <v>13959272742</v>
      </c>
      <c r="I250">
        <v>78208714358</v>
      </c>
      <c r="J250">
        <v>14995633971</v>
      </c>
      <c r="K250">
        <v>-139650859283</v>
      </c>
      <c r="L250">
        <v>-161280446802</v>
      </c>
      <c r="M250">
        <v>289208046936</v>
      </c>
      <c r="N250">
        <v>-68149280549</v>
      </c>
      <c r="P250">
        <v>570071654236</v>
      </c>
      <c r="Q250">
        <v>-280356540627</v>
      </c>
      <c r="R250">
        <v>-390787953049</v>
      </c>
    </row>
    <row r="251" spans="1:18" x14ac:dyDescent="0.35">
      <c r="A251" t="s">
        <v>1941</v>
      </c>
      <c r="B251" t="s">
        <v>172</v>
      </c>
      <c r="C251">
        <v>61411536036</v>
      </c>
      <c r="D251">
        <v>61411536036</v>
      </c>
      <c r="E251">
        <v>242176851079</v>
      </c>
      <c r="F251">
        <v>242176851079</v>
      </c>
      <c r="G251">
        <v>242176851079</v>
      </c>
      <c r="H251">
        <v>242176851079</v>
      </c>
      <c r="I251">
        <v>256136123821</v>
      </c>
      <c r="J251">
        <v>256136123821</v>
      </c>
      <c r="K251">
        <v>256136123821</v>
      </c>
      <c r="L251">
        <v>256136123821</v>
      </c>
      <c r="M251">
        <v>100866753630</v>
      </c>
      <c r="N251">
        <v>100866753630</v>
      </c>
      <c r="P251">
        <v>100866753630</v>
      </c>
      <c r="Q251">
        <v>731958407866</v>
      </c>
      <c r="R251">
        <v>731958407866</v>
      </c>
    </row>
    <row r="252" spans="1:18" x14ac:dyDescent="0.35">
      <c r="A252" t="s">
        <v>1941</v>
      </c>
      <c r="B252" t="s">
        <v>173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8" x14ac:dyDescent="0.35">
      <c r="A253" t="s">
        <v>1941</v>
      </c>
      <c r="B253" t="s">
        <v>174</v>
      </c>
      <c r="C253">
        <v>347823793622</v>
      </c>
      <c r="D253">
        <v>340926305696</v>
      </c>
      <c r="E253">
        <v>214039446589</v>
      </c>
      <c r="F253">
        <v>221070491100</v>
      </c>
      <c r="G253">
        <v>297699566779</v>
      </c>
      <c r="H253">
        <v>256136123821</v>
      </c>
      <c r="I253">
        <v>334344838179</v>
      </c>
      <c r="J253">
        <v>271131757792</v>
      </c>
      <c r="K253">
        <v>116485264538</v>
      </c>
      <c r="L253">
        <v>94855677019</v>
      </c>
      <c r="M253">
        <v>390074800566</v>
      </c>
      <c r="N253">
        <v>32717473081</v>
      </c>
      <c r="P253">
        <v>670938407866</v>
      </c>
      <c r="Q253">
        <v>451601867239</v>
      </c>
      <c r="R253">
        <v>341170454817</v>
      </c>
    </row>
    <row r="254" spans="1:18" x14ac:dyDescent="0.35">
      <c r="A254" t="s">
        <v>1942</v>
      </c>
      <c r="B254" t="s">
        <v>153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8" x14ac:dyDescent="0.35">
      <c r="A255" t="s">
        <v>1942</v>
      </c>
      <c r="B255" t="s">
        <v>1959</v>
      </c>
      <c r="C255">
        <v>467243750613</v>
      </c>
      <c r="D255">
        <v>642399053674</v>
      </c>
      <c r="E255">
        <v>97183210106</v>
      </c>
      <c r="F255">
        <v>254395372085</v>
      </c>
      <c r="G255">
        <v>689748713813</v>
      </c>
      <c r="H255">
        <v>890100244091</v>
      </c>
      <c r="I255">
        <v>183913033715</v>
      </c>
      <c r="J255">
        <v>255344201763</v>
      </c>
      <c r="K255">
        <v>303299119700</v>
      </c>
      <c r="L255">
        <v>597749879992</v>
      </c>
      <c r="M255">
        <v>84389272638</v>
      </c>
      <c r="N255">
        <v>63863413984</v>
      </c>
      <c r="P255">
        <v>380563421715</v>
      </c>
      <c r="Q255">
        <v>157326927997</v>
      </c>
      <c r="R255">
        <v>252319451030</v>
      </c>
    </row>
    <row r="256" spans="1:18" x14ac:dyDescent="0.35">
      <c r="A256" t="s">
        <v>1942</v>
      </c>
      <c r="B256" t="s">
        <v>1960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8" x14ac:dyDescent="0.35">
      <c r="A257" t="s">
        <v>1942</v>
      </c>
      <c r="B257" t="s">
        <v>1961</v>
      </c>
      <c r="C257">
        <v>184807477068</v>
      </c>
      <c r="D257">
        <v>278724624439</v>
      </c>
      <c r="E257">
        <v>58953555151</v>
      </c>
      <c r="F257">
        <v>121443695668</v>
      </c>
      <c r="G257">
        <v>240126361143</v>
      </c>
      <c r="H257">
        <v>362295117384</v>
      </c>
      <c r="I257">
        <v>156159168877</v>
      </c>
      <c r="J257">
        <v>312506279751</v>
      </c>
      <c r="K257">
        <v>464821258088</v>
      </c>
      <c r="L257">
        <v>626982145053</v>
      </c>
      <c r="M257">
        <v>168472201956</v>
      </c>
      <c r="N257">
        <v>350999434030</v>
      </c>
      <c r="P257">
        <v>775611200303</v>
      </c>
      <c r="Q257">
        <v>209836666191</v>
      </c>
      <c r="R257">
        <v>422443488164</v>
      </c>
    </row>
    <row r="258" spans="1:18" x14ac:dyDescent="0.35">
      <c r="A258" t="s">
        <v>1942</v>
      </c>
      <c r="B258" t="s">
        <v>1962</v>
      </c>
      <c r="C258">
        <v>5100867312</v>
      </c>
      <c r="D258">
        <v>13764208476</v>
      </c>
      <c r="E258">
        <v>2214391172</v>
      </c>
      <c r="F258">
        <v>7423794181</v>
      </c>
      <c r="G258">
        <v>12183736982</v>
      </c>
      <c r="H258">
        <v>37497619174</v>
      </c>
      <c r="I258">
        <v>-940626755</v>
      </c>
      <c r="J258">
        <v>-1257003460</v>
      </c>
      <c r="K258">
        <v>-7465486731</v>
      </c>
      <c r="L258">
        <v>-15417265193</v>
      </c>
      <c r="M258">
        <v>-10657818689</v>
      </c>
      <c r="N258">
        <v>-10284601085</v>
      </c>
      <c r="P258">
        <v>8927585946</v>
      </c>
      <c r="Q258">
        <v>-408466119</v>
      </c>
      <c r="R258">
        <v>3500441562</v>
      </c>
    </row>
    <row r="259" spans="1:18" x14ac:dyDescent="0.35">
      <c r="A259" t="s">
        <v>1942</v>
      </c>
      <c r="B259" t="s">
        <v>1963</v>
      </c>
      <c r="C259">
        <v>0</v>
      </c>
      <c r="D259">
        <v>1934294435</v>
      </c>
      <c r="E259">
        <v>1390799978</v>
      </c>
      <c r="F259">
        <v>1521072872</v>
      </c>
      <c r="G259">
        <v>-10251605791</v>
      </c>
      <c r="H259">
        <v>9613115868</v>
      </c>
      <c r="I259">
        <v>6350401494</v>
      </c>
      <c r="J259">
        <v>78130449251</v>
      </c>
      <c r="K259">
        <v>179090618371</v>
      </c>
      <c r="L259">
        <v>130547620209</v>
      </c>
      <c r="M259">
        <v>-10925491143</v>
      </c>
      <c r="N259">
        <v>6103893501</v>
      </c>
      <c r="P259">
        <v>84371434200</v>
      </c>
      <c r="Q259">
        <v>76860810840</v>
      </c>
      <c r="R259">
        <v>127820962467</v>
      </c>
    </row>
    <row r="260" spans="1:18" x14ac:dyDescent="0.35">
      <c r="A260" t="s">
        <v>1942</v>
      </c>
      <c r="B260" t="s">
        <v>1964</v>
      </c>
      <c r="C260">
        <v>-32170974417</v>
      </c>
      <c r="D260">
        <v>-54013671799</v>
      </c>
      <c r="E260">
        <v>-23495713844</v>
      </c>
      <c r="F260">
        <v>-73689681906</v>
      </c>
      <c r="G260">
        <v>-366078470589</v>
      </c>
      <c r="H260">
        <v>-397328289232</v>
      </c>
      <c r="I260">
        <v>-21832319639</v>
      </c>
      <c r="J260">
        <v>-38591553095</v>
      </c>
      <c r="K260">
        <v>-55527321880</v>
      </c>
      <c r="L260">
        <v>-82140364899</v>
      </c>
      <c r="M260">
        <v>-55765647569</v>
      </c>
      <c r="N260">
        <v>-93177303019</v>
      </c>
      <c r="P260">
        <v>-188386119202</v>
      </c>
      <c r="Q260">
        <v>-77918323759</v>
      </c>
      <c r="R260">
        <v>-95037222123</v>
      </c>
    </row>
    <row r="261" spans="1:18" x14ac:dyDescent="0.35">
      <c r="A261" t="s">
        <v>1942</v>
      </c>
      <c r="B261" t="s">
        <v>1965</v>
      </c>
      <c r="C261">
        <v>179997994448</v>
      </c>
      <c r="D261">
        <v>242746787560</v>
      </c>
      <c r="E261">
        <v>58499893411</v>
      </c>
      <c r="F261">
        <v>136014630999</v>
      </c>
      <c r="G261">
        <v>218510941762</v>
      </c>
      <c r="H261">
        <v>0</v>
      </c>
      <c r="I261">
        <v>111543773506</v>
      </c>
      <c r="J261">
        <v>253706924210</v>
      </c>
      <c r="K261">
        <v>411030401946</v>
      </c>
      <c r="L261">
        <v>614493013639</v>
      </c>
      <c r="M261">
        <v>203488068381</v>
      </c>
      <c r="N261">
        <v>426164788989</v>
      </c>
      <c r="P261">
        <v>848525655891</v>
      </c>
      <c r="Q261">
        <v>181842355959</v>
      </c>
      <c r="R261">
        <v>384246456763</v>
      </c>
    </row>
    <row r="262" spans="1:18" x14ac:dyDescent="0.35">
      <c r="A262" t="s">
        <v>1942</v>
      </c>
      <c r="B262" t="s">
        <v>1966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8" x14ac:dyDescent="0.35">
      <c r="A263" t="s">
        <v>1942</v>
      </c>
      <c r="B263" t="s">
        <v>1967</v>
      </c>
      <c r="C263">
        <v>804979115024</v>
      </c>
      <c r="D263">
        <v>1125555296784</v>
      </c>
      <c r="E263">
        <v>194746135974</v>
      </c>
      <c r="F263">
        <v>447108883899</v>
      </c>
      <c r="G263">
        <v>784239677320</v>
      </c>
      <c r="H263">
        <v>1213517927373</v>
      </c>
      <c r="I263">
        <v>435193431197</v>
      </c>
      <c r="J263">
        <v>859839298420</v>
      </c>
      <c r="K263">
        <v>1295248589494</v>
      </c>
      <c r="L263">
        <v>1872215028801</v>
      </c>
      <c r="M263">
        <v>379000585574</v>
      </c>
      <c r="N263">
        <v>743669626400</v>
      </c>
      <c r="P263">
        <v>1909613178853</v>
      </c>
      <c r="Q263">
        <v>547539971109</v>
      </c>
      <c r="R263">
        <v>1095293577863</v>
      </c>
    </row>
    <row r="264" spans="1:18" x14ac:dyDescent="0.35">
      <c r="A264" t="s">
        <v>1942</v>
      </c>
      <c r="B264" t="s">
        <v>1968</v>
      </c>
      <c r="C264">
        <v>-1119325577927</v>
      </c>
      <c r="D264">
        <v>-1426496778365</v>
      </c>
      <c r="E264">
        <v>247863267182</v>
      </c>
      <c r="F264">
        <v>-801985628219</v>
      </c>
      <c r="G264">
        <v>-555002686725</v>
      </c>
      <c r="H264">
        <v>-2602608523</v>
      </c>
      <c r="I264">
        <v>90852932852</v>
      </c>
      <c r="J264">
        <v>539454035719</v>
      </c>
      <c r="K264">
        <v>-69960572922</v>
      </c>
      <c r="L264">
        <v>49220545398</v>
      </c>
      <c r="M264">
        <v>232552151770</v>
      </c>
      <c r="N264">
        <v>549765760814</v>
      </c>
      <c r="P264">
        <v>424486884326</v>
      </c>
      <c r="Q264">
        <v>-283135406920</v>
      </c>
      <c r="R264">
        <v>-401877939337</v>
      </c>
    </row>
    <row r="265" spans="1:18" x14ac:dyDescent="0.35">
      <c r="A265" t="s">
        <v>1942</v>
      </c>
      <c r="B265" t="s">
        <v>1969</v>
      </c>
      <c r="C265">
        <v>367220035652</v>
      </c>
      <c r="D265">
        <v>687823740159</v>
      </c>
      <c r="E265">
        <v>-247318652124</v>
      </c>
      <c r="F265">
        <v>-542032682366</v>
      </c>
      <c r="G265">
        <v>-342643433801</v>
      </c>
      <c r="H265">
        <v>-170513629152</v>
      </c>
      <c r="I265">
        <v>137909701198</v>
      </c>
      <c r="J265">
        <v>-47196956021</v>
      </c>
      <c r="K265">
        <v>-95294976370</v>
      </c>
      <c r="L265">
        <v>7698917349</v>
      </c>
      <c r="M265">
        <v>-25247856294</v>
      </c>
      <c r="N265">
        <v>-112732299368</v>
      </c>
      <c r="P265">
        <v>-29616525157</v>
      </c>
      <c r="Q265">
        <v>-169214121600</v>
      </c>
      <c r="R265">
        <v>-619720348767</v>
      </c>
    </row>
    <row r="266" spans="1:18" x14ac:dyDescent="0.35">
      <c r="A266" t="s">
        <v>1942</v>
      </c>
      <c r="B266" t="s">
        <v>1970</v>
      </c>
      <c r="C266">
        <v>183021937072</v>
      </c>
      <c r="D266">
        <v>588876540497</v>
      </c>
      <c r="E266">
        <v>629599635967</v>
      </c>
      <c r="F266">
        <v>256444244445</v>
      </c>
      <c r="G266">
        <v>604809672402</v>
      </c>
      <c r="H266">
        <v>-335723496578</v>
      </c>
      <c r="I266">
        <v>-358480264936</v>
      </c>
      <c r="J266">
        <v>-444707683027</v>
      </c>
      <c r="K266">
        <v>425557013372</v>
      </c>
      <c r="L266">
        <v>-163332694816</v>
      </c>
      <c r="M266">
        <v>-311111612799</v>
      </c>
      <c r="N266">
        <v>-474173355000</v>
      </c>
      <c r="P266">
        <v>-291486858412</v>
      </c>
      <c r="Q266">
        <v>-22269721249</v>
      </c>
      <c r="R266">
        <v>599650629249</v>
      </c>
    </row>
    <row r="267" spans="1:18" x14ac:dyDescent="0.35">
      <c r="A267" t="s">
        <v>1942</v>
      </c>
      <c r="B267" t="s">
        <v>1971</v>
      </c>
      <c r="C267">
        <v>1950341393</v>
      </c>
      <c r="D267">
        <v>-1511196871</v>
      </c>
      <c r="E267">
        <v>-4645104070</v>
      </c>
      <c r="F267">
        <v>-7096910532</v>
      </c>
      <c r="G267">
        <v>-3858770716</v>
      </c>
      <c r="H267">
        <v>-58664333974</v>
      </c>
      <c r="I267">
        <v>-28423069686</v>
      </c>
      <c r="J267">
        <v>-22635316049</v>
      </c>
      <c r="K267">
        <v>-41604179414</v>
      </c>
      <c r="L267">
        <v>-44847146526</v>
      </c>
      <c r="M267">
        <v>10413407644</v>
      </c>
      <c r="N267">
        <v>-3963711346</v>
      </c>
      <c r="P267">
        <v>-66142202250</v>
      </c>
      <c r="Q267">
        <v>-74891788</v>
      </c>
      <c r="R267">
        <v>-11484104306</v>
      </c>
    </row>
    <row r="268" spans="1:18" x14ac:dyDescent="0.35">
      <c r="A268" t="s">
        <v>1942</v>
      </c>
      <c r="B268" t="s">
        <v>1972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8" x14ac:dyDescent="0.35">
      <c r="A269" t="s">
        <v>1942</v>
      </c>
      <c r="B269" t="s">
        <v>1973</v>
      </c>
      <c r="C269">
        <v>-181519627933</v>
      </c>
      <c r="D269">
        <v>-245711103222</v>
      </c>
      <c r="E269">
        <v>-59014924856</v>
      </c>
      <c r="F269">
        <v>-131191461506</v>
      </c>
      <c r="G269">
        <v>-217794302245</v>
      </c>
      <c r="H269">
        <v>-306941542908</v>
      </c>
      <c r="I269">
        <v>-102635301392</v>
      </c>
      <c r="J269">
        <v>-239438531688</v>
      </c>
      <c r="K269">
        <v>-394325634948</v>
      </c>
      <c r="L269">
        <v>-581241287309</v>
      </c>
      <c r="M269">
        <v>-190702197260</v>
      </c>
      <c r="N269">
        <v>-446341997288</v>
      </c>
      <c r="P269">
        <v>-860328164204</v>
      </c>
      <c r="Q269">
        <v>-164612675437</v>
      </c>
      <c r="R269">
        <v>-389811238518</v>
      </c>
    </row>
    <row r="270" spans="1:18" x14ac:dyDescent="0.35">
      <c r="A270" t="s">
        <v>1942</v>
      </c>
      <c r="B270" t="s">
        <v>1974</v>
      </c>
      <c r="C270">
        <v>-44689639204</v>
      </c>
      <c r="D270">
        <v>-64223849071</v>
      </c>
      <c r="E270">
        <v>-90491371553</v>
      </c>
      <c r="F270">
        <v>-92679819265</v>
      </c>
      <c r="G270">
        <v>-99435828547</v>
      </c>
      <c r="H270">
        <v>-137314166985</v>
      </c>
      <c r="I270">
        <v>-18002917381</v>
      </c>
      <c r="J270">
        <v>-23939987929</v>
      </c>
      <c r="K270">
        <v>-26035145950</v>
      </c>
      <c r="L270">
        <v>-82290432077</v>
      </c>
      <c r="M270">
        <v>-78292952434</v>
      </c>
      <c r="N270">
        <v>-90600032604</v>
      </c>
      <c r="P270">
        <v>-102671983919</v>
      </c>
      <c r="Q270">
        <v>-37825866650</v>
      </c>
      <c r="R270">
        <v>-67729000870</v>
      </c>
    </row>
    <row r="271" spans="1:18" x14ac:dyDescent="0.35">
      <c r="A271" t="s">
        <v>1942</v>
      </c>
      <c r="B271" t="s">
        <v>1975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8" x14ac:dyDescent="0.35">
      <c r="A272" t="s">
        <v>1942</v>
      </c>
      <c r="B272" t="s">
        <v>1976</v>
      </c>
      <c r="C272">
        <v>-24541515357</v>
      </c>
      <c r="D272">
        <v>-26276448849</v>
      </c>
      <c r="E272">
        <v>-5569512501</v>
      </c>
      <c r="F272">
        <v>-7111111279</v>
      </c>
      <c r="G272">
        <v>-10114422981</v>
      </c>
      <c r="H272">
        <v>-27087870214</v>
      </c>
      <c r="I272">
        <v>-15671170425</v>
      </c>
      <c r="J272">
        <v>-19473297671</v>
      </c>
      <c r="K272">
        <v>-25235923195</v>
      </c>
      <c r="L272">
        <v>-37594013115</v>
      </c>
      <c r="M272">
        <v>-16017907875</v>
      </c>
      <c r="N272">
        <v>-19936878675</v>
      </c>
      <c r="P272">
        <v>-33837416233</v>
      </c>
      <c r="Q272">
        <v>-12720378244</v>
      </c>
      <c r="R272">
        <v>-16855535215</v>
      </c>
    </row>
    <row r="273" spans="1:18" x14ac:dyDescent="0.35">
      <c r="A273" t="s">
        <v>1942</v>
      </c>
      <c r="B273" t="s">
        <v>154</v>
      </c>
      <c r="C273">
        <v>-12904931280</v>
      </c>
      <c r="D273">
        <v>638036201062</v>
      </c>
      <c r="E273">
        <v>665169474020</v>
      </c>
      <c r="F273">
        <v>-878544484823</v>
      </c>
      <c r="G273">
        <v>160199904707</v>
      </c>
      <c r="H273">
        <v>174670279038</v>
      </c>
      <c r="I273">
        <v>140743341427</v>
      </c>
      <c r="J273">
        <v>601901561754</v>
      </c>
      <c r="K273">
        <v>1068349170067</v>
      </c>
      <c r="L273">
        <v>1019828917705</v>
      </c>
      <c r="M273">
        <v>593618326</v>
      </c>
      <c r="N273">
        <v>145687112933</v>
      </c>
      <c r="P273">
        <v>950016913004</v>
      </c>
      <c r="Q273">
        <v>-142313090779</v>
      </c>
      <c r="R273">
        <v>187466040099</v>
      </c>
    </row>
    <row r="274" spans="1:18" x14ac:dyDescent="0.35">
      <c r="A274" t="s">
        <v>1942</v>
      </c>
      <c r="B274" t="s">
        <v>155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8" x14ac:dyDescent="0.35">
      <c r="A275" t="s">
        <v>1942</v>
      </c>
      <c r="B275" t="s">
        <v>156</v>
      </c>
      <c r="C275">
        <v>-644418966840</v>
      </c>
      <c r="D275">
        <v>-937641547874</v>
      </c>
      <c r="E275">
        <v>-1757670188824</v>
      </c>
      <c r="F275">
        <v>-2132593668296</v>
      </c>
      <c r="G275">
        <v>-3517029902946</v>
      </c>
      <c r="H275">
        <v>-4076775005406</v>
      </c>
      <c r="I275">
        <v>-483392844871</v>
      </c>
      <c r="J275">
        <v>-938249683951</v>
      </c>
      <c r="K275">
        <v>-1227860124464</v>
      </c>
      <c r="L275">
        <v>-1507992658301</v>
      </c>
      <c r="M275">
        <v>-196525211318</v>
      </c>
      <c r="N275">
        <v>-194432706861</v>
      </c>
      <c r="P275">
        <v>-384547902086</v>
      </c>
      <c r="Q275">
        <v>-62104893865</v>
      </c>
      <c r="R275">
        <v>-97060020704</v>
      </c>
    </row>
    <row r="276" spans="1:18" x14ac:dyDescent="0.35">
      <c r="A276" t="s">
        <v>1942</v>
      </c>
      <c r="B276" t="s">
        <v>157</v>
      </c>
      <c r="C276">
        <v>2135410970</v>
      </c>
      <c r="D276">
        <v>2561357389</v>
      </c>
      <c r="E276">
        <v>505000000</v>
      </c>
      <c r="F276">
        <v>2086818181</v>
      </c>
      <c r="G276">
        <v>5489834289</v>
      </c>
      <c r="H276">
        <v>5767107016</v>
      </c>
      <c r="I276">
        <v>503000000</v>
      </c>
      <c r="J276">
        <v>1059853873</v>
      </c>
      <c r="K276">
        <v>1174182239</v>
      </c>
      <c r="L276">
        <v>2987002556</v>
      </c>
      <c r="M276">
        <v>849052310</v>
      </c>
      <c r="N276">
        <v>1984204150</v>
      </c>
      <c r="P276">
        <v>168145523674</v>
      </c>
      <c r="Q276">
        <v>18505432145</v>
      </c>
      <c r="R276">
        <v>18505432145</v>
      </c>
    </row>
    <row r="277" spans="1:18" x14ac:dyDescent="0.35">
      <c r="A277" t="s">
        <v>1942</v>
      </c>
      <c r="B277" t="s">
        <v>158</v>
      </c>
      <c r="C277">
        <v>-64932484051</v>
      </c>
      <c r="D277">
        <v>-119517828822</v>
      </c>
      <c r="E277">
        <v>-10306758000</v>
      </c>
      <c r="F277">
        <v>-63255607771</v>
      </c>
      <c r="G277">
        <v>-348633516465</v>
      </c>
      <c r="H277">
        <v>-214033515797</v>
      </c>
      <c r="I277">
        <v>-15527154962</v>
      </c>
      <c r="J277">
        <v>-223391743648</v>
      </c>
      <c r="K277">
        <v>-388376377274</v>
      </c>
      <c r="L277">
        <v>-576751295998</v>
      </c>
      <c r="M277">
        <v>-322187290436</v>
      </c>
      <c r="N277">
        <v>-1005824781586</v>
      </c>
      <c r="P277">
        <v>-1028745245618</v>
      </c>
      <c r="Q277">
        <v>-785555921230</v>
      </c>
      <c r="R277">
        <v>-1257571727561</v>
      </c>
    </row>
    <row r="278" spans="1:18" x14ac:dyDescent="0.35">
      <c r="A278" t="s">
        <v>1942</v>
      </c>
      <c r="B278" t="s">
        <v>159</v>
      </c>
      <c r="C278">
        <v>145800000000</v>
      </c>
      <c r="D278">
        <v>238626756051</v>
      </c>
      <c r="E278">
        <v>3155728000</v>
      </c>
      <c r="F278">
        <v>62891072771</v>
      </c>
      <c r="G278">
        <v>324897830771</v>
      </c>
      <c r="H278">
        <v>129746680542</v>
      </c>
      <c r="I278">
        <v>15887906909</v>
      </c>
      <c r="J278">
        <v>153395859435</v>
      </c>
      <c r="K278">
        <v>164216428453</v>
      </c>
      <c r="L278">
        <v>307396636437</v>
      </c>
      <c r="M278">
        <v>209141184397</v>
      </c>
      <c r="N278">
        <v>886093969032</v>
      </c>
      <c r="P278">
        <v>1233257199980</v>
      </c>
      <c r="Q278">
        <v>416561676833</v>
      </c>
      <c r="R278">
        <v>784271153040</v>
      </c>
    </row>
    <row r="279" spans="1:18" x14ac:dyDescent="0.35">
      <c r="A279" t="s">
        <v>1942</v>
      </c>
      <c r="B279" t="s">
        <v>160</v>
      </c>
      <c r="C279">
        <v>-461568151925</v>
      </c>
      <c r="D279">
        <v>-461568151925</v>
      </c>
      <c r="E279">
        <v>-300000000000</v>
      </c>
      <c r="F279">
        <v>-561492805818</v>
      </c>
      <c r="G279">
        <v>-715137388254</v>
      </c>
      <c r="H279">
        <v>-925137388254</v>
      </c>
      <c r="I279">
        <v>-700000000000</v>
      </c>
      <c r="J279">
        <v>-900000000000</v>
      </c>
      <c r="K279">
        <v>-900000000000</v>
      </c>
      <c r="L279">
        <v>-1543035543694</v>
      </c>
      <c r="M279">
        <v>0</v>
      </c>
      <c r="N279">
        <v>-68400000000</v>
      </c>
      <c r="P279">
        <v>-68400000000</v>
      </c>
    </row>
    <row r="280" spans="1:18" x14ac:dyDescent="0.35">
      <c r="A280" t="s">
        <v>1942</v>
      </c>
      <c r="B280" t="s">
        <v>161</v>
      </c>
      <c r="C280">
        <v>375104955112</v>
      </c>
      <c r="D280">
        <v>375104955112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8146356468</v>
      </c>
      <c r="P280">
        <v>28472376468</v>
      </c>
      <c r="R280">
        <v>11940000000</v>
      </c>
    </row>
    <row r="281" spans="1:18" x14ac:dyDescent="0.35">
      <c r="A281" t="s">
        <v>1942</v>
      </c>
      <c r="B281" t="s">
        <v>162</v>
      </c>
      <c r="C281">
        <v>33014153944</v>
      </c>
      <c r="D281">
        <v>41445546901</v>
      </c>
      <c r="E281">
        <v>7535205892</v>
      </c>
      <c r="F281">
        <v>18375696546</v>
      </c>
      <c r="G281">
        <v>27057472066</v>
      </c>
      <c r="H281">
        <v>45348346207</v>
      </c>
      <c r="I281">
        <v>15465685003</v>
      </c>
      <c r="J281">
        <v>27234761405</v>
      </c>
      <c r="K281">
        <v>44065470632</v>
      </c>
      <c r="L281">
        <v>71422085119</v>
      </c>
      <c r="M281">
        <v>54718646640</v>
      </c>
      <c r="N281">
        <v>91577492313</v>
      </c>
      <c r="P281">
        <v>110332196504</v>
      </c>
      <c r="Q281">
        <v>31265629064</v>
      </c>
      <c r="R281">
        <v>69754860543</v>
      </c>
    </row>
    <row r="282" spans="1:18" x14ac:dyDescent="0.35">
      <c r="A282" t="s">
        <v>1942</v>
      </c>
      <c r="B282" t="s">
        <v>163</v>
      </c>
      <c r="C282">
        <v>-614865082790</v>
      </c>
      <c r="D282">
        <v>-860988913168</v>
      </c>
      <c r="E282">
        <v>-2056781012932</v>
      </c>
      <c r="F282">
        <v>-2673988494387</v>
      </c>
      <c r="G282">
        <v>-4223355670539</v>
      </c>
      <c r="H282">
        <v>-5035083775692</v>
      </c>
      <c r="I282">
        <v>-1167063407921</v>
      </c>
      <c r="J282">
        <v>-1879950952886</v>
      </c>
      <c r="K282">
        <v>-2306780420414</v>
      </c>
      <c r="L282">
        <v>-3245973773881</v>
      </c>
      <c r="M282">
        <v>-254003618407</v>
      </c>
      <c r="N282">
        <v>-280855466484</v>
      </c>
      <c r="P282">
        <v>58514148922</v>
      </c>
      <c r="Q282">
        <v>-381328077053</v>
      </c>
      <c r="R282">
        <v>-470160302537</v>
      </c>
    </row>
    <row r="283" spans="1:18" x14ac:dyDescent="0.35">
      <c r="A283" t="s">
        <v>1942</v>
      </c>
      <c r="B283" t="s">
        <v>164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8" x14ac:dyDescent="0.35">
      <c r="A284" t="s">
        <v>1942</v>
      </c>
      <c r="B284" t="s">
        <v>165</v>
      </c>
      <c r="C284">
        <v>435281060000</v>
      </c>
      <c r="D284">
        <v>437081060000</v>
      </c>
      <c r="E284">
        <v>307787691282</v>
      </c>
      <c r="F284">
        <v>307773840000</v>
      </c>
      <c r="G284">
        <v>364946840000</v>
      </c>
      <c r="H284">
        <v>422292250000</v>
      </c>
      <c r="I284">
        <v>0</v>
      </c>
      <c r="J284">
        <v>48760406800</v>
      </c>
      <c r="K284">
        <v>97435344000</v>
      </c>
      <c r="L284">
        <v>97435344000</v>
      </c>
      <c r="M284">
        <v>0</v>
      </c>
      <c r="N284">
        <v>3053643532</v>
      </c>
      <c r="P284">
        <v>3213643532</v>
      </c>
      <c r="Q284">
        <v>200000000</v>
      </c>
      <c r="R284">
        <v>200000000</v>
      </c>
    </row>
    <row r="285" spans="1:18" x14ac:dyDescent="0.35">
      <c r="A285" t="s">
        <v>1942</v>
      </c>
      <c r="B285" t="s">
        <v>1977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8" x14ac:dyDescent="0.35">
      <c r="A286" t="s">
        <v>1942</v>
      </c>
      <c r="B286" t="s">
        <v>166</v>
      </c>
      <c r="C286">
        <v>3033886015005</v>
      </c>
      <c r="D286">
        <v>4929460246892</v>
      </c>
      <c r="E286">
        <v>1703475648294</v>
      </c>
      <c r="F286">
        <v>5907351630893</v>
      </c>
      <c r="G286">
        <v>11973830306510</v>
      </c>
      <c r="H286">
        <v>15568994455573</v>
      </c>
      <c r="I286">
        <v>2330371429810</v>
      </c>
      <c r="J286">
        <v>4756215393879</v>
      </c>
      <c r="K286">
        <v>6741397830144</v>
      </c>
      <c r="L286">
        <v>9102217903352</v>
      </c>
      <c r="M286">
        <v>1318700528256</v>
      </c>
      <c r="N286">
        <v>2504041079781</v>
      </c>
      <c r="P286">
        <v>5795812370124</v>
      </c>
      <c r="Q286">
        <v>1832317742023</v>
      </c>
      <c r="R286">
        <v>4333758144315</v>
      </c>
    </row>
    <row r="287" spans="1:18" x14ac:dyDescent="0.35">
      <c r="A287" t="s">
        <v>1942</v>
      </c>
      <c r="B287" t="s">
        <v>167</v>
      </c>
      <c r="C287">
        <v>-2374201646285</v>
      </c>
      <c r="D287">
        <v>-4218486860388</v>
      </c>
      <c r="E287">
        <v>-762394881825</v>
      </c>
      <c r="F287">
        <v>-3198870530288</v>
      </c>
      <c r="G287">
        <v>-7944739787036</v>
      </c>
      <c r="H287">
        <v>-10289650907073</v>
      </c>
      <c r="I287">
        <v>-1358371945890</v>
      </c>
      <c r="J287">
        <v>-3205504690132</v>
      </c>
      <c r="K287">
        <v>-4524852745114</v>
      </c>
      <c r="L287">
        <v>-6285430412816</v>
      </c>
      <c r="M287">
        <v>-1961066801704</v>
      </c>
      <c r="N287">
        <v>-3952154881217</v>
      </c>
      <c r="P287">
        <v>-7166518645463</v>
      </c>
      <c r="Q287">
        <v>-1833383019063</v>
      </c>
      <c r="R287">
        <v>-3881002014501</v>
      </c>
    </row>
    <row r="288" spans="1:18" x14ac:dyDescent="0.35">
      <c r="A288" t="s">
        <v>1942</v>
      </c>
      <c r="B288" t="s">
        <v>1978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-380904852</v>
      </c>
      <c r="N288">
        <v>-695336320</v>
      </c>
      <c r="P288">
        <v>-1577956458</v>
      </c>
      <c r="Q288">
        <v>-396647202</v>
      </c>
      <c r="R288">
        <v>-661078670</v>
      </c>
    </row>
    <row r="289" spans="1:18" x14ac:dyDescent="0.35">
      <c r="A289" t="s">
        <v>1942</v>
      </c>
      <c r="B289" t="s">
        <v>168</v>
      </c>
      <c r="C289">
        <v>-6748719628</v>
      </c>
      <c r="D289">
        <v>-15052826432</v>
      </c>
      <c r="E289">
        <v>0</v>
      </c>
      <c r="F289">
        <v>-367500000</v>
      </c>
      <c r="G289">
        <v>-23815014577</v>
      </c>
      <c r="H289">
        <v>-25019514577</v>
      </c>
      <c r="I289">
        <v>0</v>
      </c>
      <c r="J289">
        <v>-1392673467</v>
      </c>
      <c r="K289">
        <v>-27466458467</v>
      </c>
      <c r="L289">
        <v>-40019242468</v>
      </c>
      <c r="M289">
        <v>-14709517569</v>
      </c>
      <c r="N289">
        <v>-51140386012</v>
      </c>
      <c r="P289">
        <v>-123508666746</v>
      </c>
      <c r="Q289">
        <v>-9604164109</v>
      </c>
      <c r="R289">
        <v>-80404857351</v>
      </c>
    </row>
    <row r="290" spans="1:18" x14ac:dyDescent="0.35">
      <c r="A290" t="s">
        <v>1942</v>
      </c>
      <c r="B290" t="s">
        <v>169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8" x14ac:dyDescent="0.35">
      <c r="A291" t="s">
        <v>1942</v>
      </c>
      <c r="B291" t="s">
        <v>170</v>
      </c>
      <c r="C291">
        <v>1088216709092</v>
      </c>
      <c r="D291">
        <v>1133001620072</v>
      </c>
      <c r="E291">
        <v>1248868457751</v>
      </c>
      <c r="F291">
        <v>3015887440605</v>
      </c>
      <c r="G291">
        <v>4370222344897</v>
      </c>
      <c r="H291">
        <v>5676616283923</v>
      </c>
      <c r="I291">
        <v>971999483920</v>
      </c>
      <c r="J291">
        <v>1598078437080</v>
      </c>
      <c r="K291">
        <v>2286513970563</v>
      </c>
      <c r="L291">
        <v>2874203592068</v>
      </c>
      <c r="M291">
        <v>-657456695869</v>
      </c>
      <c r="N291">
        <v>-1496895880236</v>
      </c>
      <c r="P291">
        <v>-1492579255011</v>
      </c>
      <c r="Q291">
        <v>-10866088351</v>
      </c>
      <c r="R291">
        <v>371890193793</v>
      </c>
    </row>
    <row r="292" spans="1:18" x14ac:dyDescent="0.35">
      <c r="A292" t="s">
        <v>1942</v>
      </c>
      <c r="B292" t="s">
        <v>171</v>
      </c>
      <c r="C292">
        <v>460446695022</v>
      </c>
      <c r="D292">
        <v>910048907966</v>
      </c>
      <c r="E292">
        <v>-142743081161</v>
      </c>
      <c r="F292">
        <v>-536645538605</v>
      </c>
      <c r="G292">
        <v>307066579065</v>
      </c>
      <c r="H292">
        <v>816202787269</v>
      </c>
      <c r="I292">
        <v>-54320582574</v>
      </c>
      <c r="J292">
        <v>320029045948</v>
      </c>
      <c r="K292">
        <v>1048082720216</v>
      </c>
      <c r="L292">
        <v>648058735892</v>
      </c>
      <c r="M292">
        <v>-910866695950</v>
      </c>
      <c r="N292">
        <v>-1632064233787</v>
      </c>
      <c r="P292">
        <v>-484048193085</v>
      </c>
      <c r="Q292">
        <v>-534507256183</v>
      </c>
      <c r="R292">
        <v>89195931355</v>
      </c>
    </row>
    <row r="293" spans="1:18" x14ac:dyDescent="0.35">
      <c r="A293" t="s">
        <v>1942</v>
      </c>
      <c r="B293" t="s">
        <v>172</v>
      </c>
      <c r="C293">
        <v>567652456496</v>
      </c>
      <c r="D293">
        <v>567652456496</v>
      </c>
      <c r="E293">
        <v>1475766385890</v>
      </c>
      <c r="F293">
        <v>1475766385890</v>
      </c>
      <c r="G293">
        <v>1475766385890</v>
      </c>
      <c r="H293">
        <v>311340120087</v>
      </c>
      <c r="I293">
        <v>2291977758704</v>
      </c>
      <c r="J293">
        <v>2291977758704</v>
      </c>
      <c r="K293">
        <v>2291977758704</v>
      </c>
      <c r="L293">
        <v>2291977758704</v>
      </c>
      <c r="M293">
        <v>2581357801353</v>
      </c>
      <c r="N293">
        <v>2581357801353</v>
      </c>
      <c r="P293">
        <v>2581357801353</v>
      </c>
      <c r="Q293">
        <v>2082217682721</v>
      </c>
      <c r="R293">
        <v>2082217682721</v>
      </c>
    </row>
    <row r="294" spans="1:18" x14ac:dyDescent="0.35">
      <c r="A294" t="s">
        <v>1942</v>
      </c>
      <c r="B294" t="s">
        <v>173</v>
      </c>
      <c r="C294">
        <v>0</v>
      </c>
      <c r="D294">
        <v>-1934294435</v>
      </c>
      <c r="E294">
        <v>-1390799978</v>
      </c>
      <c r="F294">
        <v>-1521072872</v>
      </c>
      <c r="G294">
        <v>0</v>
      </c>
      <c r="H294">
        <v>0</v>
      </c>
      <c r="I294">
        <v>-246755484</v>
      </c>
      <c r="J294">
        <v>3310311805</v>
      </c>
      <c r="K294">
        <v>9056414875</v>
      </c>
      <c r="L294">
        <v>-2847587368</v>
      </c>
      <c r="M294">
        <v>-711219041</v>
      </c>
      <c r="N294">
        <v>64942213</v>
      </c>
      <c r="P294">
        <v>14564989006</v>
      </c>
      <c r="Q294">
        <v>15643063487</v>
      </c>
      <c r="R294">
        <v>9275853418</v>
      </c>
    </row>
    <row r="295" spans="1:18" x14ac:dyDescent="0.35">
      <c r="A295" t="s">
        <v>1942</v>
      </c>
      <c r="B295" t="s">
        <v>174</v>
      </c>
      <c r="C295">
        <v>1028099151518</v>
      </c>
      <c r="D295">
        <v>1475767070027</v>
      </c>
      <c r="E295">
        <v>1331632504751</v>
      </c>
      <c r="F295">
        <v>937599774413</v>
      </c>
      <c r="G295">
        <v>1782832964955</v>
      </c>
      <c r="H295">
        <v>2291969173159</v>
      </c>
      <c r="I295">
        <v>2237410420646</v>
      </c>
      <c r="J295">
        <v>2615317116457</v>
      </c>
      <c r="K295">
        <v>3349116893795</v>
      </c>
      <c r="L295">
        <v>2937188907228</v>
      </c>
      <c r="M295">
        <v>1669779886362</v>
      </c>
      <c r="N295">
        <v>949358509779</v>
      </c>
      <c r="P295">
        <v>2111874597274</v>
      </c>
      <c r="Q295">
        <v>1563353490025</v>
      </c>
      <c r="R295">
        <v>2180689467494</v>
      </c>
    </row>
    <row r="296" spans="1:18" x14ac:dyDescent="0.35">
      <c r="A296" t="s">
        <v>1943</v>
      </c>
      <c r="B296" t="s">
        <v>153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8" x14ac:dyDescent="0.35">
      <c r="A297" t="s">
        <v>1943</v>
      </c>
      <c r="B297" t="s">
        <v>1959</v>
      </c>
      <c r="C297">
        <v>1199664304402</v>
      </c>
      <c r="D297">
        <v>1923437757366</v>
      </c>
      <c r="E297">
        <v>538491856997</v>
      </c>
      <c r="F297">
        <v>1069346959986</v>
      </c>
      <c r="G297">
        <v>0</v>
      </c>
      <c r="H297">
        <v>2400936810431</v>
      </c>
      <c r="I297">
        <v>1046810416158</v>
      </c>
      <c r="J297">
        <v>1891542924730</v>
      </c>
      <c r="K297">
        <v>2815766171920</v>
      </c>
      <c r="L297">
        <v>3876213119513</v>
      </c>
      <c r="M297">
        <v>1152245703168</v>
      </c>
      <c r="N297">
        <v>1848665365982</v>
      </c>
      <c r="P297">
        <v>3056115037885</v>
      </c>
      <c r="Q297">
        <v>598763623332</v>
      </c>
    </row>
    <row r="298" spans="1:18" x14ac:dyDescent="0.35">
      <c r="A298" t="s">
        <v>1943</v>
      </c>
      <c r="B298" t="s">
        <v>1960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8" x14ac:dyDescent="0.35">
      <c r="A299" t="s">
        <v>1943</v>
      </c>
      <c r="B299" t="s">
        <v>1961</v>
      </c>
      <c r="C299">
        <v>240699427088</v>
      </c>
      <c r="D299">
        <v>321378225076</v>
      </c>
      <c r="E299">
        <v>88095027725</v>
      </c>
      <c r="F299">
        <v>350075083934</v>
      </c>
      <c r="G299">
        <v>0</v>
      </c>
      <c r="H299">
        <v>895082205649</v>
      </c>
      <c r="I299">
        <v>303467910166</v>
      </c>
      <c r="J299">
        <v>605368364001</v>
      </c>
      <c r="K299">
        <v>926658535270</v>
      </c>
      <c r="L299">
        <v>1224606555173</v>
      </c>
      <c r="M299">
        <v>317591288040</v>
      </c>
      <c r="N299">
        <v>634374476879</v>
      </c>
      <c r="P299">
        <v>1263906282820</v>
      </c>
      <c r="Q299">
        <v>313018377039</v>
      </c>
    </row>
    <row r="300" spans="1:18" x14ac:dyDescent="0.35">
      <c r="A300" t="s">
        <v>1943</v>
      </c>
      <c r="B300" t="s">
        <v>1962</v>
      </c>
      <c r="C300">
        <v>14819442859</v>
      </c>
      <c r="D300">
        <v>23057787014</v>
      </c>
      <c r="E300">
        <v>2923345927</v>
      </c>
      <c r="F300">
        <v>7190804978</v>
      </c>
      <c r="G300">
        <v>0</v>
      </c>
      <c r="H300">
        <v>16222234178</v>
      </c>
      <c r="I300">
        <v>-2752027488</v>
      </c>
      <c r="J300">
        <v>-9699347554</v>
      </c>
      <c r="K300">
        <v>-11194682540</v>
      </c>
      <c r="L300">
        <v>85763262943</v>
      </c>
      <c r="M300">
        <v>-791688957</v>
      </c>
      <c r="N300">
        <v>54121738840</v>
      </c>
      <c r="P300">
        <v>267350820613</v>
      </c>
      <c r="Q300">
        <v>35510884138</v>
      </c>
    </row>
    <row r="301" spans="1:18" x14ac:dyDescent="0.35">
      <c r="A301" t="s">
        <v>1943</v>
      </c>
      <c r="B301" t="s">
        <v>1963</v>
      </c>
      <c r="C301">
        <v>27802302386</v>
      </c>
      <c r="D301">
        <v>52066019318</v>
      </c>
      <c r="E301">
        <v>-26938341109</v>
      </c>
      <c r="F301">
        <v>-24470402166</v>
      </c>
      <c r="G301">
        <v>0</v>
      </c>
      <c r="H301">
        <v>-58355471759</v>
      </c>
      <c r="I301">
        <v>-1833458288</v>
      </c>
      <c r="J301">
        <v>8303771508</v>
      </c>
      <c r="K301">
        <v>35542692361</v>
      </c>
      <c r="L301">
        <v>46040229624</v>
      </c>
      <c r="M301">
        <v>2994051837</v>
      </c>
      <c r="N301">
        <v>7836359564</v>
      </c>
      <c r="P301">
        <v>34962098554</v>
      </c>
      <c r="Q301">
        <v>8889828832</v>
      </c>
    </row>
    <row r="302" spans="1:18" x14ac:dyDescent="0.35">
      <c r="A302" t="s">
        <v>1943</v>
      </c>
      <c r="B302" t="s">
        <v>1964</v>
      </c>
      <c r="C302">
        <v>-577475800790</v>
      </c>
      <c r="D302">
        <v>-1105605203959</v>
      </c>
      <c r="E302">
        <v>-191596572833</v>
      </c>
      <c r="F302">
        <v>-360096326513</v>
      </c>
      <c r="G302">
        <v>0</v>
      </c>
      <c r="H302">
        <v>-1163924673929</v>
      </c>
      <c r="I302">
        <v>-209881071430</v>
      </c>
      <c r="J302">
        <v>-477090676163</v>
      </c>
      <c r="K302">
        <v>-895248265691</v>
      </c>
      <c r="L302">
        <v>-1144842044006</v>
      </c>
      <c r="M302">
        <v>-260277465649</v>
      </c>
      <c r="N302">
        <v>-492300945978</v>
      </c>
      <c r="P302">
        <v>-1065141815408</v>
      </c>
      <c r="Q302">
        <v>-186158174564</v>
      </c>
    </row>
    <row r="303" spans="1:18" x14ac:dyDescent="0.35">
      <c r="A303" t="s">
        <v>1943</v>
      </c>
      <c r="B303" t="s">
        <v>1965</v>
      </c>
      <c r="C303">
        <v>321866259854</v>
      </c>
      <c r="D303">
        <v>421893319417</v>
      </c>
      <c r="E303">
        <v>94022545900</v>
      </c>
      <c r="F303">
        <v>286256020181</v>
      </c>
      <c r="G303">
        <v>0</v>
      </c>
      <c r="H303">
        <v>667873750594</v>
      </c>
      <c r="I303">
        <v>213916376631</v>
      </c>
      <c r="J303">
        <v>426564588448</v>
      </c>
      <c r="K303">
        <v>648762324760</v>
      </c>
      <c r="L303">
        <v>878880241265</v>
      </c>
      <c r="M303">
        <v>249191399087</v>
      </c>
      <c r="N303">
        <v>494441152129</v>
      </c>
      <c r="P303">
        <v>942355367675</v>
      </c>
      <c r="Q303">
        <v>192704922039</v>
      </c>
    </row>
    <row r="304" spans="1:18" x14ac:dyDescent="0.35">
      <c r="A304" t="s">
        <v>1943</v>
      </c>
      <c r="B304" t="s">
        <v>1966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7" x14ac:dyDescent="0.35">
      <c r="A305" t="s">
        <v>1943</v>
      </c>
      <c r="B305" t="s">
        <v>1967</v>
      </c>
      <c r="C305">
        <v>1227375935799</v>
      </c>
      <c r="D305">
        <v>1636227904232</v>
      </c>
      <c r="E305">
        <v>0</v>
      </c>
      <c r="F305">
        <v>1328302140400</v>
      </c>
      <c r="G305">
        <v>0</v>
      </c>
      <c r="H305">
        <v>2757834855164</v>
      </c>
      <c r="I305">
        <v>1349728145749</v>
      </c>
      <c r="J305">
        <v>2444989624970</v>
      </c>
      <c r="K305">
        <v>3520286776080</v>
      </c>
      <c r="L305">
        <v>4966661364512</v>
      </c>
      <c r="M305">
        <v>1460953287526</v>
      </c>
      <c r="N305">
        <v>2547138147416</v>
      </c>
      <c r="P305">
        <v>4499547792139</v>
      </c>
      <c r="Q305">
        <v>962729460816</v>
      </c>
    </row>
    <row r="306" spans="1:17" x14ac:dyDescent="0.35">
      <c r="A306" t="s">
        <v>1943</v>
      </c>
      <c r="B306" t="s">
        <v>1968</v>
      </c>
      <c r="C306">
        <v>-385312232806</v>
      </c>
      <c r="D306">
        <v>-509361282005</v>
      </c>
      <c r="E306">
        <v>-30454577222</v>
      </c>
      <c r="F306">
        <v>-109056642684</v>
      </c>
      <c r="G306">
        <v>0</v>
      </c>
      <c r="H306">
        <v>29460252621</v>
      </c>
      <c r="I306">
        <v>-252339204238</v>
      </c>
      <c r="J306">
        <v>31403859515</v>
      </c>
      <c r="K306">
        <v>-44318351378</v>
      </c>
      <c r="L306">
        <v>-757260174884</v>
      </c>
      <c r="M306">
        <v>-696669712644</v>
      </c>
      <c r="N306">
        <v>-485782579654</v>
      </c>
      <c r="P306">
        <v>-219623973056</v>
      </c>
      <c r="Q306">
        <v>357068590046</v>
      </c>
    </row>
    <row r="307" spans="1:17" x14ac:dyDescent="0.35">
      <c r="A307" t="s">
        <v>1943</v>
      </c>
      <c r="B307" t="s">
        <v>1969</v>
      </c>
      <c r="C307">
        <v>32527058853</v>
      </c>
      <c r="D307">
        <v>186108698029</v>
      </c>
      <c r="E307">
        <v>10580740001</v>
      </c>
      <c r="F307">
        <v>46711280081</v>
      </c>
      <c r="G307">
        <v>0</v>
      </c>
      <c r="H307">
        <v>200319727535</v>
      </c>
      <c r="I307">
        <v>-110302681511</v>
      </c>
      <c r="J307">
        <v>-219149602656</v>
      </c>
      <c r="K307">
        <v>-453776036584</v>
      </c>
      <c r="L307">
        <v>-622666663279</v>
      </c>
      <c r="M307">
        <v>-2986191502</v>
      </c>
      <c r="N307">
        <v>25659482814</v>
      </c>
      <c r="P307">
        <v>20393093972</v>
      </c>
      <c r="Q307">
        <v>-92316445340</v>
      </c>
    </row>
    <row r="308" spans="1:17" x14ac:dyDescent="0.35">
      <c r="A308" t="s">
        <v>1943</v>
      </c>
      <c r="B308" t="s">
        <v>1970</v>
      </c>
      <c r="C308">
        <v>-158313473411</v>
      </c>
      <c r="D308">
        <v>-111206910041</v>
      </c>
      <c r="E308">
        <v>-352163164231</v>
      </c>
      <c r="F308">
        <v>-745769006189</v>
      </c>
      <c r="G308">
        <v>0</v>
      </c>
      <c r="H308">
        <v>-941978274347</v>
      </c>
      <c r="I308">
        <v>-117240855757</v>
      </c>
      <c r="J308">
        <v>33254510155</v>
      </c>
      <c r="K308">
        <v>-127569382150</v>
      </c>
      <c r="L308">
        <v>134339026189</v>
      </c>
      <c r="M308">
        <v>-278245328002</v>
      </c>
      <c r="N308">
        <v>-142427923729</v>
      </c>
      <c r="P308">
        <v>-137780599541</v>
      </c>
      <c r="Q308">
        <v>-98894709808</v>
      </c>
    </row>
    <row r="309" spans="1:17" x14ac:dyDescent="0.35">
      <c r="A309" t="s">
        <v>1943</v>
      </c>
      <c r="B309" t="s">
        <v>1971</v>
      </c>
      <c r="C309">
        <v>-7352345372</v>
      </c>
      <c r="D309">
        <v>29412867627</v>
      </c>
      <c r="E309">
        <v>-6152007925</v>
      </c>
      <c r="F309">
        <v>27466347538</v>
      </c>
      <c r="G309">
        <v>0</v>
      </c>
      <c r="H309">
        <v>8243855559</v>
      </c>
      <c r="I309">
        <v>-10879956893</v>
      </c>
      <c r="J309">
        <v>1428891776</v>
      </c>
      <c r="K309">
        <v>-21776879512</v>
      </c>
      <c r="L309">
        <v>-5077493508</v>
      </c>
      <c r="M309">
        <v>-4823188153</v>
      </c>
      <c r="N309">
        <v>-1521835498</v>
      </c>
      <c r="P309">
        <v>-21704474367</v>
      </c>
      <c r="Q309">
        <v>-2944513980</v>
      </c>
    </row>
    <row r="310" spans="1:17" x14ac:dyDescent="0.35">
      <c r="A310" t="s">
        <v>1943</v>
      </c>
      <c r="B310" t="s">
        <v>1972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-717139261908</v>
      </c>
      <c r="M310">
        <v>53693237108</v>
      </c>
      <c r="N310">
        <v>-143368736034</v>
      </c>
      <c r="P310">
        <v>70244786666</v>
      </c>
      <c r="Q310">
        <v>-174368400309</v>
      </c>
    </row>
    <row r="311" spans="1:17" x14ac:dyDescent="0.35">
      <c r="A311" t="s">
        <v>1943</v>
      </c>
      <c r="B311" t="s">
        <v>1973</v>
      </c>
      <c r="C311">
        <v>-373194916061</v>
      </c>
      <c r="D311">
        <v>-428412268230</v>
      </c>
      <c r="E311">
        <v>-139771938004</v>
      </c>
      <c r="F311">
        <v>-213756226594</v>
      </c>
      <c r="G311">
        <v>0</v>
      </c>
      <c r="H311">
        <v>-506780406125</v>
      </c>
      <c r="I311">
        <v>-273415373628</v>
      </c>
      <c r="J311">
        <v>-569246572654</v>
      </c>
      <c r="K311">
        <v>-872305854324</v>
      </c>
      <c r="L311">
        <v>-1066690161057</v>
      </c>
      <c r="M311">
        <v>-275029390505</v>
      </c>
      <c r="N311">
        <v>-550683724030</v>
      </c>
      <c r="P311">
        <v>-989720685741</v>
      </c>
      <c r="Q311">
        <v>-224479710056</v>
      </c>
    </row>
    <row r="312" spans="1:17" x14ac:dyDescent="0.35">
      <c r="A312" t="s">
        <v>1943</v>
      </c>
      <c r="B312" t="s">
        <v>1974</v>
      </c>
      <c r="C312">
        <v>-87667592327</v>
      </c>
      <c r="D312">
        <v>-203366641333</v>
      </c>
      <c r="E312">
        <v>-57236839261</v>
      </c>
      <c r="F312">
        <v>-95695555064</v>
      </c>
      <c r="G312">
        <v>0</v>
      </c>
      <c r="H312">
        <v>-230169940089</v>
      </c>
      <c r="I312">
        <v>-158851751387</v>
      </c>
      <c r="J312">
        <v>-192417750205</v>
      </c>
      <c r="K312">
        <v>-213792382908</v>
      </c>
      <c r="L312">
        <v>-359237097282</v>
      </c>
      <c r="M312">
        <v>-168918102378</v>
      </c>
      <c r="N312">
        <v>-179844790895</v>
      </c>
      <c r="P312">
        <v>-372200136765</v>
      </c>
      <c r="Q312">
        <v>-89191786033</v>
      </c>
    </row>
    <row r="313" spans="1:17" x14ac:dyDescent="0.35">
      <c r="A313" t="s">
        <v>1943</v>
      </c>
      <c r="B313" t="s">
        <v>1975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7" x14ac:dyDescent="0.35">
      <c r="A314" t="s">
        <v>1943</v>
      </c>
      <c r="B314" t="s">
        <v>1976</v>
      </c>
      <c r="C314">
        <v>-5486657861</v>
      </c>
      <c r="D314">
        <v>-6932753593</v>
      </c>
      <c r="E314">
        <v>-2660532578</v>
      </c>
      <c r="F314">
        <v>-4808430650</v>
      </c>
      <c r="G314">
        <v>0</v>
      </c>
      <c r="H314">
        <v>-11268795232</v>
      </c>
      <c r="I314">
        <v>-1667723400</v>
      </c>
      <c r="J314">
        <v>-7825961008</v>
      </c>
      <c r="K314">
        <v>-12418293136</v>
      </c>
      <c r="L314">
        <v>-13462433843</v>
      </c>
      <c r="M314">
        <v>-1244875164</v>
      </c>
      <c r="N314">
        <v>-4407334805</v>
      </c>
      <c r="P314">
        <v>-12464473333</v>
      </c>
      <c r="Q314">
        <v>-1581922408</v>
      </c>
    </row>
    <row r="315" spans="1:17" x14ac:dyDescent="0.35">
      <c r="A315" t="s">
        <v>1943</v>
      </c>
      <c r="B315" t="s">
        <v>154</v>
      </c>
      <c r="C315">
        <v>272855684549</v>
      </c>
      <c r="D315">
        <v>628882922421</v>
      </c>
      <c r="E315">
        <v>242113817907</v>
      </c>
      <c r="F315">
        <v>583207017400</v>
      </c>
      <c r="G315">
        <v>0</v>
      </c>
      <c r="H315">
        <v>1738278189303</v>
      </c>
      <c r="I315">
        <v>428217793835</v>
      </c>
      <c r="J315">
        <v>1475309689913</v>
      </c>
      <c r="K315">
        <v>1627530333988</v>
      </c>
      <c r="L315">
        <v>1559467104940</v>
      </c>
      <c r="M315">
        <v>86729736286</v>
      </c>
      <c r="N315">
        <v>1064760705585</v>
      </c>
      <c r="P315">
        <v>2836691329974</v>
      </c>
      <c r="Q315">
        <v>636020562928</v>
      </c>
    </row>
    <row r="316" spans="1:17" x14ac:dyDescent="0.35">
      <c r="A316" t="s">
        <v>1943</v>
      </c>
      <c r="B316" t="s">
        <v>155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7" x14ac:dyDescent="0.35">
      <c r="A317" t="s">
        <v>1943</v>
      </c>
      <c r="B317" t="s">
        <v>156</v>
      </c>
      <c r="C317">
        <v>-791272577445</v>
      </c>
      <c r="D317">
        <v>-1433036876167</v>
      </c>
      <c r="E317">
        <v>-293676097193</v>
      </c>
      <c r="F317">
        <v>-429374592870</v>
      </c>
      <c r="G317">
        <v>0</v>
      </c>
      <c r="H317">
        <v>-3912258818254</v>
      </c>
      <c r="I317">
        <v>-141460247808</v>
      </c>
      <c r="J317">
        <v>-382211180184</v>
      </c>
      <c r="K317">
        <v>-579682415280</v>
      </c>
      <c r="L317">
        <v>-742377839641</v>
      </c>
      <c r="M317">
        <v>-142569129359</v>
      </c>
      <c r="N317">
        <v>-271813198535</v>
      </c>
      <c r="P317">
        <v>-888811093361</v>
      </c>
      <c r="Q317">
        <v>-267278612111</v>
      </c>
    </row>
    <row r="318" spans="1:17" x14ac:dyDescent="0.35">
      <c r="A318" t="s">
        <v>1943</v>
      </c>
      <c r="B318" t="s">
        <v>157</v>
      </c>
      <c r="C318">
        <v>151836363</v>
      </c>
      <c r="D318">
        <v>2850495726</v>
      </c>
      <c r="E318">
        <v>41271750</v>
      </c>
      <c r="F318">
        <v>49482033</v>
      </c>
      <c r="G318">
        <v>0</v>
      </c>
      <c r="H318">
        <v>724333529</v>
      </c>
      <c r="I318">
        <v>502757621</v>
      </c>
      <c r="J318">
        <v>10272670323</v>
      </c>
      <c r="K318">
        <v>10358191475</v>
      </c>
      <c r="L318">
        <v>20281785940</v>
      </c>
      <c r="M318">
        <v>13258609894</v>
      </c>
      <c r="N318">
        <v>17676608306</v>
      </c>
      <c r="P318">
        <v>15445984684</v>
      </c>
      <c r="Q318">
        <v>417494546</v>
      </c>
    </row>
    <row r="319" spans="1:17" x14ac:dyDescent="0.35">
      <c r="A319" t="s">
        <v>1943</v>
      </c>
      <c r="B319" t="s">
        <v>158</v>
      </c>
      <c r="C319">
        <v>-1926869566851</v>
      </c>
      <c r="D319">
        <v>-2651950019109</v>
      </c>
      <c r="E319">
        <v>-276829000000</v>
      </c>
      <c r="F319">
        <v>-729418000000</v>
      </c>
      <c r="G319">
        <v>0</v>
      </c>
      <c r="H319">
        <v>-903739312954</v>
      </c>
      <c r="I319">
        <v>-474530386974</v>
      </c>
      <c r="J319">
        <v>-1154670386974</v>
      </c>
      <c r="K319">
        <v>-1726950386974</v>
      </c>
      <c r="L319">
        <v>-2154852808521</v>
      </c>
      <c r="M319">
        <v>-171518767972</v>
      </c>
      <c r="N319">
        <v>-355768767972</v>
      </c>
      <c r="P319">
        <v>-698900018799</v>
      </c>
      <c r="Q319">
        <v>-12000000000</v>
      </c>
    </row>
    <row r="320" spans="1:17" x14ac:dyDescent="0.35">
      <c r="A320" t="s">
        <v>1943</v>
      </c>
      <c r="B320" t="s">
        <v>159</v>
      </c>
      <c r="C320">
        <v>1909628862961</v>
      </c>
      <c r="D320">
        <v>2490341449280</v>
      </c>
      <c r="E320">
        <v>638320415380</v>
      </c>
      <c r="F320">
        <v>1067670415380</v>
      </c>
      <c r="G320">
        <v>0</v>
      </c>
      <c r="H320">
        <v>1489286994839</v>
      </c>
      <c r="I320">
        <v>145687422192</v>
      </c>
      <c r="J320">
        <v>553233743961</v>
      </c>
      <c r="K320">
        <v>1184962436838</v>
      </c>
      <c r="L320">
        <v>2113184453277</v>
      </c>
      <c r="M320">
        <v>577950000000</v>
      </c>
      <c r="N320">
        <v>886065000000</v>
      </c>
      <c r="P320">
        <v>1370353767972</v>
      </c>
      <c r="Q320">
        <v>59125000000</v>
      </c>
    </row>
    <row r="321" spans="1:17" x14ac:dyDescent="0.35">
      <c r="A321" t="s">
        <v>1943</v>
      </c>
      <c r="B321" t="s">
        <v>160</v>
      </c>
      <c r="C321">
        <v>-267596463927</v>
      </c>
      <c r="D321">
        <v>-14174895195</v>
      </c>
      <c r="E321">
        <v>-151952236381</v>
      </c>
      <c r="F321">
        <v>-170170037274</v>
      </c>
      <c r="G321">
        <v>0</v>
      </c>
      <c r="H321">
        <v>-219034744641</v>
      </c>
      <c r="I321">
        <v>-1842900214</v>
      </c>
      <c r="J321">
        <v>-164098720992</v>
      </c>
      <c r="K321">
        <v>-602062593186</v>
      </c>
      <c r="L321">
        <v>-737413123742</v>
      </c>
      <c r="M321">
        <v>0</v>
      </c>
      <c r="N321">
        <v>-134578236918</v>
      </c>
      <c r="P321">
        <v>-279453993356</v>
      </c>
      <c r="Q321">
        <v>-229602468651</v>
      </c>
    </row>
    <row r="322" spans="1:17" x14ac:dyDescent="0.35">
      <c r="A322" t="s">
        <v>1943</v>
      </c>
      <c r="B322" t="s">
        <v>161</v>
      </c>
      <c r="C322">
        <v>76345578894</v>
      </c>
      <c r="D322">
        <v>80808908760</v>
      </c>
      <c r="E322">
        <v>0</v>
      </c>
      <c r="F322">
        <v>15735928907</v>
      </c>
      <c r="G322">
        <v>0</v>
      </c>
      <c r="H322">
        <v>244931179173</v>
      </c>
      <c r="I322">
        <v>0</v>
      </c>
      <c r="J322">
        <v>0</v>
      </c>
      <c r="K322">
        <v>2282519970</v>
      </c>
      <c r="L322">
        <v>0</v>
      </c>
      <c r="M322">
        <v>0</v>
      </c>
      <c r="N322">
        <v>21834095000</v>
      </c>
      <c r="P322">
        <v>31660190000</v>
      </c>
      <c r="Q322">
        <v>7017690972</v>
      </c>
    </row>
    <row r="323" spans="1:17" x14ac:dyDescent="0.35">
      <c r="A323" t="s">
        <v>1943</v>
      </c>
      <c r="B323" t="s">
        <v>162</v>
      </c>
      <c r="C323">
        <v>536181977176</v>
      </c>
      <c r="D323">
        <v>682776075230</v>
      </c>
      <c r="E323">
        <v>183167248577</v>
      </c>
      <c r="F323">
        <v>647186832011</v>
      </c>
      <c r="G323">
        <v>0</v>
      </c>
      <c r="H323">
        <v>1291443880604</v>
      </c>
      <c r="I323">
        <v>37969868638</v>
      </c>
      <c r="J323">
        <v>229572708946</v>
      </c>
      <c r="K323">
        <v>582427977884</v>
      </c>
      <c r="L323">
        <v>738313674112</v>
      </c>
      <c r="M323">
        <v>155146712927</v>
      </c>
      <c r="N323">
        <v>335508433923</v>
      </c>
      <c r="P323">
        <v>1073489164945</v>
      </c>
      <c r="Q323">
        <v>256391019275</v>
      </c>
    </row>
    <row r="324" spans="1:17" x14ac:dyDescent="0.35">
      <c r="A324" t="s">
        <v>1943</v>
      </c>
      <c r="B324" t="s">
        <v>163</v>
      </c>
      <c r="C324">
        <v>-463430352829</v>
      </c>
      <c r="D324">
        <v>-842384861475</v>
      </c>
      <c r="E324">
        <v>99071602133</v>
      </c>
      <c r="F324">
        <v>401680028187</v>
      </c>
      <c r="G324">
        <v>0</v>
      </c>
      <c r="H324">
        <v>-2008646487704</v>
      </c>
      <c r="I324">
        <v>-433673486545</v>
      </c>
      <c r="J324">
        <v>-907901164920</v>
      </c>
      <c r="K324">
        <v>-1128664269273</v>
      </c>
      <c r="L324">
        <v>-762863858575</v>
      </c>
      <c r="M324">
        <v>432267425490</v>
      </c>
      <c r="N324">
        <v>498923933804</v>
      </c>
      <c r="P324">
        <v>623784002085</v>
      </c>
      <c r="Q324">
        <v>-185929875969</v>
      </c>
    </row>
    <row r="325" spans="1:17" x14ac:dyDescent="0.35">
      <c r="A325" t="s">
        <v>1943</v>
      </c>
      <c r="B325" t="s">
        <v>164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7" x14ac:dyDescent="0.35">
      <c r="A326" t="s">
        <v>1943</v>
      </c>
      <c r="B326" t="s">
        <v>165</v>
      </c>
      <c r="C326">
        <v>52000000000</v>
      </c>
      <c r="D326">
        <v>62300000000</v>
      </c>
      <c r="E326">
        <v>29500000000</v>
      </c>
      <c r="F326">
        <v>109500000000</v>
      </c>
      <c r="G326">
        <v>0</v>
      </c>
      <c r="H326">
        <v>121000000000</v>
      </c>
      <c r="I326">
        <v>1471000000</v>
      </c>
      <c r="J326">
        <v>1471000000</v>
      </c>
      <c r="K326">
        <v>1475000000</v>
      </c>
      <c r="L326">
        <v>1475000000</v>
      </c>
      <c r="M326">
        <v>0</v>
      </c>
      <c r="N326">
        <v>0</v>
      </c>
      <c r="Q326">
        <v>17640450000</v>
      </c>
    </row>
    <row r="327" spans="1:17" x14ac:dyDescent="0.35">
      <c r="A327" t="s">
        <v>1943</v>
      </c>
      <c r="B327" t="s">
        <v>1977</v>
      </c>
      <c r="C327">
        <v>0</v>
      </c>
      <c r="D327">
        <v>-47539203502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7" x14ac:dyDescent="0.35">
      <c r="A328" t="s">
        <v>1943</v>
      </c>
      <c r="B328" t="s">
        <v>166</v>
      </c>
      <c r="C328">
        <v>1132843930854</v>
      </c>
      <c r="D328">
        <v>2015981136668</v>
      </c>
      <c r="E328">
        <v>616239872896</v>
      </c>
      <c r="F328">
        <v>1748118993385</v>
      </c>
      <c r="G328">
        <v>0</v>
      </c>
      <c r="H328">
        <v>3678241378044</v>
      </c>
      <c r="I328">
        <v>396613679805</v>
      </c>
      <c r="J328">
        <v>798424465015</v>
      </c>
      <c r="K328">
        <v>1550140786127</v>
      </c>
      <c r="L328">
        <v>1832810854227</v>
      </c>
      <c r="M328">
        <v>413874494380</v>
      </c>
      <c r="N328">
        <v>795032955387</v>
      </c>
      <c r="P328">
        <v>2929674316865</v>
      </c>
      <c r="Q328">
        <v>1276513786337</v>
      </c>
    </row>
    <row r="329" spans="1:17" x14ac:dyDescent="0.35">
      <c r="A329" t="s">
        <v>1943</v>
      </c>
      <c r="B329" t="s">
        <v>167</v>
      </c>
      <c r="C329">
        <v>-1212895732077</v>
      </c>
      <c r="D329">
        <v>-2094490887702</v>
      </c>
      <c r="E329">
        <v>-449175428980</v>
      </c>
      <c r="F329">
        <v>-1157588509354</v>
      </c>
      <c r="G329">
        <v>0</v>
      </c>
      <c r="H329">
        <v>-2262464279797</v>
      </c>
      <c r="I329">
        <v>-418831625341</v>
      </c>
      <c r="J329">
        <v>-1126312069021</v>
      </c>
      <c r="K329">
        <v>-2306972398702</v>
      </c>
      <c r="L329">
        <v>-2734671436052</v>
      </c>
      <c r="M329">
        <v>-657536911728</v>
      </c>
      <c r="N329">
        <v>-1415111112943</v>
      </c>
      <c r="P329">
        <v>-3632163959795</v>
      </c>
      <c r="Q329">
        <v>-1332969911043</v>
      </c>
    </row>
    <row r="330" spans="1:17" x14ac:dyDescent="0.35">
      <c r="A330" t="s">
        <v>1943</v>
      </c>
      <c r="B330" t="s">
        <v>1978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7" x14ac:dyDescent="0.35">
      <c r="A331" t="s">
        <v>1943</v>
      </c>
      <c r="B331" t="s">
        <v>168</v>
      </c>
      <c r="C331">
        <v>-623803963959</v>
      </c>
      <c r="D331">
        <v>-604328652578</v>
      </c>
      <c r="E331">
        <v>-11616401615</v>
      </c>
      <c r="F331">
        <v>-34767396186</v>
      </c>
      <c r="G331">
        <v>0</v>
      </c>
      <c r="H331">
        <v>-85740274034</v>
      </c>
      <c r="I331">
        <v>-28074966539</v>
      </c>
      <c r="J331">
        <v>-464275644935</v>
      </c>
      <c r="K331">
        <v>-512226735325</v>
      </c>
      <c r="L331">
        <v>-575698700503</v>
      </c>
      <c r="M331">
        <v>-31092753399</v>
      </c>
      <c r="N331">
        <v>-474709558695</v>
      </c>
      <c r="P331">
        <v>-886485445153</v>
      </c>
      <c r="Q331">
        <v>-114465825808</v>
      </c>
    </row>
    <row r="332" spans="1:17" x14ac:dyDescent="0.35">
      <c r="A332" t="s">
        <v>1943</v>
      </c>
      <c r="B332" t="s">
        <v>169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7" x14ac:dyDescent="0.35">
      <c r="A333" t="s">
        <v>1943</v>
      </c>
      <c r="B333" t="s">
        <v>170</v>
      </c>
      <c r="C333">
        <v>-651855765182</v>
      </c>
      <c r="D333">
        <v>-668077607114</v>
      </c>
      <c r="E333">
        <v>184948042301</v>
      </c>
      <c r="F333">
        <v>665263087845</v>
      </c>
      <c r="G333">
        <v>0</v>
      </c>
      <c r="H333">
        <v>1451036824213</v>
      </c>
      <c r="I333">
        <v>-48821912075</v>
      </c>
      <c r="J333">
        <v>-790692248941</v>
      </c>
      <c r="K333">
        <v>-1267583347900</v>
      </c>
      <c r="L333">
        <v>-1476084282328</v>
      </c>
      <c r="M333">
        <v>-274755170747</v>
      </c>
      <c r="N333">
        <v>-1094787716251</v>
      </c>
      <c r="P333">
        <v>-1588975088083</v>
      </c>
      <c r="Q333">
        <v>-153281500514</v>
      </c>
    </row>
    <row r="334" spans="1:17" x14ac:dyDescent="0.35">
      <c r="A334" t="s">
        <v>1943</v>
      </c>
      <c r="B334" t="s">
        <v>171</v>
      </c>
      <c r="C334">
        <v>-842430433462</v>
      </c>
      <c r="D334">
        <v>-881579546168</v>
      </c>
      <c r="E334">
        <v>526133462341</v>
      </c>
      <c r="F334">
        <v>1650150133432</v>
      </c>
      <c r="G334">
        <v>0</v>
      </c>
      <c r="H334">
        <v>1180668525812</v>
      </c>
      <c r="I334">
        <v>-54277604785</v>
      </c>
      <c r="J334">
        <v>-223283723948</v>
      </c>
      <c r="K334">
        <v>-768717283185</v>
      </c>
      <c r="L334">
        <v>-679481035963</v>
      </c>
      <c r="M334">
        <v>244241991029</v>
      </c>
      <c r="N334">
        <v>468896923138</v>
      </c>
      <c r="P334">
        <v>1871500243976</v>
      </c>
      <c r="Q334">
        <v>296809186445</v>
      </c>
    </row>
    <row r="335" spans="1:17" x14ac:dyDescent="0.35">
      <c r="A335" t="s">
        <v>1943</v>
      </c>
      <c r="B335" t="s">
        <v>172</v>
      </c>
      <c r="C335">
        <v>1539577051904</v>
      </c>
      <c r="D335">
        <v>1539577051904</v>
      </c>
      <c r="E335">
        <v>651668665185</v>
      </c>
      <c r="F335">
        <v>651668665185</v>
      </c>
      <c r="G335">
        <v>0</v>
      </c>
      <c r="H335">
        <v>651668665185</v>
      </c>
      <c r="I335">
        <v>1830901134902</v>
      </c>
      <c r="J335">
        <v>1830901134902</v>
      </c>
      <c r="K335">
        <v>1830901134902</v>
      </c>
      <c r="L335">
        <v>1830901134902</v>
      </c>
      <c r="M335">
        <v>1151270686145</v>
      </c>
      <c r="N335">
        <v>1151270686145</v>
      </c>
      <c r="P335">
        <v>1151270686145</v>
      </c>
      <c r="Q335">
        <v>3022796235406</v>
      </c>
    </row>
    <row r="336" spans="1:17" x14ac:dyDescent="0.35">
      <c r="A336" t="s">
        <v>1943</v>
      </c>
      <c r="B336" t="s">
        <v>173</v>
      </c>
      <c r="C336">
        <v>-341790694</v>
      </c>
      <c r="D336">
        <v>-358840551</v>
      </c>
      <c r="E336">
        <v>-1708600</v>
      </c>
      <c r="F336">
        <v>10178690</v>
      </c>
      <c r="G336">
        <v>0</v>
      </c>
      <c r="H336">
        <v>-1436056095</v>
      </c>
      <c r="I336">
        <v>2580095</v>
      </c>
      <c r="J336">
        <v>-151081959</v>
      </c>
      <c r="K336">
        <v>-383818704</v>
      </c>
      <c r="L336">
        <v>-149607645</v>
      </c>
      <c r="M336">
        <v>121196</v>
      </c>
      <c r="N336">
        <v>1984862</v>
      </c>
      <c r="P336">
        <v>25347382</v>
      </c>
      <c r="Q336">
        <v>3952618</v>
      </c>
    </row>
    <row r="337" spans="1:17" x14ac:dyDescent="0.35">
      <c r="A337" t="s">
        <v>1943</v>
      </c>
      <c r="B337" t="s">
        <v>174</v>
      </c>
      <c r="C337">
        <v>696804827748</v>
      </c>
      <c r="D337">
        <v>657638665185</v>
      </c>
      <c r="E337">
        <v>1177800418926</v>
      </c>
      <c r="F337">
        <v>2301828977307</v>
      </c>
      <c r="G337">
        <v>0</v>
      </c>
      <c r="H337">
        <v>1830901134902</v>
      </c>
      <c r="I337">
        <v>1776626110212</v>
      </c>
      <c r="J337">
        <v>1607466328995</v>
      </c>
      <c r="K337">
        <v>1061800033013</v>
      </c>
      <c r="L337">
        <v>1151270491294</v>
      </c>
      <c r="M337">
        <v>1395512798370</v>
      </c>
      <c r="N337">
        <v>1620169594145</v>
      </c>
      <c r="P337">
        <v>3022796277503</v>
      </c>
      <c r="Q337">
        <v>3319609374469</v>
      </c>
    </row>
    <row r="338" spans="1:17" x14ac:dyDescent="0.35">
      <c r="A338" t="s">
        <v>1958</v>
      </c>
      <c r="B338" t="s">
        <v>153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7" x14ac:dyDescent="0.35">
      <c r="A339" t="s">
        <v>1958</v>
      </c>
      <c r="B339" t="s">
        <v>1959</v>
      </c>
      <c r="C339">
        <v>107291794364</v>
      </c>
      <c r="D339">
        <v>142565711634</v>
      </c>
      <c r="E339">
        <v>33840194650</v>
      </c>
      <c r="F339">
        <v>81440044834</v>
      </c>
      <c r="G339">
        <v>111755738460</v>
      </c>
      <c r="H339">
        <v>139987202645</v>
      </c>
      <c r="I339">
        <v>61214810257</v>
      </c>
      <c r="J339">
        <v>142494354049</v>
      </c>
      <c r="K339">
        <v>198717208200</v>
      </c>
      <c r="L339">
        <v>238873727038</v>
      </c>
      <c r="M339">
        <v>26400964070</v>
      </c>
      <c r="N339">
        <v>59614168650</v>
      </c>
      <c r="P339">
        <v>121032679343</v>
      </c>
      <c r="Q339">
        <v>38173595647</v>
      </c>
    </row>
    <row r="340" spans="1:17" x14ac:dyDescent="0.35">
      <c r="A340" t="s">
        <v>1958</v>
      </c>
      <c r="B340" t="s">
        <v>1960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7" x14ac:dyDescent="0.35">
      <c r="A341" t="s">
        <v>1958</v>
      </c>
      <c r="B341" t="s">
        <v>1961</v>
      </c>
      <c r="C341">
        <v>76476068703</v>
      </c>
      <c r="D341">
        <v>114968091604</v>
      </c>
      <c r="E341">
        <v>51793423457</v>
      </c>
      <c r="F341">
        <v>103586846916</v>
      </c>
      <c r="G341">
        <v>155380270374</v>
      </c>
      <c r="H341">
        <v>207226446552</v>
      </c>
      <c r="I341">
        <v>51738655648</v>
      </c>
      <c r="J341">
        <v>103477311296</v>
      </c>
      <c r="K341">
        <v>155591086930</v>
      </c>
      <c r="L341">
        <v>205959572045</v>
      </c>
      <c r="M341">
        <v>51436251166</v>
      </c>
      <c r="N341">
        <v>102872502332</v>
      </c>
      <c r="P341">
        <v>205742815269</v>
      </c>
      <c r="Q341">
        <v>51432182984</v>
      </c>
    </row>
    <row r="342" spans="1:17" x14ac:dyDescent="0.35">
      <c r="A342" t="s">
        <v>1958</v>
      </c>
      <c r="B342" t="s">
        <v>1962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7" x14ac:dyDescent="0.35">
      <c r="A343" t="s">
        <v>1958</v>
      </c>
      <c r="B343" t="s">
        <v>1963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-3757050000</v>
      </c>
      <c r="I343">
        <v>0</v>
      </c>
      <c r="J343">
        <v>7350749769</v>
      </c>
      <c r="K343">
        <v>13732153174</v>
      </c>
      <c r="L343">
        <v>9347836823</v>
      </c>
      <c r="M343">
        <v>0</v>
      </c>
      <c r="N343">
        <v>0</v>
      </c>
    </row>
    <row r="344" spans="1:17" x14ac:dyDescent="0.35">
      <c r="A344" t="s">
        <v>1958</v>
      </c>
      <c r="B344" t="s">
        <v>1964</v>
      </c>
      <c r="C344">
        <v>-12761073</v>
      </c>
      <c r="D344">
        <v>-163385273</v>
      </c>
      <c r="E344">
        <v>-5446758</v>
      </c>
      <c r="F344">
        <v>-10560002</v>
      </c>
      <c r="G344">
        <v>-16031974</v>
      </c>
      <c r="H344">
        <v>-104012408</v>
      </c>
      <c r="I344">
        <v>-7550566</v>
      </c>
      <c r="J344">
        <v>-17069186</v>
      </c>
      <c r="K344">
        <v>-35208183</v>
      </c>
      <c r="L344">
        <v>-129442717</v>
      </c>
      <c r="M344">
        <v>-11499679</v>
      </c>
      <c r="N344">
        <v>-14837283</v>
      </c>
      <c r="P344">
        <v>-172486239</v>
      </c>
      <c r="Q344">
        <v>-4015197</v>
      </c>
    </row>
    <row r="345" spans="1:17" x14ac:dyDescent="0.35">
      <c r="A345" t="s">
        <v>1958</v>
      </c>
      <c r="B345" t="s">
        <v>1965</v>
      </c>
      <c r="C345">
        <v>113302748819</v>
      </c>
      <c r="D345">
        <v>163215150423</v>
      </c>
      <c r="E345">
        <v>52721422936</v>
      </c>
      <c r="F345">
        <v>105487687203</v>
      </c>
      <c r="G345">
        <v>156098853323</v>
      </c>
      <c r="H345">
        <v>208645250651</v>
      </c>
      <c r="I345">
        <v>46859506116</v>
      </c>
      <c r="J345">
        <v>95623500142</v>
      </c>
      <c r="K345">
        <v>142082453433</v>
      </c>
      <c r="L345">
        <v>191726077614</v>
      </c>
      <c r="M345">
        <v>56166247854</v>
      </c>
      <c r="N345">
        <v>112587564762</v>
      </c>
      <c r="P345">
        <v>211481339563</v>
      </c>
      <c r="Q345">
        <v>37952638025</v>
      </c>
    </row>
    <row r="346" spans="1:17" x14ac:dyDescent="0.35">
      <c r="A346" t="s">
        <v>1958</v>
      </c>
      <c r="B346" t="s">
        <v>1966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7" x14ac:dyDescent="0.35">
      <c r="A347" t="s">
        <v>1958</v>
      </c>
      <c r="B347" t="s">
        <v>1967</v>
      </c>
      <c r="C347">
        <v>297057850813</v>
      </c>
      <c r="D347">
        <v>420585568388</v>
      </c>
      <c r="E347">
        <v>138349594285</v>
      </c>
      <c r="F347">
        <v>290504018951</v>
      </c>
      <c r="G347">
        <v>423218830183</v>
      </c>
      <c r="H347">
        <v>551997837440</v>
      </c>
      <c r="I347">
        <v>159805421455</v>
      </c>
      <c r="J347">
        <v>348928846070</v>
      </c>
      <c r="K347">
        <v>510087693554</v>
      </c>
      <c r="L347">
        <v>645777770803</v>
      </c>
      <c r="M347">
        <v>133991963411</v>
      </c>
      <c r="N347">
        <v>275059398461</v>
      </c>
      <c r="P347">
        <v>538084347936</v>
      </c>
      <c r="Q347">
        <v>127554401459</v>
      </c>
    </row>
    <row r="348" spans="1:17" x14ac:dyDescent="0.35">
      <c r="A348" t="s">
        <v>1958</v>
      </c>
      <c r="B348" t="s">
        <v>1968</v>
      </c>
      <c r="C348">
        <v>-181276039795</v>
      </c>
      <c r="D348">
        <v>-8933684748</v>
      </c>
      <c r="E348">
        <v>4785133616</v>
      </c>
      <c r="F348">
        <v>-34554400072</v>
      </c>
      <c r="G348">
        <v>-30502655790</v>
      </c>
      <c r="H348">
        <v>-28894538404</v>
      </c>
      <c r="I348">
        <v>-57581624350</v>
      </c>
      <c r="J348">
        <v>-36353905737</v>
      </c>
      <c r="K348">
        <v>-27531706131</v>
      </c>
      <c r="L348">
        <v>4679058475</v>
      </c>
      <c r="M348">
        <v>-52483859316</v>
      </c>
      <c r="N348">
        <v>-50843310876</v>
      </c>
      <c r="P348">
        <v>-73811202571</v>
      </c>
      <c r="Q348">
        <v>-12463320432</v>
      </c>
    </row>
    <row r="349" spans="1:17" x14ac:dyDescent="0.35">
      <c r="A349" t="s">
        <v>1958</v>
      </c>
      <c r="B349" t="s">
        <v>1969</v>
      </c>
      <c r="C349">
        <v>0</v>
      </c>
      <c r="D349">
        <v>394547272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7" x14ac:dyDescent="0.35">
      <c r="A350" t="s">
        <v>1958</v>
      </c>
      <c r="B350" t="s">
        <v>1970</v>
      </c>
      <c r="C350">
        <v>473107176410</v>
      </c>
      <c r="D350">
        <v>506720445318</v>
      </c>
      <c r="E350">
        <v>-3778088491</v>
      </c>
      <c r="F350">
        <v>-18737610655</v>
      </c>
      <c r="G350">
        <v>-21017963106</v>
      </c>
      <c r="H350">
        <v>-90980187493</v>
      </c>
      <c r="I350">
        <v>-8347599208</v>
      </c>
      <c r="J350">
        <v>-3563786236</v>
      </c>
      <c r="K350">
        <v>-137247670586</v>
      </c>
      <c r="L350">
        <v>-148438772718</v>
      </c>
      <c r="M350">
        <v>-263742100092</v>
      </c>
      <c r="N350">
        <v>-274148157710</v>
      </c>
      <c r="P350">
        <v>-305142530035</v>
      </c>
      <c r="Q350">
        <v>487889879</v>
      </c>
    </row>
    <row r="351" spans="1:17" x14ac:dyDescent="0.35">
      <c r="A351" t="s">
        <v>1958</v>
      </c>
      <c r="B351" t="s">
        <v>1971</v>
      </c>
      <c r="C351">
        <v>244715294</v>
      </c>
      <c r="D351">
        <v>172760688</v>
      </c>
      <c r="E351">
        <v>81456995</v>
      </c>
      <c r="F351">
        <v>40915697</v>
      </c>
      <c r="G351">
        <v>-373995988</v>
      </c>
      <c r="H351">
        <v>-11217966578</v>
      </c>
      <c r="I351">
        <v>3761740099</v>
      </c>
      <c r="J351">
        <v>8379369377</v>
      </c>
      <c r="K351">
        <v>6058450901</v>
      </c>
      <c r="L351">
        <v>10948033930</v>
      </c>
      <c r="M351">
        <v>986967578</v>
      </c>
      <c r="N351">
        <v>1625301634</v>
      </c>
      <c r="P351">
        <v>1419257564</v>
      </c>
      <c r="Q351">
        <v>-580097234</v>
      </c>
    </row>
    <row r="352" spans="1:17" x14ac:dyDescent="0.35">
      <c r="A352" t="s">
        <v>1958</v>
      </c>
      <c r="B352" t="s">
        <v>1972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7" x14ac:dyDescent="0.35">
      <c r="A353" t="s">
        <v>1958</v>
      </c>
      <c r="B353" t="s">
        <v>1973</v>
      </c>
      <c r="C353">
        <v>-107583584164</v>
      </c>
      <c r="D353">
        <v>-168782856373</v>
      </c>
      <c r="E353">
        <v>-52721422936</v>
      </c>
      <c r="F353">
        <v>-101814722112</v>
      </c>
      <c r="G353">
        <v>0</v>
      </c>
      <c r="H353">
        <v>-206041867596</v>
      </c>
      <c r="I353">
        <v>-31781732345</v>
      </c>
      <c r="J353">
        <v>-97895512846</v>
      </c>
      <c r="K353">
        <v>-144354466137</v>
      </c>
      <c r="L353">
        <v>-193159354000</v>
      </c>
      <c r="M353">
        <v>-41561213628</v>
      </c>
      <c r="N353">
        <v>-113426301080</v>
      </c>
      <c r="P353">
        <v>-205146327943</v>
      </c>
      <c r="Q353">
        <v>-45126385963</v>
      </c>
    </row>
    <row r="354" spans="1:17" x14ac:dyDescent="0.35">
      <c r="A354" t="s">
        <v>1958</v>
      </c>
      <c r="B354" t="s">
        <v>1974</v>
      </c>
      <c r="C354">
        <v>-4256661593</v>
      </c>
      <c r="D354">
        <v>-4256661593</v>
      </c>
      <c r="E354">
        <v>-4256661593</v>
      </c>
      <c r="F354">
        <v>-4818676912</v>
      </c>
      <c r="G354">
        <v>-156098853323</v>
      </c>
      <c r="H354">
        <v>-8111855581</v>
      </c>
      <c r="I354">
        <v>0</v>
      </c>
      <c r="J354">
        <v>-7610160806</v>
      </c>
      <c r="K354">
        <v>-7610160806</v>
      </c>
      <c r="L354">
        <v>-7610160806</v>
      </c>
      <c r="M354">
        <v>-12700000000</v>
      </c>
      <c r="N354">
        <v>-12700000000</v>
      </c>
      <c r="P354">
        <v>-14822505336</v>
      </c>
    </row>
    <row r="355" spans="1:17" x14ac:dyDescent="0.35">
      <c r="A355" t="s">
        <v>1958</v>
      </c>
      <c r="B355" t="s">
        <v>1975</v>
      </c>
      <c r="C355">
        <v>0</v>
      </c>
      <c r="D355">
        <v>0</v>
      </c>
      <c r="E355">
        <v>0</v>
      </c>
      <c r="F355">
        <v>0</v>
      </c>
      <c r="G355">
        <v>-8111855581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7" x14ac:dyDescent="0.35">
      <c r="A356" t="s">
        <v>1958</v>
      </c>
      <c r="B356" t="s">
        <v>1976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-1995292200</v>
      </c>
      <c r="J356">
        <v>-1995292200</v>
      </c>
      <c r="K356">
        <v>-1995292200</v>
      </c>
      <c r="L356">
        <v>-1995292200</v>
      </c>
      <c r="M356">
        <v>0</v>
      </c>
      <c r="N356">
        <v>0</v>
      </c>
      <c r="P356">
        <v>-3586416000</v>
      </c>
    </row>
    <row r="357" spans="1:17" x14ac:dyDescent="0.35">
      <c r="A357" t="s">
        <v>1958</v>
      </c>
      <c r="B357" t="s">
        <v>154</v>
      </c>
      <c r="C357">
        <v>477293456965</v>
      </c>
      <c r="D357">
        <v>745900118952</v>
      </c>
      <c r="E357">
        <v>82460011876</v>
      </c>
      <c r="F357">
        <v>130619524897</v>
      </c>
      <c r="G357">
        <v>207113506395</v>
      </c>
      <c r="H357">
        <v>206751421788</v>
      </c>
      <c r="I357">
        <v>63860913451</v>
      </c>
      <c r="J357">
        <v>209889557622</v>
      </c>
      <c r="K357">
        <v>197406848595</v>
      </c>
      <c r="L357">
        <v>310201283484</v>
      </c>
      <c r="M357">
        <v>-235508242047</v>
      </c>
      <c r="N357">
        <v>-174433069571</v>
      </c>
      <c r="P357">
        <v>-63005376385</v>
      </c>
      <c r="Q357">
        <v>69872487709</v>
      </c>
    </row>
    <row r="358" spans="1:17" x14ac:dyDescent="0.35">
      <c r="A358" t="s">
        <v>1958</v>
      </c>
      <c r="B358" t="s">
        <v>155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7" x14ac:dyDescent="0.35">
      <c r="A359" t="s">
        <v>1958</v>
      </c>
      <c r="B359" t="s">
        <v>156</v>
      </c>
      <c r="C359">
        <v>-698347041479</v>
      </c>
      <c r="D359">
        <v>-968046895297</v>
      </c>
      <c r="E359">
        <v>-36018887902</v>
      </c>
      <c r="F359">
        <v>-74491551696</v>
      </c>
      <c r="G359">
        <v>-94114827872</v>
      </c>
      <c r="H359">
        <v>-170659784016</v>
      </c>
      <c r="I359">
        <v>-4803586364</v>
      </c>
      <c r="J359">
        <v>-3899584464</v>
      </c>
      <c r="K359">
        <v>-15226174795</v>
      </c>
      <c r="L359">
        <v>-14910365175</v>
      </c>
      <c r="M359">
        <v>0</v>
      </c>
      <c r="N359">
        <v>0</v>
      </c>
      <c r="Q359">
        <v>-432000000</v>
      </c>
    </row>
    <row r="360" spans="1:17" x14ac:dyDescent="0.35">
      <c r="A360" t="s">
        <v>1958</v>
      </c>
      <c r="B360" t="s">
        <v>157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7" x14ac:dyDescent="0.35">
      <c r="A361" t="s">
        <v>1958</v>
      </c>
      <c r="B361" t="s">
        <v>158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7" x14ac:dyDescent="0.35">
      <c r="A362" t="s">
        <v>1958</v>
      </c>
      <c r="B362" t="s">
        <v>159</v>
      </c>
      <c r="C362">
        <v>0</v>
      </c>
      <c r="D362">
        <v>590000000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P362">
        <v>200000000</v>
      </c>
    </row>
    <row r="363" spans="1:17" x14ac:dyDescent="0.35">
      <c r="A363" t="s">
        <v>1958</v>
      </c>
      <c r="B363" t="s">
        <v>160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7" x14ac:dyDescent="0.35">
      <c r="A364" t="s">
        <v>1958</v>
      </c>
      <c r="B364" t="s">
        <v>161</v>
      </c>
      <c r="C364">
        <v>61467889892</v>
      </c>
      <c r="D364">
        <v>61467889892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7" x14ac:dyDescent="0.35">
      <c r="A365" t="s">
        <v>1958</v>
      </c>
      <c r="B365" t="s">
        <v>162</v>
      </c>
      <c r="C365">
        <v>12761073</v>
      </c>
      <c r="D365">
        <v>163385273</v>
      </c>
      <c r="E365">
        <v>5446758</v>
      </c>
      <c r="F365">
        <v>10560002</v>
      </c>
      <c r="G365">
        <v>16031974</v>
      </c>
      <c r="H365">
        <v>104012408</v>
      </c>
      <c r="I365">
        <v>7550566</v>
      </c>
      <c r="J365">
        <v>17069186</v>
      </c>
      <c r="K365">
        <v>35208183</v>
      </c>
      <c r="L365">
        <v>129442717</v>
      </c>
      <c r="M365">
        <v>11499679</v>
      </c>
      <c r="N365">
        <v>14837283</v>
      </c>
      <c r="P365">
        <v>172486239</v>
      </c>
      <c r="Q365">
        <v>4015197</v>
      </c>
    </row>
    <row r="366" spans="1:17" x14ac:dyDescent="0.35">
      <c r="A366" t="s">
        <v>1958</v>
      </c>
      <c r="B366" t="s">
        <v>163</v>
      </c>
      <c r="C366">
        <v>-636866390514</v>
      </c>
      <c r="D366">
        <v>-905825620132</v>
      </c>
      <c r="E366">
        <v>-36013441144</v>
      </c>
      <c r="F366">
        <v>-74480991694</v>
      </c>
      <c r="G366">
        <v>-94098795898</v>
      </c>
      <c r="H366">
        <v>-170555771608</v>
      </c>
      <c r="I366">
        <v>-4796035798</v>
      </c>
      <c r="J366">
        <v>-3882515278</v>
      </c>
      <c r="K366">
        <v>-15190966612</v>
      </c>
      <c r="L366">
        <v>-14780922458</v>
      </c>
      <c r="M366">
        <v>11499679</v>
      </c>
      <c r="N366">
        <v>14837283</v>
      </c>
      <c r="P366">
        <v>372486239</v>
      </c>
      <c r="Q366">
        <v>-427984803</v>
      </c>
    </row>
    <row r="367" spans="1:17" x14ac:dyDescent="0.35">
      <c r="A367" t="s">
        <v>1958</v>
      </c>
      <c r="B367" t="s">
        <v>164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7" x14ac:dyDescent="0.35">
      <c r="A368" t="s">
        <v>1958</v>
      </c>
      <c r="B368" t="s">
        <v>165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8" x14ac:dyDescent="0.35">
      <c r="A369" t="s">
        <v>1958</v>
      </c>
      <c r="B369" t="s">
        <v>1977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8" x14ac:dyDescent="0.35">
      <c r="A370" t="s">
        <v>1958</v>
      </c>
      <c r="B370" t="s">
        <v>166</v>
      </c>
      <c r="C370">
        <v>389606029084</v>
      </c>
      <c r="D370">
        <v>457392924530</v>
      </c>
      <c r="E370">
        <v>29729129652</v>
      </c>
      <c r="F370">
        <v>87014649602</v>
      </c>
      <c r="G370">
        <v>98161252244</v>
      </c>
      <c r="H370">
        <v>318517649603</v>
      </c>
      <c r="I370">
        <v>7925593741</v>
      </c>
      <c r="J370">
        <v>13945278250</v>
      </c>
      <c r="K370">
        <v>142252188067</v>
      </c>
      <c r="L370">
        <v>148299598445</v>
      </c>
      <c r="M370">
        <v>269942003974</v>
      </c>
      <c r="N370">
        <v>291758222438</v>
      </c>
      <c r="P370">
        <v>322676583058</v>
      </c>
      <c r="Q370">
        <v>30954722888</v>
      </c>
    </row>
    <row r="371" spans="1:18" x14ac:dyDescent="0.35">
      <c r="A371" t="s">
        <v>1958</v>
      </c>
      <c r="B371" t="s">
        <v>167</v>
      </c>
      <c r="C371">
        <v>-230287947999</v>
      </c>
      <c r="D371">
        <v>-300789277002</v>
      </c>
      <c r="E371">
        <v>-62265000000</v>
      </c>
      <c r="F371">
        <v>-134402000000</v>
      </c>
      <c r="G371">
        <v>-204412000001</v>
      </c>
      <c r="H371">
        <v>-334847519953</v>
      </c>
      <c r="I371">
        <v>-82092703299</v>
      </c>
      <c r="J371">
        <v>-195532634001</v>
      </c>
      <c r="K371">
        <v>-295434227742</v>
      </c>
      <c r="L371">
        <v>-385134912251</v>
      </c>
      <c r="M371">
        <v>-87751100402</v>
      </c>
      <c r="N371">
        <v>-198732223159</v>
      </c>
      <c r="P371">
        <v>-338669057639</v>
      </c>
      <c r="Q371">
        <v>-97723816571</v>
      </c>
    </row>
    <row r="372" spans="1:18" x14ac:dyDescent="0.35">
      <c r="A372" t="s">
        <v>1958</v>
      </c>
      <c r="B372" t="s">
        <v>1978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8" x14ac:dyDescent="0.35">
      <c r="A373" t="s">
        <v>1958</v>
      </c>
      <c r="B373" t="s">
        <v>168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8" x14ac:dyDescent="0.35">
      <c r="A374" t="s">
        <v>1958</v>
      </c>
      <c r="B374" t="s">
        <v>169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8" x14ac:dyDescent="0.35">
      <c r="A375" t="s">
        <v>1958</v>
      </c>
      <c r="B375" t="s">
        <v>170</v>
      </c>
      <c r="C375">
        <v>159318081085</v>
      </c>
      <c r="D375">
        <v>156603647528</v>
      </c>
      <c r="E375">
        <v>-32535870348</v>
      </c>
      <c r="F375">
        <v>-47387350398</v>
      </c>
      <c r="G375">
        <v>-106250747757</v>
      </c>
      <c r="H375">
        <v>-16329870350</v>
      </c>
      <c r="I375">
        <v>-74167109558</v>
      </c>
      <c r="J375">
        <v>-181587355751</v>
      </c>
      <c r="K375">
        <v>-153182039675</v>
      </c>
      <c r="L375">
        <v>-236835313806</v>
      </c>
      <c r="M375">
        <v>182190903572</v>
      </c>
      <c r="N375">
        <v>93025999279</v>
      </c>
      <c r="P375">
        <v>-15992474581</v>
      </c>
      <c r="Q375">
        <v>-66769093683</v>
      </c>
    </row>
    <row r="376" spans="1:18" x14ac:dyDescent="0.35">
      <c r="A376" t="s">
        <v>1958</v>
      </c>
      <c r="B376" t="s">
        <v>171</v>
      </c>
      <c r="C376">
        <v>-254852464</v>
      </c>
      <c r="D376">
        <v>-3321853652</v>
      </c>
      <c r="E376">
        <v>13910700384</v>
      </c>
      <c r="F376">
        <v>8751182805</v>
      </c>
      <c r="G376">
        <v>6763962740</v>
      </c>
      <c r="H376">
        <v>19865779830</v>
      </c>
      <c r="I376">
        <v>-15102231905</v>
      </c>
      <c r="J376">
        <v>24419686593</v>
      </c>
      <c r="K376">
        <v>29033842308</v>
      </c>
      <c r="L376">
        <v>58585047220</v>
      </c>
      <c r="M376">
        <v>-53305838796</v>
      </c>
      <c r="N376">
        <v>-81392233009</v>
      </c>
      <c r="P376">
        <v>-78625364727</v>
      </c>
      <c r="Q376">
        <v>2675409223</v>
      </c>
    </row>
    <row r="377" spans="1:18" x14ac:dyDescent="0.35">
      <c r="A377" t="s">
        <v>1958</v>
      </c>
      <c r="B377" t="s">
        <v>172</v>
      </c>
      <c r="C377">
        <v>7309911204</v>
      </c>
      <c r="D377">
        <v>7309911204</v>
      </c>
      <c r="E377">
        <v>4005735990</v>
      </c>
      <c r="F377">
        <v>4005735990</v>
      </c>
      <c r="G377">
        <v>4005735990</v>
      </c>
      <c r="H377">
        <v>4005735990</v>
      </c>
      <c r="I377">
        <v>23910422402</v>
      </c>
      <c r="J377">
        <v>23910422402</v>
      </c>
      <c r="K377">
        <v>23910422402</v>
      </c>
      <c r="L377">
        <v>23910422402</v>
      </c>
      <c r="M377">
        <v>82532622419</v>
      </c>
      <c r="N377">
        <v>82532622419</v>
      </c>
      <c r="P377">
        <v>82532622419</v>
      </c>
      <c r="Q377">
        <v>3907257691</v>
      </c>
    </row>
    <row r="378" spans="1:18" x14ac:dyDescent="0.35">
      <c r="A378" t="s">
        <v>1958</v>
      </c>
      <c r="B378" t="s">
        <v>173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8" x14ac:dyDescent="0.35">
      <c r="A379" t="s">
        <v>1958</v>
      </c>
      <c r="B379" t="s">
        <v>174</v>
      </c>
      <c r="C379">
        <v>7055058740</v>
      </c>
      <c r="D379">
        <v>3988057552</v>
      </c>
      <c r="E379">
        <v>17916436374</v>
      </c>
      <c r="F379">
        <v>12756918795</v>
      </c>
      <c r="G379">
        <v>10769698730</v>
      </c>
      <c r="H379">
        <v>23871515820</v>
      </c>
      <c r="I379">
        <v>8808190497</v>
      </c>
      <c r="J379">
        <v>48330108995</v>
      </c>
      <c r="K379">
        <v>52944264710</v>
      </c>
      <c r="L379">
        <v>82495469622</v>
      </c>
      <c r="M379">
        <v>29226783623</v>
      </c>
      <c r="N379">
        <v>1140389410</v>
      </c>
      <c r="P379">
        <v>3907257692</v>
      </c>
      <c r="Q379">
        <v>6582666914</v>
      </c>
    </row>
    <row r="380" spans="1:18" x14ac:dyDescent="0.35">
      <c r="A380" t="s">
        <v>1944</v>
      </c>
      <c r="B380" t="s">
        <v>153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8" x14ac:dyDescent="0.35">
      <c r="A381" t="s">
        <v>1944</v>
      </c>
      <c r="B381" t="s">
        <v>1959</v>
      </c>
      <c r="C381">
        <v>180996728885</v>
      </c>
      <c r="D381">
        <v>326788417998</v>
      </c>
      <c r="E381">
        <v>39342758490</v>
      </c>
      <c r="F381">
        <v>0</v>
      </c>
      <c r="G381">
        <v>250609458559</v>
      </c>
      <c r="H381">
        <v>337709930087</v>
      </c>
      <c r="I381">
        <v>16390283254</v>
      </c>
      <c r="J381">
        <v>38564093378</v>
      </c>
      <c r="K381">
        <v>50345394150</v>
      </c>
      <c r="L381">
        <v>93023293621</v>
      </c>
      <c r="M381">
        <v>10720077880</v>
      </c>
      <c r="N381">
        <v>27917929962</v>
      </c>
      <c r="P381">
        <v>65507365482</v>
      </c>
      <c r="Q381">
        <v>13819854993</v>
      </c>
      <c r="R381">
        <v>29181157245</v>
      </c>
    </row>
    <row r="382" spans="1:18" x14ac:dyDescent="0.35">
      <c r="A382" t="s">
        <v>1944</v>
      </c>
      <c r="B382" t="s">
        <v>1960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8" x14ac:dyDescent="0.35">
      <c r="A383" t="s">
        <v>1944</v>
      </c>
      <c r="B383" t="s">
        <v>1961</v>
      </c>
      <c r="C383">
        <v>20700229664</v>
      </c>
      <c r="D383">
        <v>30309153598</v>
      </c>
      <c r="E383">
        <v>8099984701</v>
      </c>
      <c r="F383">
        <v>0</v>
      </c>
      <c r="G383">
        <v>26746777602</v>
      </c>
      <c r="H383">
        <v>39420392062</v>
      </c>
      <c r="I383">
        <v>9889714608</v>
      </c>
      <c r="J383">
        <v>25586055797</v>
      </c>
      <c r="K383">
        <v>31403473618</v>
      </c>
      <c r="L383">
        <v>46054942581</v>
      </c>
      <c r="M383">
        <v>11780805594</v>
      </c>
      <c r="N383">
        <v>23087339322</v>
      </c>
      <c r="P383">
        <v>47471722221</v>
      </c>
      <c r="Q383">
        <v>11650890563</v>
      </c>
      <c r="R383">
        <v>23341098944</v>
      </c>
    </row>
    <row r="384" spans="1:18" x14ac:dyDescent="0.35">
      <c r="A384" t="s">
        <v>1944</v>
      </c>
      <c r="B384" t="s">
        <v>1962</v>
      </c>
      <c r="C384">
        <v>-4739591304</v>
      </c>
      <c r="D384">
        <v>77812238646</v>
      </c>
      <c r="E384">
        <v>5224512006</v>
      </c>
      <c r="F384">
        <v>0</v>
      </c>
      <c r="G384">
        <v>-26120679317</v>
      </c>
      <c r="H384">
        <v>-114619534721</v>
      </c>
      <c r="I384">
        <v>2317552316</v>
      </c>
      <c r="J384">
        <v>17742419401</v>
      </c>
      <c r="K384">
        <v>15720942592</v>
      </c>
      <c r="L384">
        <v>-18218731085</v>
      </c>
      <c r="M384">
        <v>-2926138973</v>
      </c>
      <c r="N384">
        <v>-8901055075</v>
      </c>
      <c r="P384">
        <v>24718560774</v>
      </c>
      <c r="Q384">
        <v>297842305</v>
      </c>
      <c r="R384">
        <v>1596409272</v>
      </c>
    </row>
    <row r="385" spans="1:18" x14ac:dyDescent="0.35">
      <c r="A385" t="s">
        <v>1944</v>
      </c>
      <c r="B385" t="s">
        <v>1963</v>
      </c>
      <c r="C385">
        <v>-653142902</v>
      </c>
      <c r="D385">
        <v>-1838018376</v>
      </c>
      <c r="E385">
        <v>-226293129</v>
      </c>
      <c r="F385">
        <v>0</v>
      </c>
      <c r="G385">
        <v>-13534454697</v>
      </c>
      <c r="H385">
        <v>-3894981496</v>
      </c>
      <c r="I385">
        <v>2303830977</v>
      </c>
      <c r="J385">
        <v>3913740520</v>
      </c>
      <c r="K385">
        <v>5336920323</v>
      </c>
      <c r="L385">
        <v>3748871842</v>
      </c>
      <c r="M385">
        <v>-270183425</v>
      </c>
      <c r="N385">
        <v>320698752</v>
      </c>
      <c r="P385">
        <v>507204761</v>
      </c>
      <c r="Q385">
        <v>-98951997</v>
      </c>
      <c r="R385">
        <v>104093021</v>
      </c>
    </row>
    <row r="386" spans="1:18" x14ac:dyDescent="0.35">
      <c r="A386" t="s">
        <v>1944</v>
      </c>
      <c r="B386" t="s">
        <v>1964</v>
      </c>
      <c r="C386">
        <v>-31503656742</v>
      </c>
      <c r="D386">
        <v>-39861982148</v>
      </c>
      <c r="E386">
        <v>-5466846761</v>
      </c>
      <c r="F386">
        <v>0</v>
      </c>
      <c r="G386">
        <v>-36753644764</v>
      </c>
      <c r="H386">
        <v>-46235138850</v>
      </c>
      <c r="I386">
        <v>-6626524285</v>
      </c>
      <c r="J386">
        <v>-13320410895</v>
      </c>
      <c r="K386">
        <v>-19595730379</v>
      </c>
      <c r="L386">
        <v>-29906406210</v>
      </c>
      <c r="M386">
        <v>-5179638851</v>
      </c>
      <c r="N386">
        <v>-10402380184</v>
      </c>
      <c r="P386">
        <v>-23086111735</v>
      </c>
      <c r="Q386">
        <v>-3820894305</v>
      </c>
      <c r="R386">
        <v>-6984665617</v>
      </c>
    </row>
    <row r="387" spans="1:18" x14ac:dyDescent="0.35">
      <c r="A387" t="s">
        <v>1944</v>
      </c>
      <c r="B387" t="s">
        <v>1965</v>
      </c>
      <c r="C387">
        <v>2804221639</v>
      </c>
      <c r="D387">
        <v>3745330871</v>
      </c>
      <c r="E387">
        <v>1269993427</v>
      </c>
      <c r="F387">
        <v>0</v>
      </c>
      <c r="G387">
        <v>4243083127</v>
      </c>
      <c r="H387">
        <v>5703670871</v>
      </c>
      <c r="I387">
        <v>1940206702</v>
      </c>
      <c r="J387">
        <v>3567525738</v>
      </c>
      <c r="K387">
        <v>4774768454</v>
      </c>
      <c r="L387">
        <v>6097601863</v>
      </c>
      <c r="M387">
        <v>2026560811</v>
      </c>
      <c r="N387">
        <v>3807127950</v>
      </c>
      <c r="P387">
        <v>6833786084</v>
      </c>
      <c r="Q387">
        <v>2370968939</v>
      </c>
      <c r="R387">
        <v>4376150487</v>
      </c>
    </row>
    <row r="388" spans="1:18" x14ac:dyDescent="0.35">
      <c r="A388" t="s">
        <v>1944</v>
      </c>
      <c r="B388" t="s">
        <v>1966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8" x14ac:dyDescent="0.35">
      <c r="A389" t="s">
        <v>1944</v>
      </c>
      <c r="B389" t="s">
        <v>1967</v>
      </c>
      <c r="C389">
        <v>167604789240</v>
      </c>
      <c r="D389">
        <v>396955140589</v>
      </c>
      <c r="E389">
        <v>48244108734</v>
      </c>
      <c r="F389">
        <v>0</v>
      </c>
      <c r="G389">
        <v>205190540510</v>
      </c>
      <c r="H389">
        <v>218084337953</v>
      </c>
      <c r="I389">
        <v>26215063572</v>
      </c>
      <c r="J389">
        <v>76053423939</v>
      </c>
      <c r="K389">
        <v>87985768758</v>
      </c>
      <c r="L389">
        <v>100799572612</v>
      </c>
      <c r="M389">
        <v>16151483036</v>
      </c>
      <c r="N389">
        <v>35829660727</v>
      </c>
      <c r="P389">
        <v>121952527587</v>
      </c>
      <c r="Q389">
        <v>24219710498</v>
      </c>
      <c r="R389">
        <v>51614243352</v>
      </c>
    </row>
    <row r="390" spans="1:18" x14ac:dyDescent="0.35">
      <c r="A390" t="s">
        <v>1944</v>
      </c>
      <c r="B390" t="s">
        <v>1968</v>
      </c>
      <c r="C390">
        <v>-754472867368</v>
      </c>
      <c r="D390">
        <v>-978353028185</v>
      </c>
      <c r="E390">
        <v>198950332600</v>
      </c>
      <c r="F390">
        <v>0</v>
      </c>
      <c r="G390">
        <v>-1373504256548</v>
      </c>
      <c r="H390">
        <v>-1179642157787</v>
      </c>
      <c r="I390">
        <v>398847875335</v>
      </c>
      <c r="J390">
        <v>1259201189518</v>
      </c>
      <c r="K390">
        <v>1156720906862</v>
      </c>
      <c r="L390">
        <v>1163483889506</v>
      </c>
      <c r="M390">
        <v>11298585279</v>
      </c>
      <c r="N390">
        <v>49840482866</v>
      </c>
      <c r="P390">
        <v>400839943445</v>
      </c>
      <c r="Q390">
        <v>229159358373</v>
      </c>
      <c r="R390">
        <v>234534692660</v>
      </c>
    </row>
    <row r="391" spans="1:18" x14ac:dyDescent="0.35">
      <c r="A391" t="s">
        <v>1944</v>
      </c>
      <c r="B391" t="s">
        <v>1969</v>
      </c>
      <c r="C391">
        <v>117323154897</v>
      </c>
      <c r="D391">
        <v>424343049960</v>
      </c>
      <c r="E391">
        <v>-66028645673</v>
      </c>
      <c r="F391">
        <v>0</v>
      </c>
      <c r="G391">
        <v>-73370644294</v>
      </c>
      <c r="H391">
        <v>-138110921705</v>
      </c>
      <c r="I391">
        <v>-297156632</v>
      </c>
      <c r="J391">
        <v>112683009588</v>
      </c>
      <c r="K391">
        <v>162069342586</v>
      </c>
      <c r="L391">
        <v>213082765699</v>
      </c>
      <c r="M391">
        <v>-4395736426</v>
      </c>
      <c r="N391">
        <v>-21360237963</v>
      </c>
      <c r="P391">
        <v>14981904209</v>
      </c>
      <c r="Q391">
        <v>-29562086708</v>
      </c>
      <c r="R391">
        <v>-44136457295</v>
      </c>
    </row>
    <row r="392" spans="1:18" x14ac:dyDescent="0.35">
      <c r="A392" t="s">
        <v>1944</v>
      </c>
      <c r="B392" t="s">
        <v>1970</v>
      </c>
      <c r="C392">
        <v>757665648707</v>
      </c>
      <c r="D392">
        <v>496714605844</v>
      </c>
      <c r="E392">
        <v>-147513082937</v>
      </c>
      <c r="F392">
        <v>0</v>
      </c>
      <c r="G392">
        <v>1071746886581</v>
      </c>
      <c r="H392">
        <v>1010923932775</v>
      </c>
      <c r="I392">
        <v>-500247194525</v>
      </c>
      <c r="J392">
        <v>-1562630068806</v>
      </c>
      <c r="K392">
        <v>-1415292886763</v>
      </c>
      <c r="L392">
        <v>-1506177842149</v>
      </c>
      <c r="M392">
        <v>-80300565481</v>
      </c>
      <c r="N392">
        <v>-123315099861</v>
      </c>
      <c r="P392">
        <v>-654681766223</v>
      </c>
      <c r="Q392">
        <v>-197453489261</v>
      </c>
      <c r="R392">
        <v>-283233628190</v>
      </c>
    </row>
    <row r="393" spans="1:18" x14ac:dyDescent="0.35">
      <c r="A393" t="s">
        <v>1944</v>
      </c>
      <c r="B393" t="s">
        <v>1971</v>
      </c>
      <c r="C393">
        <v>272061012</v>
      </c>
      <c r="D393">
        <v>-2148364566</v>
      </c>
      <c r="E393">
        <v>-6418727246</v>
      </c>
      <c r="F393">
        <v>0</v>
      </c>
      <c r="G393">
        <v>-6147942755</v>
      </c>
      <c r="H393">
        <v>-4986879415</v>
      </c>
      <c r="I393">
        <v>-1564484165</v>
      </c>
      <c r="J393">
        <v>-1432961386</v>
      </c>
      <c r="K393">
        <v>347910966</v>
      </c>
      <c r="L393">
        <v>893746511</v>
      </c>
      <c r="M393">
        <v>-3372526605</v>
      </c>
      <c r="N393">
        <v>-2900402347</v>
      </c>
      <c r="P393">
        <v>-2873304276</v>
      </c>
      <c r="Q393">
        <v>-3232762171</v>
      </c>
      <c r="R393">
        <v>-1023141424</v>
      </c>
    </row>
    <row r="394" spans="1:18" x14ac:dyDescent="0.35">
      <c r="A394" t="s">
        <v>1944</v>
      </c>
      <c r="B394" t="s">
        <v>1972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-446588236</v>
      </c>
      <c r="N394">
        <v>0</v>
      </c>
    </row>
    <row r="395" spans="1:18" x14ac:dyDescent="0.35">
      <c r="A395" t="s">
        <v>1944</v>
      </c>
      <c r="B395" t="s">
        <v>1973</v>
      </c>
      <c r="C395">
        <v>-2416276491</v>
      </c>
      <c r="D395">
        <v>-3206673764</v>
      </c>
      <c r="E395">
        <v>-1111853197</v>
      </c>
      <c r="F395">
        <v>0</v>
      </c>
      <c r="G395">
        <v>-3851054723</v>
      </c>
      <c r="H395">
        <v>-5152551854</v>
      </c>
      <c r="I395">
        <v>-1383006950</v>
      </c>
      <c r="J395">
        <v>-3338988939</v>
      </c>
      <c r="K395">
        <v>-3246739521</v>
      </c>
      <c r="L395">
        <v>-5659918688</v>
      </c>
      <c r="M395">
        <v>-3926573187</v>
      </c>
      <c r="N395">
        <v>-6128541304</v>
      </c>
      <c r="P395">
        <v>-8937917933</v>
      </c>
      <c r="Q395">
        <v>-2284838919</v>
      </c>
      <c r="R395">
        <v>-4545999066</v>
      </c>
    </row>
    <row r="396" spans="1:18" x14ac:dyDescent="0.35">
      <c r="A396" t="s">
        <v>1944</v>
      </c>
      <c r="B396" t="s">
        <v>1974</v>
      </c>
      <c r="C396">
        <v>-8780442766</v>
      </c>
      <c r="D396">
        <v>-28122529338</v>
      </c>
      <c r="E396">
        <v>-19353882531</v>
      </c>
      <c r="F396">
        <v>0</v>
      </c>
      <c r="G396">
        <v>-26493558097</v>
      </c>
      <c r="H396">
        <v>-68632734881</v>
      </c>
      <c r="I396">
        <v>-16674628888</v>
      </c>
      <c r="J396">
        <v>-19819104631</v>
      </c>
      <c r="K396">
        <v>-19816604631</v>
      </c>
      <c r="L396">
        <v>-25411381322</v>
      </c>
      <c r="M396">
        <v>-5359480387</v>
      </c>
      <c r="N396">
        <v>-5381980387</v>
      </c>
      <c r="P396">
        <v>-11979879549</v>
      </c>
      <c r="Q396">
        <v>-2290678228</v>
      </c>
      <c r="R396">
        <v>-4820580073</v>
      </c>
    </row>
    <row r="397" spans="1:18" x14ac:dyDescent="0.35">
      <c r="A397" t="s">
        <v>1944</v>
      </c>
      <c r="B397" t="s">
        <v>1975</v>
      </c>
      <c r="C397">
        <v>19052000</v>
      </c>
      <c r="D397">
        <v>18888000</v>
      </c>
      <c r="E397">
        <v>2816051740</v>
      </c>
      <c r="F397">
        <v>0</v>
      </c>
      <c r="G397">
        <v>1406257422</v>
      </c>
      <c r="H397">
        <v>1409057422</v>
      </c>
      <c r="I397">
        <v>-15000000</v>
      </c>
      <c r="J397">
        <v>9190605</v>
      </c>
      <c r="K397">
        <v>-35122849</v>
      </c>
      <c r="L397">
        <v>119453651</v>
      </c>
      <c r="M397">
        <v>-406500000</v>
      </c>
      <c r="N397">
        <v>2612609346</v>
      </c>
      <c r="P397">
        <v>61200000</v>
      </c>
    </row>
    <row r="398" spans="1:18" x14ac:dyDescent="0.35">
      <c r="A398" t="s">
        <v>1944</v>
      </c>
      <c r="B398" t="s">
        <v>1976</v>
      </c>
      <c r="C398">
        <v>-18388790000</v>
      </c>
      <c r="D398">
        <v>-19111997685</v>
      </c>
      <c r="E398">
        <v>-1064268000</v>
      </c>
      <c r="F398">
        <v>0</v>
      </c>
      <c r="G398">
        <v>-13048984000</v>
      </c>
      <c r="H398">
        <v>-13669965177</v>
      </c>
      <c r="I398">
        <v>-686700000</v>
      </c>
      <c r="J398">
        <v>-1324346601</v>
      </c>
      <c r="K398">
        <v>-1886162424</v>
      </c>
      <c r="L398">
        <v>-3262195589</v>
      </c>
      <c r="M398">
        <v>-608300000</v>
      </c>
      <c r="N398">
        <v>-2594598943</v>
      </c>
      <c r="P398">
        <v>-9092252378</v>
      </c>
      <c r="Q398">
        <v>-8040089833</v>
      </c>
      <c r="R398">
        <v>-13820024016</v>
      </c>
    </row>
    <row r="399" spans="1:18" x14ac:dyDescent="0.35">
      <c r="A399" t="s">
        <v>1944</v>
      </c>
      <c r="B399" t="s">
        <v>154</v>
      </c>
      <c r="C399">
        <v>258826329231</v>
      </c>
      <c r="D399">
        <v>287089090855</v>
      </c>
      <c r="E399">
        <v>8520033490</v>
      </c>
      <c r="F399">
        <v>0</v>
      </c>
      <c r="G399">
        <v>-218072755904</v>
      </c>
      <c r="H399">
        <v>-179777882669</v>
      </c>
      <c r="I399">
        <v>-96120316413</v>
      </c>
      <c r="J399">
        <v>-140598656713</v>
      </c>
      <c r="K399">
        <v>-34409761740</v>
      </c>
      <c r="L399">
        <v>-62131909769</v>
      </c>
      <c r="M399">
        <v>-71366202007</v>
      </c>
      <c r="N399">
        <v>-73398107866</v>
      </c>
      <c r="P399">
        <v>-149729545118</v>
      </c>
      <c r="Q399">
        <v>10515123751</v>
      </c>
      <c r="R399">
        <v>-65430894052</v>
      </c>
    </row>
    <row r="400" spans="1:18" x14ac:dyDescent="0.35">
      <c r="A400" t="s">
        <v>1944</v>
      </c>
      <c r="B400" t="s">
        <v>155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8" x14ac:dyDescent="0.35">
      <c r="A401" t="s">
        <v>1944</v>
      </c>
      <c r="B401" t="s">
        <v>156</v>
      </c>
      <c r="C401">
        <v>-131422945161</v>
      </c>
      <c r="D401">
        <v>-174634992325</v>
      </c>
      <c r="E401">
        <v>-30186805807</v>
      </c>
      <c r="F401">
        <v>-85054287709</v>
      </c>
      <c r="G401">
        <v>-134702234206</v>
      </c>
      <c r="H401">
        <v>-173378361983</v>
      </c>
      <c r="I401">
        <v>-9470506667</v>
      </c>
      <c r="J401">
        <v>-21698034178</v>
      </c>
      <c r="K401">
        <v>-36754976292</v>
      </c>
      <c r="L401">
        <v>25509981140</v>
      </c>
      <c r="M401">
        <v>-1244377444</v>
      </c>
      <c r="N401">
        <v>-6985809387</v>
      </c>
      <c r="P401">
        <v>-20544575231</v>
      </c>
      <c r="Q401">
        <v>-9205511244</v>
      </c>
      <c r="R401">
        <v>-13352119952</v>
      </c>
    </row>
    <row r="402" spans="1:18" x14ac:dyDescent="0.35">
      <c r="A402" t="s">
        <v>1944</v>
      </c>
      <c r="B402" t="s">
        <v>157</v>
      </c>
      <c r="C402">
        <v>-1751138418</v>
      </c>
      <c r="D402">
        <v>-1741945334</v>
      </c>
      <c r="E402">
        <v>-1994612588</v>
      </c>
      <c r="F402">
        <v>855634207</v>
      </c>
      <c r="G402">
        <v>0</v>
      </c>
      <c r="H402">
        <v>0</v>
      </c>
      <c r="I402">
        <v>0</v>
      </c>
      <c r="J402">
        <v>4596364</v>
      </c>
      <c r="K402">
        <v>0</v>
      </c>
      <c r="L402">
        <v>23400000</v>
      </c>
      <c r="M402">
        <v>0</v>
      </c>
      <c r="N402">
        <v>0</v>
      </c>
      <c r="P402">
        <v>23400000</v>
      </c>
      <c r="R402">
        <v>12800000</v>
      </c>
    </row>
    <row r="403" spans="1:18" x14ac:dyDescent="0.35">
      <c r="A403" t="s">
        <v>1944</v>
      </c>
      <c r="B403" t="s">
        <v>158</v>
      </c>
      <c r="C403">
        <v>-256500000000</v>
      </c>
      <c r="D403">
        <v>-792500000000</v>
      </c>
      <c r="E403">
        <v>-170000000000</v>
      </c>
      <c r="F403">
        <v>-242534492305</v>
      </c>
      <c r="G403">
        <v>-331034492305</v>
      </c>
      <c r="H403">
        <v>-417534492305</v>
      </c>
      <c r="I403">
        <v>-20000000000</v>
      </c>
      <c r="J403">
        <v>-28000000000</v>
      </c>
      <c r="K403">
        <v>-70000000000</v>
      </c>
      <c r="L403">
        <v>-106000000000</v>
      </c>
      <c r="M403">
        <v>0</v>
      </c>
      <c r="N403">
        <v>0</v>
      </c>
      <c r="P403">
        <v>-78000000000</v>
      </c>
    </row>
    <row r="404" spans="1:18" x14ac:dyDescent="0.35">
      <c r="A404" t="s">
        <v>1944</v>
      </c>
      <c r="B404" t="s">
        <v>159</v>
      </c>
      <c r="C404">
        <v>283000000000</v>
      </c>
      <c r="D404">
        <v>658200000000</v>
      </c>
      <c r="E404">
        <v>124000000000</v>
      </c>
      <c r="F404">
        <v>379000000000</v>
      </c>
      <c r="G404">
        <v>724200000000</v>
      </c>
      <c r="H404">
        <v>867200000000</v>
      </c>
      <c r="I404">
        <v>78000000000</v>
      </c>
      <c r="J404">
        <v>98000000000</v>
      </c>
      <c r="K404">
        <v>106000000000</v>
      </c>
      <c r="L404">
        <v>154034492305</v>
      </c>
      <c r="M404">
        <v>36000000000</v>
      </c>
      <c r="N404">
        <v>79000000000</v>
      </c>
      <c r="P404">
        <v>79000000000</v>
      </c>
      <c r="Q404">
        <v>82000000000</v>
      </c>
      <c r="R404">
        <v>117000000000</v>
      </c>
    </row>
    <row r="405" spans="1:18" x14ac:dyDescent="0.35">
      <c r="A405" t="s">
        <v>1944</v>
      </c>
      <c r="B405" t="s">
        <v>160</v>
      </c>
      <c r="C405">
        <v>-87804000000</v>
      </c>
      <c r="D405">
        <v>87804000000</v>
      </c>
      <c r="E405">
        <v>0</v>
      </c>
      <c r="F405">
        <v>-95937450000</v>
      </c>
      <c r="G405">
        <v>-117238250000</v>
      </c>
      <c r="H405">
        <v>-153571000000</v>
      </c>
      <c r="I405">
        <v>0</v>
      </c>
      <c r="J405">
        <v>-95937450000</v>
      </c>
      <c r="K405">
        <v>-43073000000</v>
      </c>
      <c r="L405">
        <v>-75597250000</v>
      </c>
      <c r="M405">
        <v>0</v>
      </c>
      <c r="N405">
        <v>0</v>
      </c>
      <c r="P405">
        <v>-4122400000</v>
      </c>
      <c r="Q405">
        <v>-17640450000</v>
      </c>
      <c r="R405">
        <v>-17640450000</v>
      </c>
    </row>
    <row r="406" spans="1:18" x14ac:dyDescent="0.35">
      <c r="A406" t="s">
        <v>1944</v>
      </c>
      <c r="B406" t="s">
        <v>161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 x14ac:dyDescent="0.35">
      <c r="A407" t="s">
        <v>1944</v>
      </c>
      <c r="B407" t="s">
        <v>162</v>
      </c>
      <c r="C407">
        <v>28262771494</v>
      </c>
      <c r="D407">
        <v>40669967745</v>
      </c>
      <c r="E407">
        <v>3842810219</v>
      </c>
      <c r="F407">
        <v>29584410631</v>
      </c>
      <c r="G407">
        <v>23869959536</v>
      </c>
      <c r="H407">
        <v>29361320247</v>
      </c>
      <c r="I407">
        <v>2686455964</v>
      </c>
      <c r="J407">
        <v>5500877714</v>
      </c>
      <c r="K407">
        <v>7040825155</v>
      </c>
      <c r="L407">
        <v>13919789315</v>
      </c>
      <c r="M407">
        <v>1804911554</v>
      </c>
      <c r="N407">
        <v>6211993348</v>
      </c>
      <c r="P407">
        <v>14146864719</v>
      </c>
      <c r="Q407">
        <v>946938842</v>
      </c>
      <c r="R407">
        <v>3018398240</v>
      </c>
    </row>
    <row r="408" spans="1:18" x14ac:dyDescent="0.35">
      <c r="A408" t="s">
        <v>1944</v>
      </c>
      <c r="B408" t="s">
        <v>163</v>
      </c>
      <c r="C408">
        <v>-166215312085</v>
      </c>
      <c r="D408">
        <v>-182202969914</v>
      </c>
      <c r="E408">
        <v>-74338608176</v>
      </c>
      <c r="F408">
        <v>-14941819383</v>
      </c>
      <c r="G408">
        <v>165094983025</v>
      </c>
      <c r="H408">
        <v>152077465959</v>
      </c>
      <c r="I408">
        <v>51215949297</v>
      </c>
      <c r="J408">
        <v>53807439900</v>
      </c>
      <c r="K408">
        <v>-36787151137</v>
      </c>
      <c r="L408">
        <v>11890412760</v>
      </c>
      <c r="M408">
        <v>36560534110</v>
      </c>
      <c r="N408">
        <v>78226183961</v>
      </c>
      <c r="P408">
        <v>-9520110512</v>
      </c>
      <c r="Q408">
        <v>56100977598</v>
      </c>
      <c r="R408">
        <v>89038628288</v>
      </c>
    </row>
    <row r="409" spans="1:18" x14ac:dyDescent="0.35">
      <c r="A409" t="s">
        <v>1944</v>
      </c>
      <c r="B409" t="s">
        <v>164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8" x14ac:dyDescent="0.35">
      <c r="A410" t="s">
        <v>1944</v>
      </c>
      <c r="B410" t="s">
        <v>165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8" x14ac:dyDescent="0.35">
      <c r="A411" t="s">
        <v>1944</v>
      </c>
      <c r="B411" t="s">
        <v>1977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8" x14ac:dyDescent="0.35">
      <c r="A412" t="s">
        <v>1944</v>
      </c>
      <c r="B412" t="s">
        <v>166</v>
      </c>
      <c r="C412">
        <v>218245838173</v>
      </c>
      <c r="D412">
        <v>396535116966</v>
      </c>
      <c r="E412">
        <v>140029502216</v>
      </c>
      <c r="F412">
        <v>237436818232</v>
      </c>
      <c r="G412">
        <v>573234561346</v>
      </c>
      <c r="H412">
        <v>652022328605</v>
      </c>
      <c r="I412">
        <v>137761343398</v>
      </c>
      <c r="J412">
        <v>179718159593</v>
      </c>
      <c r="K412">
        <v>224445239104</v>
      </c>
      <c r="L412">
        <v>291843219888</v>
      </c>
      <c r="M412">
        <v>76173030306</v>
      </c>
      <c r="N412">
        <v>110914420265</v>
      </c>
      <c r="P412">
        <v>310423827249</v>
      </c>
      <c r="Q412">
        <v>110054587920</v>
      </c>
      <c r="R412">
        <v>187746803721</v>
      </c>
    </row>
    <row r="413" spans="1:18" x14ac:dyDescent="0.35">
      <c r="A413" t="s">
        <v>1944</v>
      </c>
      <c r="B413" t="s">
        <v>167</v>
      </c>
      <c r="C413">
        <v>-223857917529</v>
      </c>
      <c r="D413">
        <v>-387185814283</v>
      </c>
      <c r="E413">
        <v>-66752936028</v>
      </c>
      <c r="F413">
        <v>-312674481218</v>
      </c>
      <c r="G413">
        <v>-521324204172</v>
      </c>
      <c r="H413">
        <v>-570994848812</v>
      </c>
      <c r="I413">
        <v>-114727947987</v>
      </c>
      <c r="J413">
        <v>-170799604587</v>
      </c>
      <c r="K413">
        <v>-282827409356</v>
      </c>
      <c r="L413">
        <v>-321444747674</v>
      </c>
      <c r="M413">
        <v>-90878708567</v>
      </c>
      <c r="N413">
        <v>-136573759996</v>
      </c>
      <c r="P413">
        <v>-223614947132</v>
      </c>
      <c r="Q413">
        <v>-75394399538</v>
      </c>
      <c r="R413">
        <v>-207484133457</v>
      </c>
    </row>
    <row r="414" spans="1:18" x14ac:dyDescent="0.35">
      <c r="A414" t="s">
        <v>1944</v>
      </c>
      <c r="B414" t="s">
        <v>1978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8" x14ac:dyDescent="0.35">
      <c r="A415" t="s">
        <v>1944</v>
      </c>
      <c r="B415" t="s">
        <v>168</v>
      </c>
      <c r="C415">
        <v>65994942</v>
      </c>
      <c r="D415">
        <v>74165000</v>
      </c>
      <c r="E415">
        <v>0</v>
      </c>
      <c r="F415">
        <v>-11088400</v>
      </c>
      <c r="G415">
        <v>-11088400</v>
      </c>
      <c r="H415">
        <v>-35226385900</v>
      </c>
      <c r="I415">
        <v>-4522000</v>
      </c>
      <c r="J415">
        <v>-4522000</v>
      </c>
      <c r="K415">
        <v>-11825600</v>
      </c>
      <c r="L415">
        <v>-44260535000</v>
      </c>
      <c r="M415">
        <v>-13265800</v>
      </c>
      <c r="N415">
        <v>-13265800</v>
      </c>
      <c r="P415">
        <v>-68825600</v>
      </c>
      <c r="Q415">
        <v>-12043150</v>
      </c>
      <c r="R415">
        <v>-12043150</v>
      </c>
    </row>
    <row r="416" spans="1:18" x14ac:dyDescent="0.35">
      <c r="A416" t="s">
        <v>1944</v>
      </c>
      <c r="B416" t="s">
        <v>169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8" x14ac:dyDescent="0.35">
      <c r="A417" t="s">
        <v>1944</v>
      </c>
      <c r="B417" t="s">
        <v>170</v>
      </c>
      <c r="C417">
        <v>-5546084414</v>
      </c>
      <c r="D417">
        <v>9423467683</v>
      </c>
      <c r="E417">
        <v>73276566188</v>
      </c>
      <c r="F417">
        <v>-75248751386</v>
      </c>
      <c r="G417">
        <v>51899268774</v>
      </c>
      <c r="H417">
        <v>45801093893</v>
      </c>
      <c r="I417">
        <v>23028873411</v>
      </c>
      <c r="J417">
        <v>8914033006</v>
      </c>
      <c r="K417">
        <v>-58393995852</v>
      </c>
      <c r="L417">
        <v>-73862062786</v>
      </c>
      <c r="M417">
        <v>-14718944061</v>
      </c>
      <c r="N417">
        <v>-25672605531</v>
      </c>
      <c r="P417">
        <v>86740054517</v>
      </c>
      <c r="Q417">
        <v>34648145232</v>
      </c>
      <c r="R417">
        <v>-19749372886</v>
      </c>
    </row>
    <row r="418" spans="1:18" x14ac:dyDescent="0.35">
      <c r="A418" t="s">
        <v>1944</v>
      </c>
      <c r="B418" t="s">
        <v>171</v>
      </c>
      <c r="C418">
        <v>87064932732</v>
      </c>
      <c r="D418">
        <v>114309588624</v>
      </c>
      <c r="E418">
        <v>7457991502</v>
      </c>
      <c r="F418">
        <v>-160015287294</v>
      </c>
      <c r="G418">
        <v>-1078504105</v>
      </c>
      <c r="H418">
        <v>18100677183</v>
      </c>
      <c r="I418">
        <v>-21875493705</v>
      </c>
      <c r="J418">
        <v>-77877183807</v>
      </c>
      <c r="K418">
        <v>-129590908729</v>
      </c>
      <c r="L418">
        <v>-124103559795</v>
      </c>
      <c r="M418">
        <v>-49524611958</v>
      </c>
      <c r="N418">
        <v>-20844529436</v>
      </c>
      <c r="P418">
        <v>-72509601113</v>
      </c>
      <c r="Q418">
        <v>101264246581</v>
      </c>
      <c r="R418">
        <v>3858361350</v>
      </c>
    </row>
    <row r="419" spans="1:18" x14ac:dyDescent="0.35">
      <c r="A419" t="s">
        <v>1944</v>
      </c>
      <c r="B419" t="s">
        <v>172</v>
      </c>
      <c r="C419">
        <v>188362289302</v>
      </c>
      <c r="D419">
        <v>188362289302</v>
      </c>
      <c r="E419">
        <v>302027563394</v>
      </c>
      <c r="F419">
        <v>302027563394</v>
      </c>
      <c r="G419">
        <v>302027563394</v>
      </c>
      <c r="H419">
        <v>302027563394</v>
      </c>
      <c r="I419">
        <v>319646400604</v>
      </c>
      <c r="J419">
        <v>319646400604</v>
      </c>
      <c r="K419">
        <v>319646400604</v>
      </c>
      <c r="L419">
        <v>319646400604</v>
      </c>
      <c r="M419">
        <v>198299196901</v>
      </c>
      <c r="N419">
        <v>198299196901</v>
      </c>
      <c r="P419">
        <v>198299196901</v>
      </c>
      <c r="Q419">
        <v>127329031923</v>
      </c>
      <c r="R419">
        <v>127329031923</v>
      </c>
    </row>
    <row r="420" spans="1:18" x14ac:dyDescent="0.35">
      <c r="A420" t="s">
        <v>1944</v>
      </c>
      <c r="B420" t="s">
        <v>173</v>
      </c>
      <c r="C420">
        <v>-11169087</v>
      </c>
      <c r="D420">
        <v>-644314532</v>
      </c>
      <c r="E420">
        <v>-3124884</v>
      </c>
      <c r="F420">
        <v>-47517304</v>
      </c>
      <c r="G420">
        <v>-426853496</v>
      </c>
      <c r="H420">
        <v>-481839973</v>
      </c>
      <c r="I420">
        <v>109214858</v>
      </c>
      <c r="J420">
        <v>1139639715</v>
      </c>
      <c r="K420">
        <v>3855403586</v>
      </c>
      <c r="L420">
        <v>2756356092</v>
      </c>
      <c r="M420">
        <v>-232846840</v>
      </c>
      <c r="N420">
        <v>-3468519</v>
      </c>
      <c r="P420">
        <v>1539436135</v>
      </c>
      <c r="Q420">
        <v>863594006</v>
      </c>
      <c r="R420">
        <v>1735917455</v>
      </c>
    </row>
    <row r="421" spans="1:18" x14ac:dyDescent="0.35">
      <c r="A421" t="s">
        <v>1944</v>
      </c>
      <c r="B421" t="s">
        <v>174</v>
      </c>
      <c r="C421">
        <v>275416052947</v>
      </c>
      <c r="D421">
        <v>302027563394</v>
      </c>
      <c r="E421">
        <v>309482430012</v>
      </c>
      <c r="F421">
        <v>141964758796</v>
      </c>
      <c r="G421">
        <v>300522205793</v>
      </c>
      <c r="H421">
        <v>319646400604</v>
      </c>
      <c r="I421">
        <v>297880121757</v>
      </c>
      <c r="J421">
        <v>242908856512</v>
      </c>
      <c r="K421">
        <v>193910895461</v>
      </c>
      <c r="L421">
        <v>198299196901</v>
      </c>
      <c r="M421">
        <v>148541738103</v>
      </c>
      <c r="N421">
        <v>177451198946</v>
      </c>
      <c r="P421">
        <v>127329031923</v>
      </c>
      <c r="Q421">
        <v>229456872510</v>
      </c>
      <c r="R421">
        <v>132923310728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B66D-0B3E-4072-92FC-EF55C8F40B70}">
  <dimension ref="A2:N135"/>
  <sheetViews>
    <sheetView workbookViewId="0">
      <selection activeCell="D6" sqref="D6"/>
    </sheetView>
  </sheetViews>
  <sheetFormatPr defaultRowHeight="14.5" x14ac:dyDescent="0.35"/>
  <cols>
    <col min="1" max="1" width="22.1796875" customWidth="1"/>
    <col min="2" max="2" width="11" customWidth="1"/>
    <col min="3" max="3" width="45.26953125" bestFit="1" customWidth="1"/>
    <col min="4" max="4" width="26.7265625" style="49" customWidth="1"/>
    <col min="5" max="7" width="26.7265625" style="4" customWidth="1"/>
    <col min="9" max="9" width="15.90625" customWidth="1"/>
    <col min="10" max="10" width="16.6328125" customWidth="1"/>
    <col min="11" max="14" width="18.36328125" bestFit="1" customWidth="1"/>
  </cols>
  <sheetData>
    <row r="2" spans="1:14" ht="15.5" x14ac:dyDescent="0.35">
      <c r="A2" s="13" t="s">
        <v>137</v>
      </c>
      <c r="B2" s="13" t="str">
        <f>DCF!C2</f>
        <v>TTA</v>
      </c>
      <c r="C2" s="7"/>
      <c r="D2" s="45"/>
      <c r="E2" s="8"/>
      <c r="F2" s="8"/>
      <c r="G2" s="8"/>
    </row>
    <row r="3" spans="1:14" ht="18.5" x14ac:dyDescent="0.45">
      <c r="A3" s="9"/>
      <c r="B3" s="10"/>
      <c r="C3" s="6" t="s">
        <v>138</v>
      </c>
      <c r="D3" s="46" t="str">
        <f>balance_sheet_annual[[#Headers],[2020]]</f>
        <v>2020</v>
      </c>
      <c r="E3" s="46" t="str">
        <f>balance_sheet_annual[[#Headers],[2021]]</f>
        <v>2021</v>
      </c>
      <c r="F3" s="46" t="str">
        <f>balance_sheet_annual[[#Headers],[2022]]</f>
        <v>2022</v>
      </c>
      <c r="G3" s="46" t="str">
        <f>balance_sheet_annual[[#Headers],[2023]]</f>
        <v>2023</v>
      </c>
    </row>
    <row r="4" spans="1:14" ht="15.5" x14ac:dyDescent="0.35">
      <c r="B4" s="2"/>
      <c r="C4" s="12" t="str">
        <f t="array" ref="C4">IFERROR(INDEX(balance_sheet_annual[#All], SMALL(IF(LOWER(balance_sheet_annual[Company Name]) = LOWER(balance_sheet_annual_filter!$B$2), ROW(balance_sheet_annual[Company Name]) - ROW(INDEX(balance_sheet_annual[Company Name], 1, 1)) + 1), ROW(2:2)), COLUMN(B:B)), "")</f>
        <v>TÀI SẢN</v>
      </c>
      <c r="D4" s="47">
        <f>D5+D31</f>
        <v>3757450373418</v>
      </c>
      <c r="E4" s="11">
        <f t="array" ref="E4">IFERROR(INDEX(balance_sheet_annual[#All], SMALL(IF(LOWER(balance_sheet_annual[Company Name]) = LOWER(balance_sheet_annual_filter!$B$2), ROW(balance_sheet_annual[Company Name]) - ROW(INDEX(balance_sheet_annual[Company Name], 1, 1)) + 1), ROW(2:2)), COLUMN(D:D)), "")</f>
        <v>0</v>
      </c>
      <c r="F4" s="11">
        <f t="array" ref="F4">IFERROR(INDEX(balance_sheet_annual[#All], SMALL(IF(LOWER(balance_sheet_annual[Company Name]) = LOWER(balance_sheet_annual_filter!$B$2), ROW(balance_sheet_annual[Company Name]) - ROW(INDEX(balance_sheet_annual[Company Name], 1, 1)) + 1), ROW(2:2)), COLUMN(E:E)), "")</f>
        <v>0</v>
      </c>
      <c r="G4" s="11">
        <f t="array" ref="G4">IFERROR(INDEX(balance_sheet_annual[#All], SMALL(IF(LOWER(balance_sheet_annual[Company Name]) = LOWER(balance_sheet_annual_filter!$B$2), ROW(balance_sheet_annual[Company Name]) - ROW(INDEX(balance_sheet_annual[Company Name], 1, 1)) + 1), ROW(2:2)), COLUMN(F:F)), "")</f>
        <v>0</v>
      </c>
      <c r="K4" s="4"/>
      <c r="L4" s="4"/>
      <c r="M4" s="4"/>
      <c r="N4" s="4"/>
    </row>
    <row r="5" spans="1:14" ht="15.5" x14ac:dyDescent="0.35">
      <c r="B5" s="2"/>
      <c r="C5" s="12" t="str">
        <f t="array" ref="C5">IFERROR(INDEX(balance_sheet_annual[#All], SMALL(IF(LOWER(balance_sheet_annual[Company Name]) = LOWER(balance_sheet_annual_filter!$B$2), ROW(balance_sheet_annual[Company Name]) - ROW(INDEX(balance_sheet_annual[Company Name], 1, 1)) + 1), ROW(3:3)), COLUMN(B:B)), "")</f>
        <v>A- TÀI SẢN NGẮN HẠN</v>
      </c>
      <c r="D5" s="11">
        <f t="shared" ref="D5:G5" si="0">D6+D9+D13+D22+D25</f>
        <v>100021195558</v>
      </c>
      <c r="E5" s="11">
        <f t="shared" si="0"/>
        <v>159699899959</v>
      </c>
      <c r="F5" s="11">
        <f t="shared" si="0"/>
        <v>203064085050</v>
      </c>
      <c r="G5" s="11">
        <f t="shared" si="0"/>
        <v>196548132130</v>
      </c>
    </row>
    <row r="6" spans="1:14" ht="15.5" x14ac:dyDescent="0.35">
      <c r="B6" s="2"/>
      <c r="C6" s="12" t="str">
        <f t="array" ref="C6">IFERROR(INDEX(balance_sheet_annual[#All], SMALL(IF(LOWER(balance_sheet_annual[Company Name]) = LOWER(balance_sheet_annual_filter!$B$2), ROW(balance_sheet_annual[Company Name]) - ROW(INDEX(balance_sheet_annual[Company Name], 1, 1)) + 1), ROW(4:4)), COLUMN(B:B)), "")</f>
        <v>I. Tiền và các khoản tương đương tiền</v>
      </c>
      <c r="D6" s="47">
        <f t="array" ref="D6">IFERROR(INDEX(balance_sheet_annual[#All], SMALL(IF(LOWER(balance_sheet_annual[Company Name]) = LOWER(balance_sheet_annual_filter!$B$2), ROW(balance_sheet_annual[Company Name]) - ROW(INDEX(balance_sheet_annual[Company Name], 1, 1)) + 1), ROW(4:4)), COLUMN(C:C)), "")</f>
        <v>4005735990</v>
      </c>
      <c r="E6" s="11">
        <f t="array" ref="E6">IFERROR(INDEX(balance_sheet_annual[#All], SMALL(IF(LOWER(balance_sheet_annual[Company Name]) = LOWER(balance_sheet_annual_filter!$B$2), ROW(balance_sheet_annual[Company Name]) - ROW(INDEX(balance_sheet_annual[Company Name], 1, 1)) + 1), ROW(4:4)), COLUMN(D:D)), "")</f>
        <v>23910422402</v>
      </c>
      <c r="F6" s="11">
        <f t="array" ref="F6">IFERROR(INDEX(balance_sheet_annual[#All], SMALL(IF(LOWER(balance_sheet_annual[Company Name]) = LOWER(balance_sheet_annual_filter!$B$2), ROW(balance_sheet_annual[Company Name]) - ROW(INDEX(balance_sheet_annual[Company Name], 1, 1)) + 1), ROW(4:4)), COLUMN(E:E)), "")</f>
        <v>82532622419</v>
      </c>
      <c r="G6" s="11">
        <f t="array" ref="G6">IFERROR(INDEX(balance_sheet_annual[#All], SMALL(IF(LOWER(balance_sheet_annual[Company Name]) = LOWER(balance_sheet_annual_filter!$B$2), ROW(balance_sheet_annual[Company Name]) - ROW(INDEX(balance_sheet_annual[Company Name], 1, 1)) + 1), ROW(4:4)), COLUMN(F:F)), "")</f>
        <v>3907257691</v>
      </c>
    </row>
    <row r="7" spans="1:14" ht="15.5" x14ac:dyDescent="0.35">
      <c r="B7" s="2"/>
      <c r="C7" s="12" t="str">
        <f t="array" ref="C7">IFERROR(INDEX(balance_sheet_annual[#All], SMALL(IF(LOWER(balance_sheet_annual[Company Name]) = LOWER(balance_sheet_annual_filter!$B$2), ROW(balance_sheet_annual[Company Name]) - ROW(INDEX(balance_sheet_annual[Company Name], 1, 1)) + 1), ROW(5:5)), COLUMN(B:B)), "")</f>
        <v>1. Tiền</v>
      </c>
      <c r="D7" s="47">
        <f t="array" ref="D7">IFERROR(INDEX(balance_sheet_annual[#All], SMALL(IF(LOWER(balance_sheet_annual[Company Name]) = LOWER(balance_sheet_annual_filter!$B$2), ROW(balance_sheet_annual[Company Name]) - ROW(INDEX(balance_sheet_annual[Company Name], 1, 1)) + 1), ROW(5:5)), COLUMN(C:C)), "")</f>
        <v>4005735990</v>
      </c>
      <c r="E7" s="11">
        <f t="array" ref="E7">IFERROR(INDEX(balance_sheet_annual[#All], SMALL(IF(LOWER(balance_sheet_annual[Company Name]) = LOWER(balance_sheet_annual_filter!$B$2), ROW(balance_sheet_annual[Company Name]) - ROW(INDEX(balance_sheet_annual[Company Name], 1, 1)) + 1), ROW(5:5)), COLUMN(D:D)), "")</f>
        <v>23910422402</v>
      </c>
      <c r="F7" s="11">
        <f t="array" ref="F7">IFERROR(INDEX(balance_sheet_annual[#All], SMALL(IF(LOWER(balance_sheet_annual[Company Name]) = LOWER(balance_sheet_annual_filter!$B$2), ROW(balance_sheet_annual[Company Name]) - ROW(INDEX(balance_sheet_annual[Company Name], 1, 1)) + 1), ROW(5:5)), COLUMN(E:E)), "")</f>
        <v>82532622419</v>
      </c>
      <c r="G7" s="11">
        <f t="array" ref="G7">IFERROR(INDEX(balance_sheet_annual[#All], SMALL(IF(LOWER(balance_sheet_annual[Company Name]) = LOWER(balance_sheet_annual_filter!$B$2), ROW(balance_sheet_annual[Company Name]) - ROW(INDEX(balance_sheet_annual[Company Name], 1, 1)) + 1), ROW(5:5)), COLUMN(F:F)), "")</f>
        <v>3907257691</v>
      </c>
    </row>
    <row r="8" spans="1:14" ht="15.5" x14ac:dyDescent="0.35">
      <c r="B8" s="2"/>
      <c r="C8" s="12" t="str">
        <f t="array" ref="C8">IFERROR(INDEX(balance_sheet_annual[#All], SMALL(IF(LOWER(balance_sheet_annual[Company Name]) = LOWER(balance_sheet_annual_filter!$B$2), ROW(balance_sheet_annual[Company Name]) - ROW(INDEX(balance_sheet_annual[Company Name], 1, 1)) + 1), ROW(6:6)), COLUMN(B:B)), "")</f>
        <v>2. Các khoản tương đương tiền</v>
      </c>
      <c r="D8" s="47">
        <f t="array" ref="D8">IFERROR(INDEX(balance_sheet_annual[#All], SMALL(IF(LOWER(balance_sheet_annual[Company Name]) = LOWER(balance_sheet_annual_filter!$B$2), ROW(balance_sheet_annual[Company Name]) - ROW(INDEX(balance_sheet_annual[Company Name], 1, 1)) + 1), ROW(6:6)), COLUMN(C:C)), "")</f>
        <v>0</v>
      </c>
      <c r="E8" s="11">
        <f t="array" ref="E8">IFERROR(INDEX(balance_sheet_annual[#All], SMALL(IF(LOWER(balance_sheet_annual[Company Name]) = LOWER(balance_sheet_annual_filter!$B$2), ROW(balance_sheet_annual[Company Name]) - ROW(INDEX(balance_sheet_annual[Company Name], 1, 1)) + 1), ROW(6:6)), COLUMN(D:D)), "")</f>
        <v>0</v>
      </c>
      <c r="F8" s="11">
        <f t="array" ref="F8">IFERROR(INDEX(balance_sheet_annual[#All], SMALL(IF(LOWER(balance_sheet_annual[Company Name]) = LOWER(balance_sheet_annual_filter!$B$2), ROW(balance_sheet_annual[Company Name]) - ROW(INDEX(balance_sheet_annual[Company Name], 1, 1)) + 1), ROW(6:6)), COLUMN(E:E)), "")</f>
        <v>0</v>
      </c>
      <c r="G8" s="11">
        <f t="array" ref="G8">IFERROR(INDEX(balance_sheet_annual[#All], SMALL(IF(LOWER(balance_sheet_annual[Company Name]) = LOWER(balance_sheet_annual_filter!$B$2), ROW(balance_sheet_annual[Company Name]) - ROW(INDEX(balance_sheet_annual[Company Name], 1, 1)) + 1), ROW(6:6)), COLUMN(F:F)), "")</f>
        <v>0</v>
      </c>
    </row>
    <row r="9" spans="1:14" ht="15.5" x14ac:dyDescent="0.35">
      <c r="B9" s="2"/>
      <c r="C9" s="12" t="str">
        <f t="array" ref="C9">IFERROR(INDEX(balance_sheet_annual[#All], SMALL(IF(LOWER(balance_sheet_annual[Company Name]) = LOWER(balance_sheet_annual_filter!$B$2), ROW(balance_sheet_annual[Company Name]) - ROW(INDEX(balance_sheet_annual[Company Name], 1, 1)) + 1), ROW(7:7)), COLUMN(B:B)), "")</f>
        <v>II. Các khoản đầu tư tài chính ngắn hạn</v>
      </c>
      <c r="D9" s="47">
        <f t="array" ref="D9">IFERROR(INDEX(balance_sheet_annual[#All], SMALL(IF(LOWER(balance_sheet_annual[Company Name]) = LOWER(balance_sheet_annual_filter!$B$2), ROW(balance_sheet_annual[Company Name]) - ROW(INDEX(balance_sheet_annual[Company Name], 1, 1)) + 1), ROW(7:7)), COLUMN(C:C)), "")</f>
        <v>0</v>
      </c>
      <c r="E9" s="11">
        <f t="array" ref="E9">IFERROR(INDEX(balance_sheet_annual[#All], SMALL(IF(LOWER(balance_sheet_annual[Company Name]) = LOWER(balance_sheet_annual_filter!$B$2), ROW(balance_sheet_annual[Company Name]) - ROW(INDEX(balance_sheet_annual[Company Name], 1, 1)) + 1), ROW(7:7)), COLUMN(D:D)), "")</f>
        <v>0</v>
      </c>
      <c r="F9" s="11">
        <f t="array" ref="F9">IFERROR(INDEX(balance_sheet_annual[#All], SMALL(IF(LOWER(balance_sheet_annual[Company Name]) = LOWER(balance_sheet_annual_filter!$B$2), ROW(balance_sheet_annual[Company Name]) - ROW(INDEX(balance_sheet_annual[Company Name], 1, 1)) + 1), ROW(7:7)), COLUMN(E:E)), "")</f>
        <v>0</v>
      </c>
      <c r="G9" s="11">
        <f t="array" ref="G9">IFERROR(INDEX(balance_sheet_annual[#All], SMALL(IF(LOWER(balance_sheet_annual[Company Name]) = LOWER(balance_sheet_annual_filter!$B$2), ROW(balance_sheet_annual[Company Name]) - ROW(INDEX(balance_sheet_annual[Company Name], 1, 1)) + 1), ROW(7:7)), COLUMN(F:F)), "")</f>
        <v>0</v>
      </c>
    </row>
    <row r="10" spans="1:14" ht="15.5" x14ac:dyDescent="0.35">
      <c r="B10" s="2"/>
      <c r="C10" s="12" t="str">
        <f t="array" ref="C10">IFERROR(INDEX(balance_sheet_annual[#All], SMALL(IF(LOWER(balance_sheet_annual[Company Name]) = LOWER(balance_sheet_annual_filter!$B$2), ROW(balance_sheet_annual[Company Name]) - ROW(INDEX(balance_sheet_annual[Company Name], 1, 1)) + 1), ROW(8:8)), COLUMN(B:B)), "")</f>
        <v>1. Chứng khoán kinh doanh</v>
      </c>
      <c r="D10" s="47">
        <f t="array" ref="D10">IFERROR(INDEX(balance_sheet_annual[#All], SMALL(IF(LOWER(balance_sheet_annual[Company Name]) = LOWER(balance_sheet_annual_filter!$B$2), ROW(balance_sheet_annual[Company Name]) - ROW(INDEX(balance_sheet_annual[Company Name], 1, 1)) + 1), ROW(8:8)), COLUMN(C:C)), "")</f>
        <v>0</v>
      </c>
      <c r="E10" s="11">
        <f t="array" ref="E10">IFERROR(INDEX(balance_sheet_annual[#All], SMALL(IF(LOWER(balance_sheet_annual[Company Name]) = LOWER(balance_sheet_annual_filter!$B$2), ROW(balance_sheet_annual[Company Name]) - ROW(INDEX(balance_sheet_annual[Company Name], 1, 1)) + 1), ROW(8:8)), COLUMN(D:D)), "")</f>
        <v>0</v>
      </c>
      <c r="F10" s="11">
        <f t="array" ref="F10">IFERROR(INDEX(balance_sheet_annual[#All], SMALL(IF(LOWER(balance_sheet_annual[Company Name]) = LOWER(balance_sheet_annual_filter!$B$2), ROW(balance_sheet_annual[Company Name]) - ROW(INDEX(balance_sheet_annual[Company Name], 1, 1)) + 1), ROW(8:8)), COLUMN(E:E)), "")</f>
        <v>0</v>
      </c>
      <c r="G10" s="11">
        <f t="array" ref="G10">IFERROR(INDEX(balance_sheet_annual[#All], SMALL(IF(LOWER(balance_sheet_annual[Company Name]) = LOWER(balance_sheet_annual_filter!$B$2), ROW(balance_sheet_annual[Company Name]) - ROW(INDEX(balance_sheet_annual[Company Name], 1, 1)) + 1), ROW(8:8)), COLUMN(F:F)), "")</f>
        <v>0</v>
      </c>
    </row>
    <row r="11" spans="1:14" ht="15.5" x14ac:dyDescent="0.35">
      <c r="B11" s="2"/>
      <c r="C11" s="12" t="str">
        <f t="array" ref="C11">IFERROR(INDEX(balance_sheet_annual[#All], SMALL(IF(LOWER(balance_sheet_annual[Company Name]) = LOWER(balance_sheet_annual_filter!$B$2), ROW(balance_sheet_annual[Company Name]) - ROW(INDEX(balance_sheet_annual[Company Name], 1, 1)) + 1), ROW(9:9)), COLUMN(B:B)), "")</f>
        <v>2. Dự phòng giảm giá chứng khoán kinh doanh</v>
      </c>
      <c r="D11" s="47">
        <f t="array" ref="D11">IFERROR(INDEX(balance_sheet_annual[#All], SMALL(IF(LOWER(balance_sheet_annual[Company Name]) = LOWER(balance_sheet_annual_filter!$B$2), ROW(balance_sheet_annual[Company Name]) - ROW(INDEX(balance_sheet_annual[Company Name], 1, 1)) + 1), ROW(9:9)), COLUMN(C:C)), "")</f>
        <v>0</v>
      </c>
      <c r="E11" s="11">
        <f t="array" ref="E11">IFERROR(INDEX(balance_sheet_annual[#All], SMALL(IF(LOWER(balance_sheet_annual[Company Name]) = LOWER(balance_sheet_annual_filter!$B$2), ROW(balance_sheet_annual[Company Name]) - ROW(INDEX(balance_sheet_annual[Company Name], 1, 1)) + 1), ROW(9:9)), COLUMN(D:D)), "")</f>
        <v>0</v>
      </c>
      <c r="F11" s="11">
        <f t="array" ref="F11">IFERROR(INDEX(balance_sheet_annual[#All], SMALL(IF(LOWER(balance_sheet_annual[Company Name]) = LOWER(balance_sheet_annual_filter!$B$2), ROW(balance_sheet_annual[Company Name]) - ROW(INDEX(balance_sheet_annual[Company Name], 1, 1)) + 1), ROW(9:9)), COLUMN(E:E)), "")</f>
        <v>0</v>
      </c>
      <c r="G11" s="11">
        <f t="array" ref="G11">IFERROR(INDEX(balance_sheet_annual[#All], SMALL(IF(LOWER(balance_sheet_annual[Company Name]) = LOWER(balance_sheet_annual_filter!$B$2), ROW(balance_sheet_annual[Company Name]) - ROW(INDEX(balance_sheet_annual[Company Name], 1, 1)) + 1), ROW(9:9)), COLUMN(F:F)), "")</f>
        <v>0</v>
      </c>
    </row>
    <row r="12" spans="1:14" ht="15.5" x14ac:dyDescent="0.35">
      <c r="B12" s="2"/>
      <c r="C12" s="12" t="str">
        <f t="array" ref="C12">IFERROR(INDEX(balance_sheet_annual[#All], SMALL(IF(LOWER(balance_sheet_annual[Company Name]) = LOWER(balance_sheet_annual_filter!$B$2), ROW(balance_sheet_annual[Company Name]) - ROW(INDEX(balance_sheet_annual[Company Name], 1, 1)) + 1), ROW(10:10)), COLUMN(B:B)), "")</f>
        <v>3. Đầu tư nắm giữ đến ngày đáo hạn</v>
      </c>
      <c r="D12" s="47">
        <f t="array" ref="D12">IFERROR(INDEX(balance_sheet_annual[#All], SMALL(IF(LOWER(balance_sheet_annual[Company Name]) = LOWER(balance_sheet_annual_filter!$B$2), ROW(balance_sheet_annual[Company Name]) - ROW(INDEX(balance_sheet_annual[Company Name], 1, 1)) + 1), ROW(10:10)), COLUMN(C:C)), "")</f>
        <v>0</v>
      </c>
      <c r="E12" s="11">
        <f t="array" ref="E12">IFERROR(INDEX(balance_sheet_annual[#All], SMALL(IF(LOWER(balance_sheet_annual[Company Name]) = LOWER(balance_sheet_annual_filter!$B$2), ROW(balance_sheet_annual[Company Name]) - ROW(INDEX(balance_sheet_annual[Company Name], 1, 1)) + 1), ROW(10:10)), COLUMN(D:D)), "")</f>
        <v>0</v>
      </c>
      <c r="F12" s="11">
        <f t="array" ref="F12">IFERROR(INDEX(balance_sheet_annual[#All], SMALL(IF(LOWER(balance_sheet_annual[Company Name]) = LOWER(balance_sheet_annual_filter!$B$2), ROW(balance_sheet_annual[Company Name]) - ROW(INDEX(balance_sheet_annual[Company Name], 1, 1)) + 1), ROW(10:10)), COLUMN(E:E)), "")</f>
        <v>0</v>
      </c>
      <c r="G12" s="11">
        <f t="array" ref="G12">IFERROR(INDEX(balance_sheet_annual[#All], SMALL(IF(LOWER(balance_sheet_annual[Company Name]) = LOWER(balance_sheet_annual_filter!$B$2), ROW(balance_sheet_annual[Company Name]) - ROW(INDEX(balance_sheet_annual[Company Name], 1, 1)) + 1), ROW(10:10)), COLUMN(F:F)), "")</f>
        <v>0</v>
      </c>
    </row>
    <row r="13" spans="1:14" ht="15.5" x14ac:dyDescent="0.35">
      <c r="B13" s="2"/>
      <c r="C13" s="12" t="str">
        <f t="array" ref="C13">IFERROR(INDEX(balance_sheet_annual[#All], SMALL(IF(LOWER(balance_sheet_annual[Company Name]) = LOWER(balance_sheet_annual_filter!$B$2), ROW(balance_sheet_annual[Company Name]) - ROW(INDEX(balance_sheet_annual[Company Name], 1, 1)) + 1), ROW(11:11)), COLUMN(B:B)), "")</f>
        <v>III. Các khoản phải thu ngắn hạn</v>
      </c>
      <c r="D13" s="47">
        <f t="array" ref="D13">IFERROR(INDEX(balance_sheet_annual[#All], SMALL(IF(LOWER(balance_sheet_annual[Company Name]) = LOWER(balance_sheet_annual_filter!$B$2), ROW(balance_sheet_annual[Company Name]) - ROW(INDEX(balance_sheet_annual[Company Name], 1, 1)) + 1), ROW(11:11)), COLUMN(C:C)), "")</f>
        <v>91510299816</v>
      </c>
      <c r="E13" s="11">
        <f t="array" ref="E13">IFERROR(INDEX(balance_sheet_annual[#All], SMALL(IF(LOWER(balance_sheet_annual[Company Name]) = LOWER(balance_sheet_annual_filter!$B$2), ROW(balance_sheet_annual[Company Name]) - ROW(INDEX(balance_sheet_annual[Company Name], 1, 1)) + 1), ROW(11:11)), COLUMN(D:D)), "")</f>
        <v>117524036190</v>
      </c>
      <c r="F13" s="11">
        <f t="array" ref="F13">IFERROR(INDEX(balance_sheet_annual[#All], SMALL(IF(LOWER(balance_sheet_annual[Company Name]) = LOWER(balance_sheet_annual_filter!$B$2), ROW(balance_sheet_annual[Company Name]) - ROW(INDEX(balance_sheet_annual[Company Name], 1, 1)) + 1), ROW(11:11)), COLUMN(E:E)), "")</f>
        <v>118863070794</v>
      </c>
      <c r="G13" s="11">
        <f t="array" ref="G13">IFERROR(INDEX(balance_sheet_annual[#All], SMALL(IF(LOWER(balance_sheet_annual[Company Name]) = LOWER(balance_sheet_annual_filter!$B$2), ROW(balance_sheet_annual[Company Name]) - ROW(INDEX(balance_sheet_annual[Company Name], 1, 1)) + 1), ROW(11:11)), COLUMN(F:F)), "")</f>
        <v>192335164438</v>
      </c>
    </row>
    <row r="14" spans="1:14" ht="15.5" x14ac:dyDescent="0.35">
      <c r="B14" s="2"/>
      <c r="C14" s="12" t="str">
        <f t="array" ref="C14">IFERROR(INDEX(balance_sheet_annual[#All], SMALL(IF(LOWER(balance_sheet_annual[Company Name]) = LOWER(balance_sheet_annual_filter!$B$2), ROW(balance_sheet_annual[Company Name]) - ROW(INDEX(balance_sheet_annual[Company Name], 1, 1)) + 1), ROW(12:12)), COLUMN(B:B)), "")</f>
        <v>1. Phải thu ngắn hạn của khách hàng</v>
      </c>
      <c r="D14" s="47">
        <f t="array" ref="D14">IFERROR(INDEX(balance_sheet_annual[#All], SMALL(IF(LOWER(balance_sheet_annual[Company Name]) = LOWER(balance_sheet_annual_filter!$B$2), ROW(balance_sheet_annual[Company Name]) - ROW(INDEX(balance_sheet_annual[Company Name], 1, 1)) + 1), ROW(12:12)), COLUMN(C:C)), "")</f>
        <v>49063025057</v>
      </c>
      <c r="E14" s="11">
        <f t="array" ref="E14">IFERROR(INDEX(balance_sheet_annual[#All], SMALL(IF(LOWER(balance_sheet_annual[Company Name]) = LOWER(balance_sheet_annual_filter!$B$2), ROW(balance_sheet_annual[Company Name]) - ROW(INDEX(balance_sheet_annual[Company Name], 1, 1)) + 1), ROW(12:12)), COLUMN(D:D)), "")</f>
        <v>59874896470</v>
      </c>
      <c r="F14" s="11">
        <f t="array" ref="F14">IFERROR(INDEX(balance_sheet_annual[#All], SMALL(IF(LOWER(balance_sheet_annual[Company Name]) = LOWER(balance_sheet_annual_filter!$B$2), ROW(balance_sheet_annual[Company Name]) - ROW(INDEX(balance_sheet_annual[Company Name], 1, 1)) + 1), ROW(12:12)), COLUMN(E:E)), "")</f>
        <v>68242327282</v>
      </c>
      <c r="G14" s="11">
        <f t="array" ref="G14">IFERROR(INDEX(balance_sheet_annual[#All], SMALL(IF(LOWER(balance_sheet_annual[Company Name]) = LOWER(balance_sheet_annual_filter!$B$2), ROW(balance_sheet_annual[Company Name]) - ROW(INDEX(balance_sheet_annual[Company Name], 1, 1)) + 1), ROW(12:12)), COLUMN(F:F)), "")</f>
        <v>87028879344</v>
      </c>
    </row>
    <row r="15" spans="1:14" ht="15.5" x14ac:dyDescent="0.35">
      <c r="B15" s="2"/>
      <c r="C15" s="12" t="str">
        <f t="array" ref="C15">IFERROR(INDEX(balance_sheet_annual[#All], SMALL(IF(LOWER(balance_sheet_annual[Company Name]) = LOWER(balance_sheet_annual_filter!$B$2), ROW(balance_sheet_annual[Company Name]) - ROW(INDEX(balance_sheet_annual[Company Name], 1, 1)) + 1), ROW(13:13)), COLUMN(B:B)), "")</f>
        <v>2. Trả trước cho người bán ngắn hạn</v>
      </c>
      <c r="D15" s="47">
        <f t="array" ref="D15">IFERROR(INDEX(balance_sheet_annual[#All], SMALL(IF(LOWER(balance_sheet_annual[Company Name]) = LOWER(balance_sheet_annual_filter!$B$2), ROW(balance_sheet_annual[Company Name]) - ROW(INDEX(balance_sheet_annual[Company Name], 1, 1)) + 1), ROW(13:13)), COLUMN(C:C)), "")</f>
        <v>39882894330</v>
      </c>
      <c r="E15" s="11">
        <f t="array" ref="E15">IFERROR(INDEX(balance_sheet_annual[#All], SMALL(IF(LOWER(balance_sheet_annual[Company Name]) = LOWER(balance_sheet_annual_filter!$B$2), ROW(balance_sheet_annual[Company Name]) - ROW(INDEX(balance_sheet_annual[Company Name], 1, 1)) + 1), ROW(13:13)), COLUMN(D:D)), "")</f>
        <v>53688790798</v>
      </c>
      <c r="F15" s="11">
        <f t="array" ref="F15">IFERROR(INDEX(balance_sheet_annual[#All], SMALL(IF(LOWER(balance_sheet_annual[Company Name]) = LOWER(balance_sheet_annual_filter!$B$2), ROW(balance_sheet_annual[Company Name]) - ROW(INDEX(balance_sheet_annual[Company Name], 1, 1)) + 1), ROW(13:13)), COLUMN(E:E)), "")</f>
        <v>45577291611</v>
      </c>
      <c r="G15" s="11">
        <f t="array" ref="G15">IFERROR(INDEX(balance_sheet_annual[#All], SMALL(IF(LOWER(balance_sheet_annual[Company Name]) = LOWER(balance_sheet_annual_filter!$B$2), ROW(balance_sheet_annual[Company Name]) - ROW(INDEX(balance_sheet_annual[Company Name], 1, 1)) + 1), ROW(13:13)), COLUMN(F:F)), "")</f>
        <v>8360501880</v>
      </c>
    </row>
    <row r="16" spans="1:14" ht="15.5" x14ac:dyDescent="0.35">
      <c r="B16" s="2"/>
      <c r="C16" s="12" t="str">
        <f t="array" ref="C16">IFERROR(INDEX(balance_sheet_annual[#All], SMALL(IF(LOWER(balance_sheet_annual[Company Name]) = LOWER(balance_sheet_annual_filter!$B$2), ROW(balance_sheet_annual[Company Name]) - ROW(INDEX(balance_sheet_annual[Company Name], 1, 1)) + 1), ROW(14:14)), COLUMN(B:B)), "")</f>
        <v>3. Phải thu nội bộ ngắn hạn</v>
      </c>
      <c r="D16" s="47">
        <f t="array" ref="D16">IFERROR(INDEX(balance_sheet_annual[#All], SMALL(IF(LOWER(balance_sheet_annual[Company Name]) = LOWER(balance_sheet_annual_filter!$B$2), ROW(balance_sheet_annual[Company Name]) - ROW(INDEX(balance_sheet_annual[Company Name], 1, 1)) + 1), ROW(14:14)), COLUMN(C:C)), "")</f>
        <v>0</v>
      </c>
      <c r="E16" s="11">
        <f t="array" ref="E16">IFERROR(INDEX(balance_sheet_annual[#All], SMALL(IF(LOWER(balance_sheet_annual[Company Name]) = LOWER(balance_sheet_annual_filter!$B$2), ROW(balance_sheet_annual[Company Name]) - ROW(INDEX(balance_sheet_annual[Company Name], 1, 1)) + 1), ROW(14:14)), COLUMN(D:D)), "")</f>
        <v>0</v>
      </c>
      <c r="F16" s="11">
        <f t="array" ref="F16">IFERROR(INDEX(balance_sheet_annual[#All], SMALL(IF(LOWER(balance_sheet_annual[Company Name]) = LOWER(balance_sheet_annual_filter!$B$2), ROW(balance_sheet_annual[Company Name]) - ROW(INDEX(balance_sheet_annual[Company Name], 1, 1)) + 1), ROW(14:14)), COLUMN(E:E)), "")</f>
        <v>0</v>
      </c>
      <c r="G16" s="11">
        <f t="array" ref="G16">IFERROR(INDEX(balance_sheet_annual[#All], SMALL(IF(LOWER(balance_sheet_annual[Company Name]) = LOWER(balance_sheet_annual_filter!$B$2), ROW(balance_sheet_annual[Company Name]) - ROW(INDEX(balance_sheet_annual[Company Name], 1, 1)) + 1), ROW(14:14)), COLUMN(F:F)), "")</f>
        <v>0</v>
      </c>
    </row>
    <row r="17" spans="2:7" ht="15.5" x14ac:dyDescent="0.35">
      <c r="B17" s="2"/>
      <c r="C17" s="12" t="str">
        <f t="array" ref="C17">IFERROR(INDEX(balance_sheet_annual[#All], SMALL(IF(LOWER(balance_sheet_annual[Company Name]) = LOWER(balance_sheet_annual_filter!$B$2), ROW(balance_sheet_annual[Company Name]) - ROW(INDEX(balance_sheet_annual[Company Name], 1, 1)) + 1), ROW(15:15)), COLUMN(B:B)), "")</f>
        <v>4. Phải thu theo tiến độ kế hoạch hợp đồng xây dựng</v>
      </c>
      <c r="D17" s="47">
        <f t="array" ref="D17">IFERROR(INDEX(balance_sheet_annual[#All], SMALL(IF(LOWER(balance_sheet_annual[Company Name]) = LOWER(balance_sheet_annual_filter!$B$2), ROW(balance_sheet_annual[Company Name]) - ROW(INDEX(balance_sheet_annual[Company Name], 1, 1)) + 1), ROW(15:15)), COLUMN(C:C)), "")</f>
        <v>0</v>
      </c>
      <c r="E17" s="11">
        <f t="array" ref="E17">IFERROR(INDEX(balance_sheet_annual[#All], SMALL(IF(LOWER(balance_sheet_annual[Company Name]) = LOWER(balance_sheet_annual_filter!$B$2), ROW(balance_sheet_annual[Company Name]) - ROW(INDEX(balance_sheet_annual[Company Name], 1, 1)) + 1), ROW(15:15)), COLUMN(D:D)), "")</f>
        <v>0</v>
      </c>
      <c r="F17" s="11">
        <f t="array" ref="F17">IFERROR(INDEX(balance_sheet_annual[#All], SMALL(IF(LOWER(balance_sheet_annual[Company Name]) = LOWER(balance_sheet_annual_filter!$B$2), ROW(balance_sheet_annual[Company Name]) - ROW(INDEX(balance_sheet_annual[Company Name], 1, 1)) + 1), ROW(15:15)), COLUMN(E:E)), "")</f>
        <v>0</v>
      </c>
      <c r="G17" s="11">
        <f t="array" ref="G17">IFERROR(INDEX(balance_sheet_annual[#All], SMALL(IF(LOWER(balance_sheet_annual[Company Name]) = LOWER(balance_sheet_annual_filter!$B$2), ROW(balance_sheet_annual[Company Name]) - ROW(INDEX(balance_sheet_annual[Company Name], 1, 1)) + 1), ROW(15:15)), COLUMN(F:F)), "")</f>
        <v>0</v>
      </c>
    </row>
    <row r="18" spans="2:7" ht="15.5" x14ac:dyDescent="0.35">
      <c r="B18" s="2"/>
      <c r="C18" s="12" t="str">
        <f t="array" ref="C18">IFERROR(INDEX(balance_sheet_annual[#All], SMALL(IF(LOWER(balance_sheet_annual[Company Name]) = LOWER(balance_sheet_annual_filter!$B$2), ROW(balance_sheet_annual[Company Name]) - ROW(INDEX(balance_sheet_annual[Company Name], 1, 1)) + 1), ROW(16:16)), COLUMN(B:B)), "")</f>
        <v>5. Phải thu về cho vay ngắn hạn</v>
      </c>
      <c r="D18" s="47">
        <f t="array" ref="D18">IFERROR(INDEX(balance_sheet_annual[#All], SMALL(IF(LOWER(balance_sheet_annual[Company Name]) = LOWER(balance_sheet_annual_filter!$B$2), ROW(balance_sheet_annual[Company Name]) - ROW(INDEX(balance_sheet_annual[Company Name], 1, 1)) + 1), ROW(16:16)), COLUMN(C:C)), "")</f>
        <v>0</v>
      </c>
      <c r="E18" s="11">
        <f t="array" ref="E18">IFERROR(INDEX(balance_sheet_annual[#All], SMALL(IF(LOWER(balance_sheet_annual[Company Name]) = LOWER(balance_sheet_annual_filter!$B$2), ROW(balance_sheet_annual[Company Name]) - ROW(INDEX(balance_sheet_annual[Company Name], 1, 1)) + 1), ROW(16:16)), COLUMN(D:D)), "")</f>
        <v>0</v>
      </c>
      <c r="F18" s="11">
        <f t="array" ref="F18">IFERROR(INDEX(balance_sheet_annual[#All], SMALL(IF(LOWER(balance_sheet_annual[Company Name]) = LOWER(balance_sheet_annual_filter!$B$2), ROW(balance_sheet_annual[Company Name]) - ROW(INDEX(balance_sheet_annual[Company Name], 1, 1)) + 1), ROW(16:16)), COLUMN(E:E)), "")</f>
        <v>0</v>
      </c>
      <c r="G18" s="11">
        <f t="array" ref="G18">IFERROR(INDEX(balance_sheet_annual[#All], SMALL(IF(LOWER(balance_sheet_annual[Company Name]) = LOWER(balance_sheet_annual_filter!$B$2), ROW(balance_sheet_annual[Company Name]) - ROW(INDEX(balance_sheet_annual[Company Name], 1, 1)) + 1), ROW(16:16)), COLUMN(F:F)), "")</f>
        <v>0</v>
      </c>
    </row>
    <row r="19" spans="2:7" ht="15.5" x14ac:dyDescent="0.35">
      <c r="B19" s="2"/>
      <c r="C19" s="12" t="str">
        <f t="array" ref="C19">IFERROR(INDEX(balance_sheet_annual[#All], SMALL(IF(LOWER(balance_sheet_annual[Company Name]) = LOWER(balance_sheet_annual_filter!$B$2), ROW(balance_sheet_annual[Company Name]) - ROW(INDEX(balance_sheet_annual[Company Name], 1, 1)) + 1), ROW(17:17)), COLUMN(B:B)), "")</f>
        <v>6. Phải thu ngắn hạn khác</v>
      </c>
      <c r="D19" s="47">
        <f t="array" ref="D19">IFERROR(INDEX(balance_sheet_annual[#All], SMALL(IF(LOWER(balance_sheet_annual[Company Name]) = LOWER(balance_sheet_annual_filter!$B$2), ROW(balance_sheet_annual[Company Name]) - ROW(INDEX(balance_sheet_annual[Company Name], 1, 1)) + 1), ROW(17:17)), COLUMN(C:C)), "")</f>
        <v>2564380429</v>
      </c>
      <c r="E19" s="11">
        <f t="array" ref="E19">IFERROR(INDEX(balance_sheet_annual[#All], SMALL(IF(LOWER(balance_sheet_annual[Company Name]) = LOWER(balance_sheet_annual_filter!$B$2), ROW(balance_sheet_annual[Company Name]) - ROW(INDEX(balance_sheet_annual[Company Name], 1, 1)) + 1), ROW(17:17)), COLUMN(D:D)), "")</f>
        <v>3960348922</v>
      </c>
      <c r="F19" s="11">
        <f t="array" ref="F19">IFERROR(INDEX(balance_sheet_annual[#All], SMALL(IF(LOWER(balance_sheet_annual[Company Name]) = LOWER(balance_sheet_annual_filter!$B$2), ROW(balance_sheet_annual[Company Name]) - ROW(INDEX(balance_sheet_annual[Company Name], 1, 1)) + 1), ROW(17:17)), COLUMN(E:E)), "")</f>
        <v>5043451901</v>
      </c>
      <c r="G19" s="11">
        <f t="array" ref="G19">IFERROR(INDEX(balance_sheet_annual[#All], SMALL(IF(LOWER(balance_sheet_annual[Company Name]) = LOWER(balance_sheet_annual_filter!$B$2), ROW(balance_sheet_annual[Company Name]) - ROW(INDEX(balance_sheet_annual[Company Name], 1, 1)) + 1), ROW(17:17)), COLUMN(F:F)), "")</f>
        <v>96945783214</v>
      </c>
    </row>
    <row r="20" spans="2:7" ht="15.5" x14ac:dyDescent="0.35">
      <c r="B20" s="2"/>
      <c r="C20" s="12" t="str">
        <f t="array" ref="C20">IFERROR(INDEX(balance_sheet_annual[#All], SMALL(IF(LOWER(balance_sheet_annual[Company Name]) = LOWER(balance_sheet_annual_filter!$B$2), ROW(balance_sheet_annual[Company Name]) - ROW(INDEX(balance_sheet_annual[Company Name], 1, 1)) + 1), ROW(18:18)), COLUMN(B:B)), "")</f>
        <v>7. Dự phòng phải thu ngắn hạn khó đòi</v>
      </c>
      <c r="D20" s="47">
        <f t="array" ref="D20">IFERROR(INDEX(balance_sheet_annual[#All], SMALL(IF(LOWER(balance_sheet_annual[Company Name]) = LOWER(balance_sheet_annual_filter!$B$2), ROW(balance_sheet_annual[Company Name]) - ROW(INDEX(balance_sheet_annual[Company Name], 1, 1)) + 1), ROW(18:18)), COLUMN(C:C)), "")</f>
        <v>0</v>
      </c>
      <c r="E20" s="11">
        <f t="array" ref="E20">IFERROR(INDEX(balance_sheet_annual[#All], SMALL(IF(LOWER(balance_sheet_annual[Company Name]) = LOWER(balance_sheet_annual_filter!$B$2), ROW(balance_sheet_annual[Company Name]) - ROW(INDEX(balance_sheet_annual[Company Name], 1, 1)) + 1), ROW(18:18)), COLUMN(D:D)), "")</f>
        <v>0</v>
      </c>
      <c r="F20" s="11">
        <f t="array" ref="F20">IFERROR(INDEX(balance_sheet_annual[#All], SMALL(IF(LOWER(balance_sheet_annual[Company Name]) = LOWER(balance_sheet_annual_filter!$B$2), ROW(balance_sheet_annual[Company Name]) - ROW(INDEX(balance_sheet_annual[Company Name], 1, 1)) + 1), ROW(18:18)), COLUMN(E:E)), "")</f>
        <v>0</v>
      </c>
      <c r="G20" s="11">
        <f t="array" ref="G20">IFERROR(INDEX(balance_sheet_annual[#All], SMALL(IF(LOWER(balance_sheet_annual[Company Name]) = LOWER(balance_sheet_annual_filter!$B$2), ROW(balance_sheet_annual[Company Name]) - ROW(INDEX(balance_sheet_annual[Company Name], 1, 1)) + 1), ROW(18:18)), COLUMN(F:F)), "")</f>
        <v>0</v>
      </c>
    </row>
    <row r="21" spans="2:7" ht="15.5" x14ac:dyDescent="0.35">
      <c r="B21" s="2"/>
      <c r="C21" s="12" t="str">
        <f t="array" ref="C21">IFERROR(INDEX(balance_sheet_annual[#All], SMALL(IF(LOWER(balance_sheet_annual[Company Name]) = LOWER(balance_sheet_annual_filter!$B$2), ROW(balance_sheet_annual[Company Name]) - ROW(INDEX(balance_sheet_annual[Company Name], 1, 1)) + 1), ROW(19:19)), COLUMN(B:B)), "")</f>
        <v>8. Tài sản Thiếu chờ xử lý</v>
      </c>
      <c r="D21" s="47">
        <f t="array" ref="D21">IFERROR(INDEX(balance_sheet_annual[#All], SMALL(IF(LOWER(balance_sheet_annual[Company Name]) = LOWER(balance_sheet_annual_filter!$B$2), ROW(balance_sheet_annual[Company Name]) - ROW(INDEX(balance_sheet_annual[Company Name], 1, 1)) + 1), ROW(19:19)), COLUMN(C:C)), "")</f>
        <v>0</v>
      </c>
      <c r="E21" s="11">
        <f t="array" ref="E21">IFERROR(INDEX(balance_sheet_annual[#All], SMALL(IF(LOWER(balance_sheet_annual[Company Name]) = LOWER(balance_sheet_annual_filter!$B$2), ROW(balance_sheet_annual[Company Name]) - ROW(INDEX(balance_sheet_annual[Company Name], 1, 1)) + 1), ROW(19:19)), COLUMN(D:D)), "")</f>
        <v>0</v>
      </c>
      <c r="F21" s="11">
        <f t="array" ref="F21">IFERROR(INDEX(balance_sheet_annual[#All], SMALL(IF(LOWER(balance_sheet_annual[Company Name]) = LOWER(balance_sheet_annual_filter!$B$2), ROW(balance_sheet_annual[Company Name]) - ROW(INDEX(balance_sheet_annual[Company Name], 1, 1)) + 1), ROW(19:19)), COLUMN(E:E)), "")</f>
        <v>0</v>
      </c>
      <c r="G21" s="11">
        <f t="array" ref="G21">IFERROR(INDEX(balance_sheet_annual[#All], SMALL(IF(LOWER(balance_sheet_annual[Company Name]) = LOWER(balance_sheet_annual_filter!$B$2), ROW(balance_sheet_annual[Company Name]) - ROW(INDEX(balance_sheet_annual[Company Name], 1, 1)) + 1), ROW(19:19)), COLUMN(F:F)), "")</f>
        <v>0</v>
      </c>
    </row>
    <row r="22" spans="2:7" ht="15.5" x14ac:dyDescent="0.35">
      <c r="B22" s="2"/>
      <c r="C22" s="12" t="str">
        <f t="array" ref="C22">IFERROR(INDEX(balance_sheet_annual[#All], SMALL(IF(LOWER(balance_sheet_annual[Company Name]) = LOWER(balance_sheet_annual_filter!$B$2), ROW(balance_sheet_annual[Company Name]) - ROW(INDEX(balance_sheet_annual[Company Name], 1, 1)) + 1), ROW(20:20)), COLUMN(B:B)), "")</f>
        <v>IV. Hàng tồn kho</v>
      </c>
      <c r="D22" s="47">
        <f t="array" ref="D22">IFERROR(INDEX(balance_sheet_annual[#All], SMALL(IF(LOWER(balance_sheet_annual[Company Name]) = LOWER(balance_sheet_annual_filter!$B$2), ROW(balance_sheet_annual[Company Name]) - ROW(INDEX(balance_sheet_annual[Company Name], 1, 1)) + 1), ROW(20:20)), COLUMN(C:C)), "")</f>
        <v>0</v>
      </c>
      <c r="E22" s="11">
        <f t="array" ref="E22">IFERROR(INDEX(balance_sheet_annual[#All], SMALL(IF(LOWER(balance_sheet_annual[Company Name]) = LOWER(balance_sheet_annual_filter!$B$2), ROW(balance_sheet_annual[Company Name]) - ROW(INDEX(balance_sheet_annual[Company Name], 1, 1)) + 1), ROW(20:20)), COLUMN(D:D)), "")</f>
        <v>0</v>
      </c>
      <c r="F22" s="11">
        <f t="array" ref="F22">IFERROR(INDEX(balance_sheet_annual[#All], SMALL(IF(LOWER(balance_sheet_annual[Company Name]) = LOWER(balance_sheet_annual_filter!$B$2), ROW(balance_sheet_annual[Company Name]) - ROW(INDEX(balance_sheet_annual[Company Name], 1, 1)) + 1), ROW(20:20)), COLUMN(E:E)), "")</f>
        <v>0</v>
      </c>
      <c r="G22" s="11">
        <f t="array" ref="G22">IFERROR(INDEX(balance_sheet_annual[#All], SMALL(IF(LOWER(balance_sheet_annual[Company Name]) = LOWER(balance_sheet_annual_filter!$B$2), ROW(balance_sheet_annual[Company Name]) - ROW(INDEX(balance_sheet_annual[Company Name], 1, 1)) + 1), ROW(20:20)), COLUMN(F:F)), "")</f>
        <v>0</v>
      </c>
    </row>
    <row r="23" spans="2:7" ht="15.5" x14ac:dyDescent="0.35">
      <c r="B23" s="2"/>
      <c r="C23" s="12" t="str">
        <f t="array" ref="C23">IFERROR(INDEX(balance_sheet_annual[#All], SMALL(IF(LOWER(balance_sheet_annual[Company Name]) = LOWER(balance_sheet_annual_filter!$B$2), ROW(balance_sheet_annual[Company Name]) - ROW(INDEX(balance_sheet_annual[Company Name], 1, 1)) + 1), ROW(21:21)), COLUMN(B:B)), "")</f>
        <v>1. Hàng tồn kho</v>
      </c>
      <c r="D23" s="47">
        <f t="array" ref="D23">IFERROR(INDEX(balance_sheet_annual[#All], SMALL(IF(LOWER(balance_sheet_annual[Company Name]) = LOWER(balance_sheet_annual_filter!$B$2), ROW(balance_sheet_annual[Company Name]) - ROW(INDEX(balance_sheet_annual[Company Name], 1, 1)) + 1), ROW(21:21)), COLUMN(C:C)), "")</f>
        <v>0</v>
      </c>
      <c r="E23" s="11">
        <f t="array" ref="E23">IFERROR(INDEX(balance_sheet_annual[#All], SMALL(IF(LOWER(balance_sheet_annual[Company Name]) = LOWER(balance_sheet_annual_filter!$B$2), ROW(balance_sheet_annual[Company Name]) - ROW(INDEX(balance_sheet_annual[Company Name], 1, 1)) + 1), ROW(21:21)), COLUMN(D:D)), "")</f>
        <v>0</v>
      </c>
      <c r="F23" s="11">
        <f t="array" ref="F23">IFERROR(INDEX(balance_sheet_annual[#All], SMALL(IF(LOWER(balance_sheet_annual[Company Name]) = LOWER(balance_sheet_annual_filter!$B$2), ROW(balance_sheet_annual[Company Name]) - ROW(INDEX(balance_sheet_annual[Company Name], 1, 1)) + 1), ROW(21:21)), COLUMN(E:E)), "")</f>
        <v>0</v>
      </c>
      <c r="G23" s="11">
        <f t="array" ref="G23">IFERROR(INDEX(balance_sheet_annual[#All], SMALL(IF(LOWER(balance_sheet_annual[Company Name]) = LOWER(balance_sheet_annual_filter!$B$2), ROW(balance_sheet_annual[Company Name]) - ROW(INDEX(balance_sheet_annual[Company Name], 1, 1)) + 1), ROW(21:21)), COLUMN(F:F)), "")</f>
        <v>0</v>
      </c>
    </row>
    <row r="24" spans="2:7" ht="15.5" x14ac:dyDescent="0.35">
      <c r="B24" s="2"/>
      <c r="C24" s="12" t="str">
        <f t="array" ref="C24">IFERROR(INDEX(balance_sheet_annual[#All], SMALL(IF(LOWER(balance_sheet_annual[Company Name]) = LOWER(balance_sheet_annual_filter!$B$2), ROW(balance_sheet_annual[Company Name]) - ROW(INDEX(balance_sheet_annual[Company Name], 1, 1)) + 1), ROW(22:22)), COLUMN(B:B)), "")</f>
        <v>2. Dự phòng giảm giá hàng tồn kho</v>
      </c>
      <c r="D24" s="47">
        <f t="array" ref="D24">IFERROR(INDEX(balance_sheet_annual[#All], SMALL(IF(LOWER(balance_sheet_annual[Company Name]) = LOWER(balance_sheet_annual_filter!$B$2), ROW(balance_sheet_annual[Company Name]) - ROW(INDEX(balance_sheet_annual[Company Name], 1, 1)) + 1), ROW(22:22)), COLUMN(C:C)), "")</f>
        <v>0</v>
      </c>
      <c r="E24" s="11">
        <f t="array" ref="E24">IFERROR(INDEX(balance_sheet_annual[#All], SMALL(IF(LOWER(balance_sheet_annual[Company Name]) = LOWER(balance_sheet_annual_filter!$B$2), ROW(balance_sheet_annual[Company Name]) - ROW(INDEX(balance_sheet_annual[Company Name], 1, 1)) + 1), ROW(22:22)), COLUMN(D:D)), "")</f>
        <v>0</v>
      </c>
      <c r="F24" s="11">
        <f t="array" ref="F24">IFERROR(INDEX(balance_sheet_annual[#All], SMALL(IF(LOWER(balance_sheet_annual[Company Name]) = LOWER(balance_sheet_annual_filter!$B$2), ROW(balance_sheet_annual[Company Name]) - ROW(INDEX(balance_sheet_annual[Company Name], 1, 1)) + 1), ROW(22:22)), COLUMN(E:E)), "")</f>
        <v>0</v>
      </c>
      <c r="G24" s="11">
        <f t="array" ref="G24">IFERROR(INDEX(balance_sheet_annual[#All], SMALL(IF(LOWER(balance_sheet_annual[Company Name]) = LOWER(balance_sheet_annual_filter!$B$2), ROW(balance_sheet_annual[Company Name]) - ROW(INDEX(balance_sheet_annual[Company Name], 1, 1)) + 1), ROW(22:22)), COLUMN(F:F)), "")</f>
        <v>0</v>
      </c>
    </row>
    <row r="25" spans="2:7" ht="15.5" x14ac:dyDescent="0.35">
      <c r="B25" s="2"/>
      <c r="C25" s="12" t="str">
        <f t="array" ref="C25">IFERROR(INDEX(balance_sheet_annual[#All], SMALL(IF(LOWER(balance_sheet_annual[Company Name]) = LOWER(balance_sheet_annual_filter!$B$2), ROW(balance_sheet_annual[Company Name]) - ROW(INDEX(balance_sheet_annual[Company Name], 1, 1)) + 1), ROW(23:23)), COLUMN(B:B)), "")</f>
        <v>V.Tài sản ngắn hạn khác</v>
      </c>
      <c r="D25" s="47">
        <f t="array" ref="D25">IFERROR(INDEX(balance_sheet_annual[#All], SMALL(IF(LOWER(balance_sheet_annual[Company Name]) = LOWER(balance_sheet_annual_filter!$B$2), ROW(balance_sheet_annual[Company Name]) - ROW(INDEX(balance_sheet_annual[Company Name], 1, 1)) + 1), ROW(23:23)), COLUMN(C:C)), "")</f>
        <v>4505159752</v>
      </c>
      <c r="E25" s="11">
        <f t="array" ref="E25">IFERROR(INDEX(balance_sheet_annual[#All], SMALL(IF(LOWER(balance_sheet_annual[Company Name]) = LOWER(balance_sheet_annual_filter!$B$2), ROW(balance_sheet_annual[Company Name]) - ROW(INDEX(balance_sheet_annual[Company Name], 1, 1)) + 1), ROW(23:23)), COLUMN(D:D)), "")</f>
        <v>18265441367</v>
      </c>
      <c r="F25" s="11">
        <f t="array" ref="F25">IFERROR(INDEX(balance_sheet_annual[#All], SMALL(IF(LOWER(balance_sheet_annual[Company Name]) = LOWER(balance_sheet_annual_filter!$B$2), ROW(balance_sheet_annual[Company Name]) - ROW(INDEX(balance_sheet_annual[Company Name], 1, 1)) + 1), ROW(23:23)), COLUMN(E:E)), "")</f>
        <v>1668391837</v>
      </c>
      <c r="G25" s="11">
        <f t="array" ref="G25">IFERROR(INDEX(balance_sheet_annual[#All], SMALL(IF(LOWER(balance_sheet_annual[Company Name]) = LOWER(balance_sheet_annual_filter!$B$2), ROW(balance_sheet_annual[Company Name]) - ROW(INDEX(balance_sheet_annual[Company Name], 1, 1)) + 1), ROW(23:23)), COLUMN(F:F)), "")</f>
        <v>305710001</v>
      </c>
    </row>
    <row r="26" spans="2:7" ht="15.5" x14ac:dyDescent="0.35">
      <c r="B26" s="2"/>
      <c r="C26" s="12" t="str">
        <f t="array" ref="C26">IFERROR(INDEX(balance_sheet_annual[#All], SMALL(IF(LOWER(balance_sheet_annual[Company Name]) = LOWER(balance_sheet_annual_filter!$B$2), ROW(balance_sheet_annual[Company Name]) - ROW(INDEX(balance_sheet_annual[Company Name], 1, 1)) + 1), ROW(24:24)), COLUMN(B:B)), "")</f>
        <v>1. Chi phí trả trước ngắn hạn</v>
      </c>
      <c r="D26" s="47">
        <f t="array" ref="D26">IFERROR(INDEX(balance_sheet_annual[#All], SMALL(IF(LOWER(balance_sheet_annual[Company Name]) = LOWER(balance_sheet_annual_filter!$B$2), ROW(balance_sheet_annual[Company Name]) - ROW(INDEX(balance_sheet_annual[Company Name], 1, 1)) + 1), ROW(24:24)), COLUMN(C:C)), "")</f>
        <v>201685562</v>
      </c>
      <c r="E26" s="11">
        <f t="array" ref="E26">IFERROR(INDEX(balance_sheet_annual[#All], SMALL(IF(LOWER(balance_sheet_annual[Company Name]) = LOWER(balance_sheet_annual_filter!$B$2), ROW(balance_sheet_annual[Company Name]) - ROW(INDEX(balance_sheet_annual[Company Name], 1, 1)) + 1), ROW(24:24)), COLUMN(D:D)), "")</f>
        <v>12610108782</v>
      </c>
      <c r="F26" s="11">
        <f t="array" ref="F26">IFERROR(INDEX(balance_sheet_annual[#All], SMALL(IF(LOWER(balance_sheet_annual[Company Name]) = LOWER(balance_sheet_annual_filter!$B$2), ROW(balance_sheet_annual[Company Name]) - ROW(INDEX(balance_sheet_annual[Company Name], 1, 1)) + 1), ROW(24:24)), COLUMN(E:E)), "")</f>
        <v>1643426690</v>
      </c>
      <c r="G26" s="11">
        <f t="array" ref="G26">IFERROR(INDEX(balance_sheet_annual[#All], SMALL(IF(LOWER(balance_sheet_annual[Company Name]) = LOWER(balance_sheet_annual_filter!$B$2), ROW(balance_sheet_annual[Company Name]) - ROW(INDEX(balance_sheet_annual[Company Name], 1, 1)) + 1), ROW(24:24)), COLUMN(F:F)), "")</f>
        <v>305710001</v>
      </c>
    </row>
    <row r="27" spans="2:7" ht="15.5" x14ac:dyDescent="0.35">
      <c r="B27" s="2"/>
      <c r="C27" s="12" t="str">
        <f t="array" ref="C27">IFERROR(INDEX(balance_sheet_annual[#All], SMALL(IF(LOWER(balance_sheet_annual[Company Name]) = LOWER(balance_sheet_annual_filter!$B$2), ROW(balance_sheet_annual[Company Name]) - ROW(INDEX(balance_sheet_annual[Company Name], 1, 1)) + 1), ROW(25:25)), COLUMN(B:B)), "")</f>
        <v>2. Thuế GTGT được khấu trừ</v>
      </c>
      <c r="D27" s="47">
        <f t="array" ref="D27">IFERROR(INDEX(balance_sheet_annual[#All], SMALL(IF(LOWER(balance_sheet_annual[Company Name]) = LOWER(balance_sheet_annual_filter!$B$2), ROW(balance_sheet_annual[Company Name]) - ROW(INDEX(balance_sheet_annual[Company Name], 1, 1)) + 1), ROW(25:25)), COLUMN(C:C)), "")</f>
        <v>4303474190</v>
      </c>
      <c r="E27" s="11">
        <f t="array" ref="E27">IFERROR(INDEX(balance_sheet_annual[#All], SMALL(IF(LOWER(balance_sheet_annual[Company Name]) = LOWER(balance_sheet_annual_filter!$B$2), ROW(balance_sheet_annual[Company Name]) - ROW(INDEX(balance_sheet_annual[Company Name], 1, 1)) + 1), ROW(25:25)), COLUMN(D:D)), "")</f>
        <v>5655332585</v>
      </c>
      <c r="F27" s="11">
        <f t="array" ref="F27">IFERROR(INDEX(balance_sheet_annual[#All], SMALL(IF(LOWER(balance_sheet_annual[Company Name]) = LOWER(balance_sheet_annual_filter!$B$2), ROW(balance_sheet_annual[Company Name]) - ROW(INDEX(balance_sheet_annual[Company Name], 1, 1)) + 1), ROW(25:25)), COLUMN(E:E)), "")</f>
        <v>24965147</v>
      </c>
      <c r="G27" s="11">
        <f t="array" ref="G27">IFERROR(INDEX(balance_sheet_annual[#All], SMALL(IF(LOWER(balance_sheet_annual[Company Name]) = LOWER(balance_sheet_annual_filter!$B$2), ROW(balance_sheet_annual[Company Name]) - ROW(INDEX(balance_sheet_annual[Company Name], 1, 1)) + 1), ROW(25:25)), COLUMN(F:F)), "")</f>
        <v>0</v>
      </c>
    </row>
    <row r="28" spans="2:7" ht="15.5" x14ac:dyDescent="0.35">
      <c r="B28" s="2"/>
      <c r="C28" s="12" t="str">
        <f t="array" ref="C28">IFERROR(INDEX(balance_sheet_annual[#All], SMALL(IF(LOWER(balance_sheet_annual[Company Name]) = LOWER(balance_sheet_annual_filter!$B$2), ROW(balance_sheet_annual[Company Name]) - ROW(INDEX(balance_sheet_annual[Company Name], 1, 1)) + 1), ROW(26:26)), COLUMN(B:B)), "")</f>
        <v>3. Thuế và các khoản khác phải thu Nhà nước</v>
      </c>
      <c r="D28" s="47">
        <f t="array" ref="D28">IFERROR(INDEX(balance_sheet_annual[#All], SMALL(IF(LOWER(balance_sheet_annual[Company Name]) = LOWER(balance_sheet_annual_filter!$B$2), ROW(balance_sheet_annual[Company Name]) - ROW(INDEX(balance_sheet_annual[Company Name], 1, 1)) + 1), ROW(26:26)), COLUMN(C:C)), "")</f>
        <v>0</v>
      </c>
      <c r="E28" s="11">
        <f t="array" ref="E28">IFERROR(INDEX(balance_sheet_annual[#All], SMALL(IF(LOWER(balance_sheet_annual[Company Name]) = LOWER(balance_sheet_annual_filter!$B$2), ROW(balance_sheet_annual[Company Name]) - ROW(INDEX(balance_sheet_annual[Company Name], 1, 1)) + 1), ROW(26:26)), COLUMN(D:D)), "")</f>
        <v>0</v>
      </c>
      <c r="F28" s="11">
        <f t="array" ref="F28">IFERROR(INDEX(balance_sheet_annual[#All], SMALL(IF(LOWER(balance_sheet_annual[Company Name]) = LOWER(balance_sheet_annual_filter!$B$2), ROW(balance_sheet_annual[Company Name]) - ROW(INDEX(balance_sheet_annual[Company Name], 1, 1)) + 1), ROW(26:26)), COLUMN(E:E)), "")</f>
        <v>0</v>
      </c>
      <c r="G28" s="11">
        <f t="array" ref="G28">IFERROR(INDEX(balance_sheet_annual[#All], SMALL(IF(LOWER(balance_sheet_annual[Company Name]) = LOWER(balance_sheet_annual_filter!$B$2), ROW(balance_sheet_annual[Company Name]) - ROW(INDEX(balance_sheet_annual[Company Name], 1, 1)) + 1), ROW(26:26)), COLUMN(F:F)), "")</f>
        <v>0</v>
      </c>
    </row>
    <row r="29" spans="2:7" ht="15.5" x14ac:dyDescent="0.35">
      <c r="B29" s="2"/>
      <c r="C29" s="12" t="str">
        <f t="array" ref="C29">IFERROR(INDEX(balance_sheet_annual[#All], SMALL(IF(LOWER(balance_sheet_annual[Company Name]) = LOWER(balance_sheet_annual_filter!$B$2), ROW(balance_sheet_annual[Company Name]) - ROW(INDEX(balance_sheet_annual[Company Name], 1, 1)) + 1), ROW(27:27)), COLUMN(B:B)), "")</f>
        <v>4. Giao dịch mua bán lại trái phiếu Chính phủ</v>
      </c>
      <c r="D29" s="47">
        <f t="array" ref="D29">IFERROR(INDEX(balance_sheet_annual[#All], SMALL(IF(LOWER(balance_sheet_annual[Company Name]) = LOWER(balance_sheet_annual_filter!$B$2), ROW(balance_sheet_annual[Company Name]) - ROW(INDEX(balance_sheet_annual[Company Name], 1, 1)) + 1), ROW(27:27)), COLUMN(C:C)), "")</f>
        <v>0</v>
      </c>
      <c r="E29" s="11">
        <f t="array" ref="E29">IFERROR(INDEX(balance_sheet_annual[#All], SMALL(IF(LOWER(balance_sheet_annual[Company Name]) = LOWER(balance_sheet_annual_filter!$B$2), ROW(balance_sheet_annual[Company Name]) - ROW(INDEX(balance_sheet_annual[Company Name], 1, 1)) + 1), ROW(27:27)), COLUMN(D:D)), "")</f>
        <v>0</v>
      </c>
      <c r="F29" s="11">
        <f t="array" ref="F29">IFERROR(INDEX(balance_sheet_annual[#All], SMALL(IF(LOWER(balance_sheet_annual[Company Name]) = LOWER(balance_sheet_annual_filter!$B$2), ROW(balance_sheet_annual[Company Name]) - ROW(INDEX(balance_sheet_annual[Company Name], 1, 1)) + 1), ROW(27:27)), COLUMN(E:E)), "")</f>
        <v>0</v>
      </c>
      <c r="G29" s="11">
        <f t="array" ref="G29">IFERROR(INDEX(balance_sheet_annual[#All], SMALL(IF(LOWER(balance_sheet_annual[Company Name]) = LOWER(balance_sheet_annual_filter!$B$2), ROW(balance_sheet_annual[Company Name]) - ROW(INDEX(balance_sheet_annual[Company Name], 1, 1)) + 1), ROW(27:27)), COLUMN(F:F)), "")</f>
        <v>0</v>
      </c>
    </row>
    <row r="30" spans="2:7" ht="15.5" x14ac:dyDescent="0.35">
      <c r="B30" s="2"/>
      <c r="C30" s="12" t="str">
        <f t="array" ref="C30">IFERROR(INDEX(balance_sheet_annual[#All], SMALL(IF(LOWER(balance_sheet_annual[Company Name]) = LOWER(balance_sheet_annual_filter!$B$2), ROW(balance_sheet_annual[Company Name]) - ROW(INDEX(balance_sheet_annual[Company Name], 1, 1)) + 1), ROW(28:28)), COLUMN(B:B)), "")</f>
        <v>5. Tài sản ngắn hạn khác</v>
      </c>
      <c r="D30" s="47">
        <f t="array" ref="D30">IFERROR(INDEX(balance_sheet_annual[#All], SMALL(IF(LOWER(balance_sheet_annual[Company Name]) = LOWER(balance_sheet_annual_filter!$B$2), ROW(balance_sheet_annual[Company Name]) - ROW(INDEX(balance_sheet_annual[Company Name], 1, 1)) + 1), ROW(28:28)), COLUMN(C:C)), "")</f>
        <v>0</v>
      </c>
      <c r="E30" s="11">
        <f t="array" ref="E30">IFERROR(INDEX(balance_sheet_annual[#All], SMALL(IF(LOWER(balance_sheet_annual[Company Name]) = LOWER(balance_sheet_annual_filter!$B$2), ROW(balance_sheet_annual[Company Name]) - ROW(INDEX(balance_sheet_annual[Company Name], 1, 1)) + 1), ROW(28:28)), COLUMN(D:D)), "")</f>
        <v>0</v>
      </c>
      <c r="F30" s="11">
        <f t="array" ref="F30">IFERROR(INDEX(balance_sheet_annual[#All], SMALL(IF(LOWER(balance_sheet_annual[Company Name]) = LOWER(balance_sheet_annual_filter!$B$2), ROW(balance_sheet_annual[Company Name]) - ROW(INDEX(balance_sheet_annual[Company Name], 1, 1)) + 1), ROW(28:28)), COLUMN(E:E)), "")</f>
        <v>0</v>
      </c>
      <c r="G30" s="11">
        <f t="array" ref="G30">IFERROR(INDEX(balance_sheet_annual[#All], SMALL(IF(LOWER(balance_sheet_annual[Company Name]) = LOWER(balance_sheet_annual_filter!$B$2), ROW(balance_sheet_annual[Company Name]) - ROW(INDEX(balance_sheet_annual[Company Name], 1, 1)) + 1), ROW(28:28)), COLUMN(F:F)), "")</f>
        <v>0</v>
      </c>
    </row>
    <row r="31" spans="2:7" ht="15.5" x14ac:dyDescent="0.35">
      <c r="B31" s="2"/>
      <c r="C31" s="12" t="str">
        <f t="array" ref="C31">IFERROR(INDEX(balance_sheet_annual[#All], SMALL(IF(LOWER(balance_sheet_annual[Company Name]) = LOWER(balance_sheet_annual_filter!$B$2), ROW(balance_sheet_annual[Company Name]) - ROW(INDEX(balance_sheet_annual[Company Name], 1, 1)) + 1), ROW(29:29)), COLUMN(B:B)), "")</f>
        <v>B. TÀI SẢN DÀI HẠN</v>
      </c>
      <c r="D31" s="47">
        <f>D32+D40+D50</f>
        <v>3657429177860</v>
      </c>
      <c r="E31" s="11">
        <f t="shared" ref="E31:G31" si="1">E32+E40+E50+E53+E56+E62</f>
        <v>4593922207859</v>
      </c>
      <c r="F31" s="11">
        <f t="shared" si="1"/>
        <v>4393559156031</v>
      </c>
      <c r="G31" s="11">
        <f t="shared" si="1"/>
        <v>4179988266151</v>
      </c>
    </row>
    <row r="32" spans="2:7" ht="15.5" x14ac:dyDescent="0.35">
      <c r="B32" s="2"/>
      <c r="C32" s="12" t="str">
        <f t="array" ref="C32">IFERROR(INDEX(balance_sheet_annual[#All], SMALL(IF(LOWER(balance_sheet_annual[Company Name]) = LOWER(balance_sheet_annual_filter!$B$2), ROW(balance_sheet_annual[Company Name]) - ROW(INDEX(balance_sheet_annual[Company Name], 1, 1)) + 1), ROW(30:30)), COLUMN(B:B)), "")</f>
        <v>I. Các khoản phải thu dài hạn</v>
      </c>
      <c r="D32" s="47">
        <f t="array" ref="D32">IFERROR(INDEX(balance_sheet_annual[#All], SMALL(IF(LOWER(balance_sheet_annual[Company Name]) = LOWER(balance_sheet_annual_filter!$B$2), ROW(balance_sheet_annual[Company Name]) - ROW(INDEX(balance_sheet_annual[Company Name], 1, 1)) + 1), ROW(30:30)), COLUMN(C:C)), "")</f>
        <v>0</v>
      </c>
      <c r="E32" s="11">
        <f t="array" ref="E32">IFERROR(INDEX(balance_sheet_annual[#All], SMALL(IF(LOWER(balance_sheet_annual[Company Name]) = LOWER(balance_sheet_annual_filter!$B$2), ROW(balance_sheet_annual[Company Name]) - ROW(INDEX(balance_sheet_annual[Company Name], 1, 1)) + 1), ROW(30:30)), COLUMN(D:D)), "")</f>
        <v>0</v>
      </c>
      <c r="F32" s="11">
        <f t="array" ref="F32">IFERROR(INDEX(balance_sheet_annual[#All], SMALL(IF(LOWER(balance_sheet_annual[Company Name]) = LOWER(balance_sheet_annual_filter!$B$2), ROW(balance_sheet_annual[Company Name]) - ROW(INDEX(balance_sheet_annual[Company Name], 1, 1)) + 1), ROW(30:30)), COLUMN(E:E)), "")</f>
        <v>0</v>
      </c>
      <c r="G32" s="11">
        <f t="array" ref="G32">IFERROR(INDEX(balance_sheet_annual[#All], SMALL(IF(LOWER(balance_sheet_annual[Company Name]) = LOWER(balance_sheet_annual_filter!$B$2), ROW(balance_sheet_annual[Company Name]) - ROW(INDEX(balance_sheet_annual[Company Name], 1, 1)) + 1), ROW(30:30)), COLUMN(F:F)), "")</f>
        <v>0</v>
      </c>
    </row>
    <row r="33" spans="2:7" ht="15.5" x14ac:dyDescent="0.35">
      <c r="B33" s="2"/>
      <c r="C33" s="12" t="str">
        <f t="array" ref="C33">IFERROR(INDEX(balance_sheet_annual[#All], SMALL(IF(LOWER(balance_sheet_annual[Company Name]) = LOWER(balance_sheet_annual_filter!$B$2), ROW(balance_sheet_annual[Company Name]) - ROW(INDEX(balance_sheet_annual[Company Name], 1, 1)) + 1), ROW(31:31)), COLUMN(B:B)), "")</f>
        <v>1. Phải thu dài hạn của khách hàng</v>
      </c>
      <c r="D33" s="47">
        <f t="array" ref="D33">IFERROR(INDEX(balance_sheet_annual[#All], SMALL(IF(LOWER(balance_sheet_annual[Company Name]) = LOWER(balance_sheet_annual_filter!$B$2), ROW(balance_sheet_annual[Company Name]) - ROW(INDEX(balance_sheet_annual[Company Name], 1, 1)) + 1), ROW(31:31)), COLUMN(C:C)), "")</f>
        <v>0</v>
      </c>
      <c r="E33" s="11">
        <f t="array" ref="E33">IFERROR(INDEX(balance_sheet_annual[#All], SMALL(IF(LOWER(balance_sheet_annual[Company Name]) = LOWER(balance_sheet_annual_filter!$B$2), ROW(balance_sheet_annual[Company Name]) - ROW(INDEX(balance_sheet_annual[Company Name], 1, 1)) + 1), ROW(31:31)), COLUMN(D:D)), "")</f>
        <v>0</v>
      </c>
      <c r="F33" s="11">
        <f t="array" ref="F33">IFERROR(INDEX(balance_sheet_annual[#All], SMALL(IF(LOWER(balance_sheet_annual[Company Name]) = LOWER(balance_sheet_annual_filter!$B$2), ROW(balance_sheet_annual[Company Name]) - ROW(INDEX(balance_sheet_annual[Company Name], 1, 1)) + 1), ROW(31:31)), COLUMN(E:E)), "")</f>
        <v>0</v>
      </c>
      <c r="G33" s="11">
        <f t="array" ref="G33">IFERROR(INDEX(balance_sheet_annual[#All], SMALL(IF(LOWER(balance_sheet_annual[Company Name]) = LOWER(balance_sheet_annual_filter!$B$2), ROW(balance_sheet_annual[Company Name]) - ROW(INDEX(balance_sheet_annual[Company Name], 1, 1)) + 1), ROW(31:31)), COLUMN(F:F)), "")</f>
        <v>0</v>
      </c>
    </row>
    <row r="34" spans="2:7" ht="15.5" x14ac:dyDescent="0.35">
      <c r="B34" s="2"/>
      <c r="C34" s="12" t="str">
        <f t="array" ref="C34">IFERROR(INDEX(balance_sheet_annual[#All], SMALL(IF(LOWER(balance_sheet_annual[Company Name]) = LOWER(balance_sheet_annual_filter!$B$2), ROW(balance_sheet_annual[Company Name]) - ROW(INDEX(balance_sheet_annual[Company Name], 1, 1)) + 1), ROW(32:32)), COLUMN(B:B)), "")</f>
        <v>2. Trả trước cho người bán dài hạn</v>
      </c>
      <c r="D34" s="47">
        <f t="array" ref="D34">IFERROR(INDEX(balance_sheet_annual[#All], SMALL(IF(LOWER(balance_sheet_annual[Company Name]) = LOWER(balance_sheet_annual_filter!$B$2), ROW(balance_sheet_annual[Company Name]) - ROW(INDEX(balance_sheet_annual[Company Name], 1, 1)) + 1), ROW(32:32)), COLUMN(C:C)), "")</f>
        <v>0</v>
      </c>
      <c r="E34" s="11">
        <f t="array" ref="E34">IFERROR(INDEX(balance_sheet_annual[#All], SMALL(IF(LOWER(balance_sheet_annual[Company Name]) = LOWER(balance_sheet_annual_filter!$B$2), ROW(balance_sheet_annual[Company Name]) - ROW(INDEX(balance_sheet_annual[Company Name], 1, 1)) + 1), ROW(32:32)), COLUMN(D:D)), "")</f>
        <v>0</v>
      </c>
      <c r="F34" s="11">
        <f t="array" ref="F34">IFERROR(INDEX(balance_sheet_annual[#All], SMALL(IF(LOWER(balance_sheet_annual[Company Name]) = LOWER(balance_sheet_annual_filter!$B$2), ROW(balance_sheet_annual[Company Name]) - ROW(INDEX(balance_sheet_annual[Company Name], 1, 1)) + 1), ROW(32:32)), COLUMN(E:E)), "")</f>
        <v>0</v>
      </c>
      <c r="G34" s="11">
        <f t="array" ref="G34">IFERROR(INDEX(balance_sheet_annual[#All], SMALL(IF(LOWER(balance_sheet_annual[Company Name]) = LOWER(balance_sheet_annual_filter!$B$2), ROW(balance_sheet_annual[Company Name]) - ROW(INDEX(balance_sheet_annual[Company Name], 1, 1)) + 1), ROW(32:32)), COLUMN(F:F)), "")</f>
        <v>0</v>
      </c>
    </row>
    <row r="35" spans="2:7" ht="15.5" x14ac:dyDescent="0.35">
      <c r="B35" s="2"/>
      <c r="C35" s="12" t="str">
        <f t="array" ref="C35">IFERROR(INDEX(balance_sheet_annual[#All], SMALL(IF(LOWER(balance_sheet_annual[Company Name]) = LOWER(balance_sheet_annual_filter!$B$2), ROW(balance_sheet_annual[Company Name]) - ROW(INDEX(balance_sheet_annual[Company Name], 1, 1)) + 1), ROW(33:33)), COLUMN(B:B)), "")</f>
        <v>3. Vốn kinh doanh ở đơn vị trực thuộc</v>
      </c>
      <c r="D35" s="47">
        <f t="array" ref="D35">IFERROR(INDEX(balance_sheet_annual[#All], SMALL(IF(LOWER(balance_sheet_annual[Company Name]) = LOWER(balance_sheet_annual_filter!$B$2), ROW(balance_sheet_annual[Company Name]) - ROW(INDEX(balance_sheet_annual[Company Name], 1, 1)) + 1), ROW(33:33)), COLUMN(C:C)), "")</f>
        <v>0</v>
      </c>
      <c r="E35" s="11">
        <f t="array" ref="E35">IFERROR(INDEX(balance_sheet_annual[#All], SMALL(IF(LOWER(balance_sheet_annual[Company Name]) = LOWER(balance_sheet_annual_filter!$B$2), ROW(balance_sheet_annual[Company Name]) - ROW(INDEX(balance_sheet_annual[Company Name], 1, 1)) + 1), ROW(33:33)), COLUMN(D:D)), "")</f>
        <v>0</v>
      </c>
      <c r="F35" s="11">
        <f t="array" ref="F35">IFERROR(INDEX(balance_sheet_annual[#All], SMALL(IF(LOWER(balance_sheet_annual[Company Name]) = LOWER(balance_sheet_annual_filter!$B$2), ROW(balance_sheet_annual[Company Name]) - ROW(INDEX(balance_sheet_annual[Company Name], 1, 1)) + 1), ROW(33:33)), COLUMN(E:E)), "")</f>
        <v>0</v>
      </c>
      <c r="G35" s="11">
        <f t="array" ref="G35">IFERROR(INDEX(balance_sheet_annual[#All], SMALL(IF(LOWER(balance_sheet_annual[Company Name]) = LOWER(balance_sheet_annual_filter!$B$2), ROW(balance_sheet_annual[Company Name]) - ROW(INDEX(balance_sheet_annual[Company Name], 1, 1)) + 1), ROW(33:33)), COLUMN(F:F)), "")</f>
        <v>0</v>
      </c>
    </row>
    <row r="36" spans="2:7" ht="15.5" x14ac:dyDescent="0.35">
      <c r="B36" s="2"/>
      <c r="C36" s="12" t="str">
        <f t="array" ref="C36">IFERROR(INDEX(balance_sheet_annual[#All], SMALL(IF(LOWER(balance_sheet_annual[Company Name]) = LOWER(balance_sheet_annual_filter!$B$2), ROW(balance_sheet_annual[Company Name]) - ROW(INDEX(balance_sheet_annual[Company Name], 1, 1)) + 1), ROW(34:34)), COLUMN(B:B)), "")</f>
        <v>4. Phải thu nội bộ dài hạn</v>
      </c>
      <c r="D36" s="47">
        <f t="array" ref="D36">IFERROR(INDEX(balance_sheet_annual[#All], SMALL(IF(LOWER(balance_sheet_annual[Company Name]) = LOWER(balance_sheet_annual_filter!$B$2), ROW(balance_sheet_annual[Company Name]) - ROW(INDEX(balance_sheet_annual[Company Name], 1, 1)) + 1), ROW(34:34)), COLUMN(C:C)), "")</f>
        <v>0</v>
      </c>
      <c r="E36" s="11">
        <f t="array" ref="E36">IFERROR(INDEX(balance_sheet_annual[#All], SMALL(IF(LOWER(balance_sheet_annual[Company Name]) = LOWER(balance_sheet_annual_filter!$B$2), ROW(balance_sheet_annual[Company Name]) - ROW(INDEX(balance_sheet_annual[Company Name], 1, 1)) + 1), ROW(34:34)), COLUMN(D:D)), "")</f>
        <v>0</v>
      </c>
      <c r="F36" s="11">
        <f t="array" ref="F36">IFERROR(INDEX(balance_sheet_annual[#All], SMALL(IF(LOWER(balance_sheet_annual[Company Name]) = LOWER(balance_sheet_annual_filter!$B$2), ROW(balance_sheet_annual[Company Name]) - ROW(INDEX(balance_sheet_annual[Company Name], 1, 1)) + 1), ROW(34:34)), COLUMN(E:E)), "")</f>
        <v>0</v>
      </c>
      <c r="G36" s="11">
        <f t="array" ref="G36">IFERROR(INDEX(balance_sheet_annual[#All], SMALL(IF(LOWER(balance_sheet_annual[Company Name]) = LOWER(balance_sheet_annual_filter!$B$2), ROW(balance_sheet_annual[Company Name]) - ROW(INDEX(balance_sheet_annual[Company Name], 1, 1)) + 1), ROW(34:34)), COLUMN(F:F)), "")</f>
        <v>0</v>
      </c>
    </row>
    <row r="37" spans="2:7" ht="15.5" x14ac:dyDescent="0.35">
      <c r="B37" s="2"/>
      <c r="C37" s="12" t="str">
        <f t="array" ref="C37">IFERROR(INDEX(balance_sheet_annual[#All], SMALL(IF(LOWER(balance_sheet_annual[Company Name]) = LOWER(balance_sheet_annual_filter!$B$2), ROW(balance_sheet_annual[Company Name]) - ROW(INDEX(balance_sheet_annual[Company Name], 1, 1)) + 1), ROW(35:35)), COLUMN(B:B)), "")</f>
        <v>5. Phải thu về cho vay dài hạn</v>
      </c>
      <c r="D37" s="47">
        <f t="array" ref="D37">IFERROR(INDEX(balance_sheet_annual[#All], SMALL(IF(LOWER(balance_sheet_annual[Company Name]) = LOWER(balance_sheet_annual_filter!$B$2), ROW(balance_sheet_annual[Company Name]) - ROW(INDEX(balance_sheet_annual[Company Name], 1, 1)) + 1), ROW(35:35)), COLUMN(C:C)), "")</f>
        <v>0</v>
      </c>
      <c r="E37" s="11">
        <f t="array" ref="E37">IFERROR(INDEX(balance_sheet_annual[#All], SMALL(IF(LOWER(balance_sheet_annual[Company Name]) = LOWER(balance_sheet_annual_filter!$B$2), ROW(balance_sheet_annual[Company Name]) - ROW(INDEX(balance_sheet_annual[Company Name], 1, 1)) + 1), ROW(35:35)), COLUMN(D:D)), "")</f>
        <v>0</v>
      </c>
      <c r="F37" s="11">
        <f t="array" ref="F37">IFERROR(INDEX(balance_sheet_annual[#All], SMALL(IF(LOWER(balance_sheet_annual[Company Name]) = LOWER(balance_sheet_annual_filter!$B$2), ROW(balance_sheet_annual[Company Name]) - ROW(INDEX(balance_sheet_annual[Company Name], 1, 1)) + 1), ROW(35:35)), COLUMN(E:E)), "")</f>
        <v>0</v>
      </c>
      <c r="G37" s="11">
        <f t="array" ref="G37">IFERROR(INDEX(balance_sheet_annual[#All], SMALL(IF(LOWER(balance_sheet_annual[Company Name]) = LOWER(balance_sheet_annual_filter!$B$2), ROW(balance_sheet_annual[Company Name]) - ROW(INDEX(balance_sheet_annual[Company Name], 1, 1)) + 1), ROW(35:35)), COLUMN(F:F)), "")</f>
        <v>0</v>
      </c>
    </row>
    <row r="38" spans="2:7" ht="15.5" x14ac:dyDescent="0.35">
      <c r="B38" s="2"/>
      <c r="C38" s="12" t="str">
        <f t="array" ref="C38">IFERROR(INDEX(balance_sheet_annual[#All], SMALL(IF(LOWER(balance_sheet_annual[Company Name]) = LOWER(balance_sheet_annual_filter!$B$2), ROW(balance_sheet_annual[Company Name]) - ROW(INDEX(balance_sheet_annual[Company Name], 1, 1)) + 1), ROW(36:36)), COLUMN(B:B)), "")</f>
        <v>6. Phải thu dài hạn khác</v>
      </c>
      <c r="D38" s="47">
        <f t="array" ref="D38">IFERROR(INDEX(balance_sheet_annual[#All], SMALL(IF(LOWER(balance_sheet_annual[Company Name]) = LOWER(balance_sheet_annual_filter!$B$2), ROW(balance_sheet_annual[Company Name]) - ROW(INDEX(balance_sheet_annual[Company Name], 1, 1)) + 1), ROW(36:36)), COLUMN(C:C)), "")</f>
        <v>0</v>
      </c>
      <c r="E38" s="11">
        <f t="array" ref="E38">IFERROR(INDEX(balance_sheet_annual[#All], SMALL(IF(LOWER(balance_sheet_annual[Company Name]) = LOWER(balance_sheet_annual_filter!$B$2), ROW(balance_sheet_annual[Company Name]) - ROW(INDEX(balance_sheet_annual[Company Name], 1, 1)) + 1), ROW(36:36)), COLUMN(D:D)), "")</f>
        <v>0</v>
      </c>
      <c r="F38" s="11">
        <f t="array" ref="F38">IFERROR(INDEX(balance_sheet_annual[#All], SMALL(IF(LOWER(balance_sheet_annual[Company Name]) = LOWER(balance_sheet_annual_filter!$B$2), ROW(balance_sheet_annual[Company Name]) - ROW(INDEX(balance_sheet_annual[Company Name], 1, 1)) + 1), ROW(36:36)), COLUMN(E:E)), "")</f>
        <v>0</v>
      </c>
      <c r="G38" s="11">
        <f t="array" ref="G38">IFERROR(INDEX(balance_sheet_annual[#All], SMALL(IF(LOWER(balance_sheet_annual[Company Name]) = LOWER(balance_sheet_annual_filter!$B$2), ROW(balance_sheet_annual[Company Name]) - ROW(INDEX(balance_sheet_annual[Company Name], 1, 1)) + 1), ROW(36:36)), COLUMN(F:F)), "")</f>
        <v>0</v>
      </c>
    </row>
    <row r="39" spans="2:7" ht="15.5" x14ac:dyDescent="0.35">
      <c r="B39" s="2"/>
      <c r="C39" s="12" t="str">
        <f t="array" ref="C39">IFERROR(INDEX(balance_sheet_annual[#All], SMALL(IF(LOWER(balance_sheet_annual[Company Name]) = LOWER(balance_sheet_annual_filter!$B$2), ROW(balance_sheet_annual[Company Name]) - ROW(INDEX(balance_sheet_annual[Company Name], 1, 1)) + 1), ROW(37:37)), COLUMN(B:B)), "")</f>
        <v>7. Dự phòng phải thu dài hạn khó đòi</v>
      </c>
      <c r="D39" s="47">
        <f t="array" ref="D39">IFERROR(INDEX(balance_sheet_annual[#All], SMALL(IF(LOWER(balance_sheet_annual[Company Name]) = LOWER(balance_sheet_annual_filter!$B$2), ROW(balance_sheet_annual[Company Name]) - ROW(INDEX(balance_sheet_annual[Company Name], 1, 1)) + 1), ROW(37:37)), COLUMN(C:C)), "")</f>
        <v>0</v>
      </c>
      <c r="E39" s="11">
        <f t="array" ref="E39">IFERROR(INDEX(balance_sheet_annual[#All], SMALL(IF(LOWER(balance_sheet_annual[Company Name]) = LOWER(balance_sheet_annual_filter!$B$2), ROW(balance_sheet_annual[Company Name]) - ROW(INDEX(balance_sheet_annual[Company Name], 1, 1)) + 1), ROW(37:37)), COLUMN(D:D)), "")</f>
        <v>0</v>
      </c>
      <c r="F39" s="11">
        <f t="array" ref="F39">IFERROR(INDEX(balance_sheet_annual[#All], SMALL(IF(LOWER(balance_sheet_annual[Company Name]) = LOWER(balance_sheet_annual_filter!$B$2), ROW(balance_sheet_annual[Company Name]) - ROW(INDEX(balance_sheet_annual[Company Name], 1, 1)) + 1), ROW(37:37)), COLUMN(E:E)), "")</f>
        <v>0</v>
      </c>
      <c r="G39" s="11">
        <f t="array" ref="G39">IFERROR(INDEX(balance_sheet_annual[#All], SMALL(IF(LOWER(balance_sheet_annual[Company Name]) = LOWER(balance_sheet_annual_filter!$B$2), ROW(balance_sheet_annual[Company Name]) - ROW(INDEX(balance_sheet_annual[Company Name], 1, 1)) + 1), ROW(37:37)), COLUMN(F:F)), "")</f>
        <v>0</v>
      </c>
    </row>
    <row r="40" spans="2:7" ht="15.5" x14ac:dyDescent="0.35">
      <c r="B40" s="2"/>
      <c r="C40" s="12" t="str">
        <f t="array" ref="C40">IFERROR(INDEX(balance_sheet_annual[#All], SMALL(IF(LOWER(balance_sheet_annual[Company Name]) = LOWER(balance_sheet_annual_filter!$B$2), ROW(balance_sheet_annual[Company Name]) - ROW(INDEX(balance_sheet_annual[Company Name], 1, 1)) + 1), ROW(38:38)), COLUMN(B:B)), "")</f>
        <v>II.Tài sản cố định</v>
      </c>
      <c r="D40" s="47">
        <f t="array" ref="D40">IFERROR(INDEX(balance_sheet_annual[#All], SMALL(IF(LOWER(balance_sheet_annual[Company Name]) = LOWER(balance_sheet_annual_filter!$B$2), ROW(balance_sheet_annual[Company Name]) - ROW(INDEX(balance_sheet_annual[Company Name], 1, 1)) + 1), ROW(38:38)), COLUMN(C:C)), "")</f>
        <v>3657429177860</v>
      </c>
      <c r="E40" s="11">
        <f t="array" ref="E40">IFERROR(INDEX(balance_sheet_annual[#All], SMALL(IF(LOWER(balance_sheet_annual[Company Name]) = LOWER(balance_sheet_annual_filter!$B$2), ROW(balance_sheet_annual[Company Name]) - ROW(INDEX(balance_sheet_annual[Company Name], 1, 1)) + 1), ROW(38:38)), COLUMN(D:D)), "")</f>
        <v>4435236049078</v>
      </c>
      <c r="F40" s="11">
        <f t="array" ref="F40">IFERROR(INDEX(balance_sheet_annual[#All], SMALL(IF(LOWER(balance_sheet_annual[Company Name]) = LOWER(balance_sheet_annual_filter!$B$2), ROW(balance_sheet_annual[Company Name]) - ROW(INDEX(balance_sheet_annual[Company Name], 1, 1)) + 1), ROW(38:38)), COLUMN(E:E)), "")</f>
        <v>4240290844108</v>
      </c>
      <c r="G40" s="11">
        <f t="array" ref="G40">IFERROR(INDEX(balance_sheet_annual[#All], SMALL(IF(LOWER(balance_sheet_annual[Company Name]) = LOWER(balance_sheet_annual_filter!$B$2), ROW(balance_sheet_annual[Company Name]) - ROW(INDEX(balance_sheet_annual[Company Name], 1, 1)) + 1), ROW(38:38)), COLUMN(F:F)), "")</f>
        <v>4034548028839</v>
      </c>
    </row>
    <row r="41" spans="2:7" ht="15.5" x14ac:dyDescent="0.35">
      <c r="B41" s="2"/>
      <c r="C41" s="12" t="str">
        <f t="array" ref="C41">IFERROR(INDEX(balance_sheet_annual[#All], SMALL(IF(LOWER(balance_sheet_annual[Company Name]) = LOWER(balance_sheet_annual_filter!$B$2), ROW(balance_sheet_annual[Company Name]) - ROW(INDEX(balance_sheet_annual[Company Name], 1, 1)) + 1), ROW(39:39)), COLUMN(B:B)), "")</f>
        <v>1. Tài sản cố định hữu hình</v>
      </c>
      <c r="D41" s="47">
        <f t="array" ref="D41">IFERROR(INDEX(balance_sheet_annual[#All], SMALL(IF(LOWER(balance_sheet_annual[Company Name]) = LOWER(balance_sheet_annual_filter!$B$2), ROW(balance_sheet_annual[Company Name]) - ROW(INDEX(balance_sheet_annual[Company Name], 1, 1)) + 1), ROW(39:39)), COLUMN(C:C)), "")</f>
        <v>3657281450960</v>
      </c>
      <c r="E41" s="11">
        <f t="array" ref="E41">IFERROR(INDEX(balance_sheet_annual[#All], SMALL(IF(LOWER(balance_sheet_annual[Company Name]) = LOWER(balance_sheet_annual_filter!$B$2), ROW(balance_sheet_annual[Company Name]) - ROW(INDEX(balance_sheet_annual[Company Name], 1, 1)) + 1), ROW(39:39)), COLUMN(D:D)), "")</f>
        <v>4435088322178</v>
      </c>
      <c r="F41" s="11">
        <f t="array" ref="F41">IFERROR(INDEX(balance_sheet_annual[#All], SMALL(IF(LOWER(balance_sheet_annual[Company Name]) = LOWER(balance_sheet_annual_filter!$B$2), ROW(balance_sheet_annual[Company Name]) - ROW(INDEX(balance_sheet_annual[Company Name], 1, 1)) + 1), ROW(39:39)), COLUMN(E:E)), "")</f>
        <v>4240143117208</v>
      </c>
      <c r="G41" s="11">
        <f t="array" ref="G41">IFERROR(INDEX(balance_sheet_annual[#All], SMALL(IF(LOWER(balance_sheet_annual[Company Name]) = LOWER(balance_sheet_annual_filter!$B$2), ROW(balance_sheet_annual[Company Name]) - ROW(INDEX(balance_sheet_annual[Company Name], 1, 1)) + 1), ROW(39:39)), COLUMN(F:F)), "")</f>
        <v>4034400301939</v>
      </c>
    </row>
    <row r="42" spans="2:7" ht="15.5" x14ac:dyDescent="0.35">
      <c r="B42" s="2"/>
      <c r="C42" s="12" t="str">
        <f t="array" ref="C42">IFERROR(INDEX(balance_sheet_annual[#All], SMALL(IF(LOWER(balance_sheet_annual[Company Name]) = LOWER(balance_sheet_annual_filter!$B$2), ROW(balance_sheet_annual[Company Name]) - ROW(INDEX(balance_sheet_annual[Company Name], 1, 1)) + 1), ROW(40:40)), COLUMN(B:B)), "")</f>
        <v>- Nguyên giá</v>
      </c>
      <c r="D42" s="47">
        <f t="array" ref="D42">IFERROR(INDEX(balance_sheet_annual[#All], SMALL(IF(LOWER(balance_sheet_annual[Company Name]) = LOWER(balance_sheet_annual_filter!$B$2), ROW(balance_sheet_annual[Company Name]) - ROW(INDEX(balance_sheet_annual[Company Name], 1, 1)) + 1), ROW(40:40)), COLUMN(C:C)), "")</f>
        <v>4060490880354</v>
      </c>
      <c r="E42" s="11">
        <f t="array" ref="E42">IFERROR(INDEX(balance_sheet_annual[#All], SMALL(IF(LOWER(balance_sheet_annual[Company Name]) = LOWER(balance_sheet_annual_filter!$B$2), ROW(balance_sheet_annual[Company Name]) - ROW(INDEX(balance_sheet_annual[Company Name], 1, 1)) + 1), ROW(40:40)), COLUMN(D:D)), "")</f>
        <v>5044663343303</v>
      </c>
      <c r="F42" s="11">
        <f t="array" ref="F42">IFERROR(INDEX(balance_sheet_annual[#All], SMALL(IF(LOWER(balance_sheet_annual[Company Name]) = LOWER(balance_sheet_annual_filter!$B$2), ROW(balance_sheet_annual[Company Name]) - ROW(INDEX(balance_sheet_annual[Company Name], 1, 1)) + 1), ROW(40:40)), COLUMN(E:E)), "")</f>
        <v>5055677710378</v>
      </c>
      <c r="G42" s="11">
        <f t="array" ref="G42">IFERROR(INDEX(balance_sheet_annual[#All], SMALL(IF(LOWER(balance_sheet_annual[Company Name]) = LOWER(balance_sheet_annual_filter!$B$2), ROW(balance_sheet_annual[Company Name]) - ROW(INDEX(balance_sheet_annual[Company Name], 1, 1)) + 1), ROW(40:40)), COLUMN(F:F)), "")</f>
        <v>5055677710378</v>
      </c>
    </row>
    <row r="43" spans="2:7" ht="15.5" x14ac:dyDescent="0.35">
      <c r="B43" s="2"/>
      <c r="C43" s="12" t="str">
        <f t="array" ref="C43">IFERROR(INDEX(balance_sheet_annual[#All], SMALL(IF(LOWER(balance_sheet_annual[Company Name]) = LOWER(balance_sheet_annual_filter!$B$2), ROW(balance_sheet_annual[Company Name]) - ROW(INDEX(balance_sheet_annual[Company Name], 1, 1)) + 1), ROW(41:41)), COLUMN(B:B)), "")</f>
        <v>- Giá trị hao mòn lũy kế</v>
      </c>
      <c r="D43" s="47">
        <f t="array" ref="D43">IFERROR(INDEX(balance_sheet_annual[#All], SMALL(IF(LOWER(balance_sheet_annual[Company Name]) = LOWER(balance_sheet_annual_filter!$B$2), ROW(balance_sheet_annual[Company Name]) - ROW(INDEX(balance_sheet_annual[Company Name], 1, 1)) + 1), ROW(41:41)), COLUMN(C:C)), "")</f>
        <v>-403209429394</v>
      </c>
      <c r="E43" s="11">
        <f t="array" ref="E43">IFERROR(INDEX(balance_sheet_annual[#All], SMALL(IF(LOWER(balance_sheet_annual[Company Name]) = LOWER(balance_sheet_annual_filter!$B$2), ROW(balance_sheet_annual[Company Name]) - ROW(INDEX(balance_sheet_annual[Company Name], 1, 1)) + 1), ROW(41:41)), COLUMN(D:D)), "")</f>
        <v>-609575021125</v>
      </c>
      <c r="F43" s="11">
        <f t="array" ref="F43">IFERROR(INDEX(balance_sheet_annual[#All], SMALL(IF(LOWER(balance_sheet_annual[Company Name]) = LOWER(balance_sheet_annual_filter!$B$2), ROW(balance_sheet_annual[Company Name]) - ROW(INDEX(balance_sheet_annual[Company Name], 1, 1)) + 1), ROW(41:41)), COLUMN(E:E)), "")</f>
        <v>-815534593170</v>
      </c>
      <c r="G43" s="11">
        <f t="array" ref="G43">IFERROR(INDEX(balance_sheet_annual[#All], SMALL(IF(LOWER(balance_sheet_annual[Company Name]) = LOWER(balance_sheet_annual_filter!$B$2), ROW(balance_sheet_annual[Company Name]) - ROW(INDEX(balance_sheet_annual[Company Name], 1, 1)) + 1), ROW(41:41)), COLUMN(F:F)), "")</f>
        <v>-1021277408439</v>
      </c>
    </row>
    <row r="44" spans="2:7" ht="15.5" x14ac:dyDescent="0.35">
      <c r="B44" s="2"/>
      <c r="C44" s="12" t="str">
        <f t="array" ref="C44">IFERROR(INDEX(balance_sheet_annual[#All], SMALL(IF(LOWER(balance_sheet_annual[Company Name]) = LOWER(balance_sheet_annual_filter!$B$2), ROW(balance_sheet_annual[Company Name]) - ROW(INDEX(balance_sheet_annual[Company Name], 1, 1)) + 1), ROW(42:42)), COLUMN(B:B)), "")</f>
        <v>2. Tài sản cố định thuê tài chính</v>
      </c>
      <c r="D44" s="47">
        <f t="array" ref="D44">IFERROR(INDEX(balance_sheet_annual[#All], SMALL(IF(LOWER(balance_sheet_annual[Company Name]) = LOWER(balance_sheet_annual_filter!$B$2), ROW(balance_sheet_annual[Company Name]) - ROW(INDEX(balance_sheet_annual[Company Name], 1, 1)) + 1), ROW(42:42)), COLUMN(C:C)), "")</f>
        <v>0</v>
      </c>
      <c r="E44" s="11">
        <f t="array" ref="E44">IFERROR(INDEX(balance_sheet_annual[#All], SMALL(IF(LOWER(balance_sheet_annual[Company Name]) = LOWER(balance_sheet_annual_filter!$B$2), ROW(balance_sheet_annual[Company Name]) - ROW(INDEX(balance_sheet_annual[Company Name], 1, 1)) + 1), ROW(42:42)), COLUMN(D:D)), "")</f>
        <v>0</v>
      </c>
      <c r="F44" s="11">
        <f t="array" ref="F44">IFERROR(INDEX(balance_sheet_annual[#All], SMALL(IF(LOWER(balance_sheet_annual[Company Name]) = LOWER(balance_sheet_annual_filter!$B$2), ROW(balance_sheet_annual[Company Name]) - ROW(INDEX(balance_sheet_annual[Company Name], 1, 1)) + 1), ROW(42:42)), COLUMN(E:E)), "")</f>
        <v>0</v>
      </c>
      <c r="G44" s="11">
        <f t="array" ref="G44">IFERROR(INDEX(balance_sheet_annual[#All], SMALL(IF(LOWER(balance_sheet_annual[Company Name]) = LOWER(balance_sheet_annual_filter!$B$2), ROW(balance_sheet_annual[Company Name]) - ROW(INDEX(balance_sheet_annual[Company Name], 1, 1)) + 1), ROW(42:42)), COLUMN(F:F)), "")</f>
        <v>0</v>
      </c>
    </row>
    <row r="45" spans="2:7" ht="15.5" x14ac:dyDescent="0.35">
      <c r="B45" s="2"/>
      <c r="C45" s="12" t="str">
        <f t="array" ref="C45">IFERROR(INDEX(balance_sheet_annual[#All], SMALL(IF(LOWER(balance_sheet_annual[Company Name]) = LOWER(balance_sheet_annual_filter!$B$2), ROW(balance_sheet_annual[Company Name]) - ROW(INDEX(balance_sheet_annual[Company Name], 1, 1)) + 1), ROW(43:43)), COLUMN(B:B)), "")</f>
        <v>- Nguyên giá</v>
      </c>
      <c r="D45" s="47">
        <f t="array" ref="D45">IFERROR(INDEX(balance_sheet_annual[#All], SMALL(IF(LOWER(balance_sheet_annual[Company Name]) = LOWER(balance_sheet_annual_filter!$B$2), ROW(balance_sheet_annual[Company Name]) - ROW(INDEX(balance_sheet_annual[Company Name], 1, 1)) + 1), ROW(43:43)), COLUMN(C:C)), "")</f>
        <v>0</v>
      </c>
      <c r="E45" s="11">
        <f t="array" ref="E45">IFERROR(INDEX(balance_sheet_annual[#All], SMALL(IF(LOWER(balance_sheet_annual[Company Name]) = LOWER(balance_sheet_annual_filter!$B$2), ROW(balance_sheet_annual[Company Name]) - ROW(INDEX(balance_sheet_annual[Company Name], 1, 1)) + 1), ROW(43:43)), COLUMN(D:D)), "")</f>
        <v>0</v>
      </c>
      <c r="F45" s="11">
        <f t="array" ref="F45">IFERROR(INDEX(balance_sheet_annual[#All], SMALL(IF(LOWER(balance_sheet_annual[Company Name]) = LOWER(balance_sheet_annual_filter!$B$2), ROW(balance_sheet_annual[Company Name]) - ROW(INDEX(balance_sheet_annual[Company Name], 1, 1)) + 1), ROW(43:43)), COLUMN(E:E)), "")</f>
        <v>0</v>
      </c>
      <c r="G45" s="11">
        <f t="array" ref="G45">IFERROR(INDEX(balance_sheet_annual[#All], SMALL(IF(LOWER(balance_sheet_annual[Company Name]) = LOWER(balance_sheet_annual_filter!$B$2), ROW(balance_sheet_annual[Company Name]) - ROW(INDEX(balance_sheet_annual[Company Name], 1, 1)) + 1), ROW(43:43)), COLUMN(F:F)), "")</f>
        <v>0</v>
      </c>
    </row>
    <row r="46" spans="2:7" ht="15.5" x14ac:dyDescent="0.35">
      <c r="B46" s="2"/>
      <c r="C46" s="12" t="str">
        <f t="array" ref="C46">IFERROR(INDEX(balance_sheet_annual[#All], SMALL(IF(LOWER(balance_sheet_annual[Company Name]) = LOWER(balance_sheet_annual_filter!$B$2), ROW(balance_sheet_annual[Company Name]) - ROW(INDEX(balance_sheet_annual[Company Name], 1, 1)) + 1), ROW(44:44)), COLUMN(B:B)), "")</f>
        <v>- Giá trị hao mòn lũy kế</v>
      </c>
      <c r="D46" s="47">
        <f t="array" ref="D46">IFERROR(INDEX(balance_sheet_annual[#All], SMALL(IF(LOWER(balance_sheet_annual[Company Name]) = LOWER(balance_sheet_annual_filter!$B$2), ROW(balance_sheet_annual[Company Name]) - ROW(INDEX(balance_sheet_annual[Company Name], 1, 1)) + 1), ROW(44:44)), COLUMN(C:C)), "")</f>
        <v>0</v>
      </c>
      <c r="E46" s="11">
        <f t="array" ref="E46">IFERROR(INDEX(balance_sheet_annual[#All], SMALL(IF(LOWER(balance_sheet_annual[Company Name]) = LOWER(balance_sheet_annual_filter!$B$2), ROW(balance_sheet_annual[Company Name]) - ROW(INDEX(balance_sheet_annual[Company Name], 1, 1)) + 1), ROW(44:44)), COLUMN(D:D)), "")</f>
        <v>0</v>
      </c>
      <c r="F46" s="11">
        <f t="array" ref="F46">IFERROR(INDEX(balance_sheet_annual[#All], SMALL(IF(LOWER(balance_sheet_annual[Company Name]) = LOWER(balance_sheet_annual_filter!$B$2), ROW(balance_sheet_annual[Company Name]) - ROW(INDEX(balance_sheet_annual[Company Name], 1, 1)) + 1), ROW(44:44)), COLUMN(E:E)), "")</f>
        <v>0</v>
      </c>
      <c r="G46" s="11">
        <f t="array" ref="G46">IFERROR(INDEX(balance_sheet_annual[#All], SMALL(IF(LOWER(balance_sheet_annual[Company Name]) = LOWER(balance_sheet_annual_filter!$B$2), ROW(balance_sheet_annual[Company Name]) - ROW(INDEX(balance_sheet_annual[Company Name], 1, 1)) + 1), ROW(44:44)), COLUMN(F:F)), "")</f>
        <v>0</v>
      </c>
    </row>
    <row r="47" spans="2:7" ht="15.5" x14ac:dyDescent="0.35">
      <c r="B47" s="2"/>
      <c r="C47" s="12" t="str">
        <f t="array" ref="C47">IFERROR(INDEX(balance_sheet_annual[#All], SMALL(IF(LOWER(balance_sheet_annual[Company Name]) = LOWER(balance_sheet_annual_filter!$B$2), ROW(balance_sheet_annual[Company Name]) - ROW(INDEX(balance_sheet_annual[Company Name], 1, 1)) + 1), ROW(45:45)), COLUMN(B:B)), "")</f>
        <v>3. Tài sản cố định vô hình</v>
      </c>
      <c r="D47" s="47">
        <f t="array" ref="D47">IFERROR(INDEX(balance_sheet_annual[#All], SMALL(IF(LOWER(balance_sheet_annual[Company Name]) = LOWER(balance_sheet_annual_filter!$B$2), ROW(balance_sheet_annual[Company Name]) - ROW(INDEX(balance_sheet_annual[Company Name], 1, 1)) + 1), ROW(45:45)), COLUMN(C:C)), "")</f>
        <v>147726900</v>
      </c>
      <c r="E47" s="11">
        <f t="array" ref="E47">IFERROR(INDEX(balance_sheet_annual[#All], SMALL(IF(LOWER(balance_sheet_annual[Company Name]) = LOWER(balance_sheet_annual_filter!$B$2), ROW(balance_sheet_annual[Company Name]) - ROW(INDEX(balance_sheet_annual[Company Name], 1, 1)) + 1), ROW(45:45)), COLUMN(D:D)), "")</f>
        <v>147726900</v>
      </c>
      <c r="F47" s="11">
        <f t="array" ref="F47">IFERROR(INDEX(balance_sheet_annual[#All], SMALL(IF(LOWER(balance_sheet_annual[Company Name]) = LOWER(balance_sheet_annual_filter!$B$2), ROW(balance_sheet_annual[Company Name]) - ROW(INDEX(balance_sheet_annual[Company Name], 1, 1)) + 1), ROW(45:45)), COLUMN(E:E)), "")</f>
        <v>147726900</v>
      </c>
      <c r="G47" s="11">
        <f t="array" ref="G47">IFERROR(INDEX(balance_sheet_annual[#All], SMALL(IF(LOWER(balance_sheet_annual[Company Name]) = LOWER(balance_sheet_annual_filter!$B$2), ROW(balance_sheet_annual[Company Name]) - ROW(INDEX(balance_sheet_annual[Company Name], 1, 1)) + 1), ROW(45:45)), COLUMN(F:F)), "")</f>
        <v>147726900</v>
      </c>
    </row>
    <row r="48" spans="2:7" ht="15.5" x14ac:dyDescent="0.35">
      <c r="B48" s="2"/>
      <c r="C48" s="12" t="str">
        <f t="array" ref="C48">IFERROR(INDEX(balance_sheet_annual[#All], SMALL(IF(LOWER(balance_sheet_annual[Company Name]) = LOWER(balance_sheet_annual_filter!$B$2), ROW(balance_sheet_annual[Company Name]) - ROW(INDEX(balance_sheet_annual[Company Name], 1, 1)) + 1), ROW(46:46)), COLUMN(B:B)), "")</f>
        <v>- Nguyên giá</v>
      </c>
      <c r="D48" s="47">
        <f t="array" ref="D48">IFERROR(INDEX(balance_sheet_annual[#All], SMALL(IF(LOWER(balance_sheet_annual[Company Name]) = LOWER(balance_sheet_annual_filter!$B$2), ROW(balance_sheet_annual[Company Name]) - ROW(INDEX(balance_sheet_annual[Company Name], 1, 1)) + 1), ROW(46:46)), COLUMN(C:C)), "")</f>
        <v>147726900</v>
      </c>
      <c r="E48" s="11">
        <f t="array" ref="E48">IFERROR(INDEX(balance_sheet_annual[#All], SMALL(IF(LOWER(balance_sheet_annual[Company Name]) = LOWER(balance_sheet_annual_filter!$B$2), ROW(balance_sheet_annual[Company Name]) - ROW(INDEX(balance_sheet_annual[Company Name], 1, 1)) + 1), ROW(46:46)), COLUMN(D:D)), "")</f>
        <v>147726900</v>
      </c>
      <c r="F48" s="11">
        <f t="array" ref="F48">IFERROR(INDEX(balance_sheet_annual[#All], SMALL(IF(LOWER(balance_sheet_annual[Company Name]) = LOWER(balance_sheet_annual_filter!$B$2), ROW(balance_sheet_annual[Company Name]) - ROW(INDEX(balance_sheet_annual[Company Name], 1, 1)) + 1), ROW(46:46)), COLUMN(E:E)), "")</f>
        <v>147726900</v>
      </c>
      <c r="G48" s="11">
        <f t="array" ref="G48">IFERROR(INDEX(balance_sheet_annual[#All], SMALL(IF(LOWER(balance_sheet_annual[Company Name]) = LOWER(balance_sheet_annual_filter!$B$2), ROW(balance_sheet_annual[Company Name]) - ROW(INDEX(balance_sheet_annual[Company Name], 1, 1)) + 1), ROW(46:46)), COLUMN(F:F)), "")</f>
        <v>147726900</v>
      </c>
    </row>
    <row r="49" spans="2:7" ht="15.5" x14ac:dyDescent="0.35">
      <c r="B49" s="2"/>
      <c r="C49" s="12" t="str">
        <f t="array" ref="C49">IFERROR(INDEX(balance_sheet_annual[#All], SMALL(IF(LOWER(balance_sheet_annual[Company Name]) = LOWER(balance_sheet_annual_filter!$B$2), ROW(balance_sheet_annual[Company Name]) - ROW(INDEX(balance_sheet_annual[Company Name], 1, 1)) + 1), ROW(47:47)), COLUMN(B:B)), "")</f>
        <v>- Giá trị hao mòn lũy kế</v>
      </c>
      <c r="D49" s="47">
        <f t="array" ref="D49">IFERROR(INDEX(balance_sheet_annual[#All], SMALL(IF(LOWER(balance_sheet_annual[Company Name]) = LOWER(balance_sheet_annual_filter!$B$2), ROW(balance_sheet_annual[Company Name]) - ROW(INDEX(balance_sheet_annual[Company Name], 1, 1)) + 1), ROW(47:47)), COLUMN(C:C)), "")</f>
        <v>0</v>
      </c>
      <c r="E49" s="11">
        <f t="array" ref="E49">IFERROR(INDEX(balance_sheet_annual[#All], SMALL(IF(LOWER(balance_sheet_annual[Company Name]) = LOWER(balance_sheet_annual_filter!$B$2), ROW(balance_sheet_annual[Company Name]) - ROW(INDEX(balance_sheet_annual[Company Name], 1, 1)) + 1), ROW(47:47)), COLUMN(D:D)), "")</f>
        <v>0</v>
      </c>
      <c r="F49" s="11">
        <f t="array" ref="F49">IFERROR(INDEX(balance_sheet_annual[#All], SMALL(IF(LOWER(balance_sheet_annual[Company Name]) = LOWER(balance_sheet_annual_filter!$B$2), ROW(balance_sheet_annual[Company Name]) - ROW(INDEX(balance_sheet_annual[Company Name], 1, 1)) + 1), ROW(47:47)), COLUMN(E:E)), "")</f>
        <v>0</v>
      </c>
      <c r="G49" s="11">
        <f t="array" ref="G49">IFERROR(INDEX(balance_sheet_annual[#All], SMALL(IF(LOWER(balance_sheet_annual[Company Name]) = LOWER(balance_sheet_annual_filter!$B$2), ROW(balance_sheet_annual[Company Name]) - ROW(INDEX(balance_sheet_annual[Company Name], 1, 1)) + 1), ROW(47:47)), COLUMN(F:F)), "")</f>
        <v>0</v>
      </c>
    </row>
    <row r="50" spans="2:7" ht="15.5" x14ac:dyDescent="0.35">
      <c r="B50" s="2"/>
      <c r="C50" s="12" t="str">
        <f t="array" ref="C50">IFERROR(INDEX(balance_sheet_annual[#All], SMALL(IF(LOWER(balance_sheet_annual[Company Name]) = LOWER(balance_sheet_annual_filter!$B$2), ROW(balance_sheet_annual[Company Name]) - ROW(INDEX(balance_sheet_annual[Company Name], 1, 1)) + 1), ROW(48:48)), COLUMN(B:B)), "")</f>
        <v>III. Bất động sản đầu tư</v>
      </c>
      <c r="D50" s="11">
        <f t="array" ref="D50">IFERROR(INDEX(balance_sheet_annual[#All], SMALL(IF(LOWER(balance_sheet_annual[Company Name]) = LOWER(balance_sheet_annual_filter!$B$2), ROW(balance_sheet_annual[Company Name]) - ROW(INDEX(balance_sheet_annual[Company Name], 1, 1)) + 1), ROW(48:48)), COLUMN(C:C)), "")</f>
        <v>0</v>
      </c>
      <c r="E50" s="11">
        <f t="array" ref="E50">IFERROR(INDEX(balance_sheet_annual[#All], SMALL(IF(LOWER(balance_sheet_annual[Company Name]) = LOWER(balance_sheet_annual_filter!$B$2), ROW(balance_sheet_annual[Company Name]) - ROW(INDEX(balance_sheet_annual[Company Name], 1, 1)) + 1), ROW(48:48)), COLUMN(D:D)), "")</f>
        <v>0</v>
      </c>
      <c r="F50" s="11">
        <f t="array" ref="F50">IFERROR(INDEX(balance_sheet_annual[#All], SMALL(IF(LOWER(balance_sheet_annual[Company Name]) = LOWER(balance_sheet_annual_filter!$B$2), ROW(balance_sheet_annual[Company Name]) - ROW(INDEX(balance_sheet_annual[Company Name], 1, 1)) + 1), ROW(48:48)), COLUMN(E:E)), "")</f>
        <v>0</v>
      </c>
      <c r="G50" s="11">
        <f t="array" ref="G50">IFERROR(INDEX(balance_sheet_annual[#All], SMALL(IF(LOWER(balance_sheet_annual[Company Name]) = LOWER(balance_sheet_annual_filter!$B$2), ROW(balance_sheet_annual[Company Name]) - ROW(INDEX(balance_sheet_annual[Company Name], 1, 1)) + 1), ROW(48:48)), COLUMN(F:F)), "")</f>
        <v>0</v>
      </c>
    </row>
    <row r="51" spans="2:7" ht="15.5" x14ac:dyDescent="0.35">
      <c r="B51" s="2"/>
      <c r="C51" s="12" t="str">
        <f t="array" ref="C51">IFERROR(INDEX(balance_sheet_annual[#All], SMALL(IF(LOWER(balance_sheet_annual[Company Name]) = LOWER(balance_sheet_annual_filter!$B$2), ROW(balance_sheet_annual[Company Name]) - ROW(INDEX(balance_sheet_annual[Company Name], 1, 1)) + 1), ROW(49:49)), COLUMN(B:B)), "")</f>
        <v>- Nguyên giá</v>
      </c>
      <c r="D51" s="47">
        <f t="array" ref="D51">IFERROR(INDEX(balance_sheet_annual[#All], SMALL(IF(LOWER(balance_sheet_annual[Company Name]) = LOWER(balance_sheet_annual_filter!$B$2), ROW(balance_sheet_annual[Company Name]) - ROW(INDEX(balance_sheet_annual[Company Name], 1, 1)) + 1), ROW(49:49)), COLUMN(C:C)), "")</f>
        <v>0</v>
      </c>
      <c r="E51" s="11">
        <f t="array" ref="E51">IFERROR(INDEX(balance_sheet_annual[#All], SMALL(IF(LOWER(balance_sheet_annual[Company Name]) = LOWER(balance_sheet_annual_filter!$B$2), ROW(balance_sheet_annual[Company Name]) - ROW(INDEX(balance_sheet_annual[Company Name], 1, 1)) + 1), ROW(49:49)), COLUMN(D:D)), "")</f>
        <v>0</v>
      </c>
      <c r="F51" s="11">
        <f t="array" ref="F51">IFERROR(INDEX(balance_sheet_annual[#All], SMALL(IF(LOWER(balance_sheet_annual[Company Name]) = LOWER(balance_sheet_annual_filter!$B$2), ROW(balance_sheet_annual[Company Name]) - ROW(INDEX(balance_sheet_annual[Company Name], 1, 1)) + 1), ROW(49:49)), COLUMN(E:E)), "")</f>
        <v>0</v>
      </c>
      <c r="G51" s="11">
        <f t="array" ref="G51">IFERROR(INDEX(balance_sheet_annual[#All], SMALL(IF(LOWER(balance_sheet_annual[Company Name]) = LOWER(balance_sheet_annual_filter!$B$2), ROW(balance_sheet_annual[Company Name]) - ROW(INDEX(balance_sheet_annual[Company Name], 1, 1)) + 1), ROW(49:49)), COLUMN(F:F)), "")</f>
        <v>0</v>
      </c>
    </row>
    <row r="52" spans="2:7" ht="15.5" x14ac:dyDescent="0.35">
      <c r="B52" s="2"/>
      <c r="C52" s="12" t="str">
        <f t="array" ref="C52">IFERROR(INDEX(balance_sheet_annual[#All], SMALL(IF(LOWER(balance_sheet_annual[Company Name]) = LOWER(balance_sheet_annual_filter!$B$2), ROW(balance_sheet_annual[Company Name]) - ROW(INDEX(balance_sheet_annual[Company Name], 1, 1)) + 1), ROW(50:50)), COLUMN(B:B)), "")</f>
        <v>- Giá trị hao mòn lũy kế</v>
      </c>
      <c r="D52" s="47">
        <f t="array" ref="D52">IFERROR(INDEX(balance_sheet_annual[#All], SMALL(IF(LOWER(balance_sheet_annual[Company Name]) = LOWER(balance_sheet_annual_filter!$B$2), ROW(balance_sheet_annual[Company Name]) - ROW(INDEX(balance_sheet_annual[Company Name], 1, 1)) + 1), ROW(50:50)), COLUMN(C:C)), "")</f>
        <v>0</v>
      </c>
      <c r="E52" s="11">
        <f t="array" ref="E52">IFERROR(INDEX(balance_sheet_annual[#All], SMALL(IF(LOWER(balance_sheet_annual[Company Name]) = LOWER(balance_sheet_annual_filter!$B$2), ROW(balance_sheet_annual[Company Name]) - ROW(INDEX(balance_sheet_annual[Company Name], 1, 1)) + 1), ROW(50:50)), COLUMN(D:D)), "")</f>
        <v>0</v>
      </c>
      <c r="F52" s="11">
        <f t="array" ref="F52">IFERROR(INDEX(balance_sheet_annual[#All], SMALL(IF(LOWER(balance_sheet_annual[Company Name]) = LOWER(balance_sheet_annual_filter!$B$2), ROW(balance_sheet_annual[Company Name]) - ROW(INDEX(balance_sheet_annual[Company Name], 1, 1)) + 1), ROW(50:50)), COLUMN(E:E)), "")</f>
        <v>0</v>
      </c>
      <c r="G52" s="11">
        <f t="array" ref="G52">IFERROR(INDEX(balance_sheet_annual[#All], SMALL(IF(LOWER(balance_sheet_annual[Company Name]) = LOWER(balance_sheet_annual_filter!$B$2), ROW(balance_sheet_annual[Company Name]) - ROW(INDEX(balance_sheet_annual[Company Name], 1, 1)) + 1), ROW(50:50)), COLUMN(F:F)), "")</f>
        <v>0</v>
      </c>
    </row>
    <row r="53" spans="2:7" ht="15.5" x14ac:dyDescent="0.35">
      <c r="B53" s="2"/>
      <c r="C53" s="12" t="str">
        <f t="array" ref="C53">IFERROR(INDEX(balance_sheet_annual[#All], SMALL(IF(LOWER(balance_sheet_annual[Company Name]) = LOWER(balance_sheet_annual_filter!$B$2), ROW(balance_sheet_annual[Company Name]) - ROW(INDEX(balance_sheet_annual[Company Name], 1, 1)) + 1), ROW(51:51)), COLUMN(B:B)), "")</f>
        <v>IV. Tài sản dở dang dài hạn</v>
      </c>
      <c r="D53" s="47">
        <f t="array" ref="D53">IFERROR(INDEX(balance_sheet_annual[#All], SMALL(IF(LOWER(balance_sheet_annual[Company Name]) = LOWER(balance_sheet_annual_filter!$B$2), ROW(balance_sheet_annual[Company Name]) - ROW(INDEX(balance_sheet_annual[Company Name], 1, 1)) + 1), ROW(51:51)), COLUMN(C:C)), "")</f>
        <v>849305203447</v>
      </c>
      <c r="E53" s="11">
        <f t="array" ref="E53">IFERROR(INDEX(balance_sheet_annual[#All], SMALL(IF(LOWER(balance_sheet_annual[Company Name]) = LOWER(balance_sheet_annual_filter!$B$2), ROW(balance_sheet_annual[Company Name]) - ROW(INDEX(balance_sheet_annual[Company Name], 1, 1)) + 1), ROW(51:51)), COLUMN(D:D)), "")</f>
        <v>41846615423</v>
      </c>
      <c r="F53" s="11">
        <f t="array" ref="F53">IFERROR(INDEX(balance_sheet_annual[#All], SMALL(IF(LOWER(balance_sheet_annual[Company Name]) = LOWER(balance_sheet_annual_filter!$B$2), ROW(balance_sheet_annual[Company Name]) - ROW(INDEX(balance_sheet_annual[Company Name], 1, 1)) + 1), ROW(51:51)), COLUMN(E:E)), "")</f>
        <v>45742613523</v>
      </c>
      <c r="G53" s="11">
        <f t="array" ref="G53">IFERROR(INDEX(balance_sheet_annual[#All], SMALL(IF(LOWER(balance_sheet_annual[Company Name]) = LOWER(balance_sheet_annual_filter!$B$2), ROW(balance_sheet_annual[Company Name]) - ROW(INDEX(balance_sheet_annual[Company Name], 1, 1)) + 1), ROW(51:51)), COLUMN(F:F)), "")</f>
        <v>46066687597</v>
      </c>
    </row>
    <row r="54" spans="2:7" ht="15.5" x14ac:dyDescent="0.35">
      <c r="B54" s="2"/>
      <c r="C54" s="12" t="str">
        <f t="array" ref="C54">IFERROR(INDEX(balance_sheet_annual[#All], SMALL(IF(LOWER(balance_sheet_annual[Company Name]) = LOWER(balance_sheet_annual_filter!$B$2), ROW(balance_sheet_annual[Company Name]) - ROW(INDEX(balance_sheet_annual[Company Name], 1, 1)) + 1), ROW(52:52)), COLUMN(B:B)), "")</f>
        <v>1. Chi phí sản xuất, kinh doanh dở dang dài hạn</v>
      </c>
      <c r="D54" s="47">
        <f t="array" ref="D54">IFERROR(INDEX(balance_sheet_annual[#All], SMALL(IF(LOWER(balance_sheet_annual[Company Name]) = LOWER(balance_sheet_annual_filter!$B$2), ROW(balance_sheet_annual[Company Name]) - ROW(INDEX(balance_sheet_annual[Company Name], 1, 1)) + 1), ROW(52:52)), COLUMN(C:C)), "")</f>
        <v>0</v>
      </c>
      <c r="E54" s="11">
        <f t="array" ref="E54">IFERROR(INDEX(balance_sheet_annual[#All], SMALL(IF(LOWER(balance_sheet_annual[Company Name]) = LOWER(balance_sheet_annual_filter!$B$2), ROW(balance_sheet_annual[Company Name]) - ROW(INDEX(balance_sheet_annual[Company Name], 1, 1)) + 1), ROW(52:52)), COLUMN(D:D)), "")</f>
        <v>0</v>
      </c>
      <c r="F54" s="11">
        <f t="array" ref="F54">IFERROR(INDEX(balance_sheet_annual[#All], SMALL(IF(LOWER(balance_sheet_annual[Company Name]) = LOWER(balance_sheet_annual_filter!$B$2), ROW(balance_sheet_annual[Company Name]) - ROW(INDEX(balance_sheet_annual[Company Name], 1, 1)) + 1), ROW(52:52)), COLUMN(E:E)), "")</f>
        <v>0</v>
      </c>
      <c r="G54" s="11">
        <f t="array" ref="G54">IFERROR(INDEX(balance_sheet_annual[#All], SMALL(IF(LOWER(balance_sheet_annual[Company Name]) = LOWER(balance_sheet_annual_filter!$B$2), ROW(balance_sheet_annual[Company Name]) - ROW(INDEX(balance_sheet_annual[Company Name], 1, 1)) + 1), ROW(52:52)), COLUMN(F:F)), "")</f>
        <v>0</v>
      </c>
    </row>
    <row r="55" spans="2:7" ht="15.5" x14ac:dyDescent="0.35">
      <c r="B55" s="2"/>
      <c r="C55" s="12" t="str">
        <f t="array" ref="C55">IFERROR(INDEX(balance_sheet_annual[#All], SMALL(IF(LOWER(balance_sheet_annual[Company Name]) = LOWER(balance_sheet_annual_filter!$B$2), ROW(balance_sheet_annual[Company Name]) - ROW(INDEX(balance_sheet_annual[Company Name], 1, 1)) + 1), ROW(53:53)), COLUMN(B:B)), "")</f>
        <v>2. Chi phí xây dựng cơ bản dở dang</v>
      </c>
      <c r="D55" s="47">
        <f t="array" ref="D55">IFERROR(INDEX(balance_sheet_annual[#All], SMALL(IF(LOWER(balance_sheet_annual[Company Name]) = LOWER(balance_sheet_annual_filter!$B$2), ROW(balance_sheet_annual[Company Name]) - ROW(INDEX(balance_sheet_annual[Company Name], 1, 1)) + 1), ROW(53:53)), COLUMN(C:C)), "")</f>
        <v>849305203447</v>
      </c>
      <c r="E55" s="11">
        <f t="array" ref="E55">IFERROR(INDEX(balance_sheet_annual[#All], SMALL(IF(LOWER(balance_sheet_annual[Company Name]) = LOWER(balance_sheet_annual_filter!$B$2), ROW(balance_sheet_annual[Company Name]) - ROW(INDEX(balance_sheet_annual[Company Name], 1, 1)) + 1), ROW(53:53)), COLUMN(D:D)), "")</f>
        <v>41846615423</v>
      </c>
      <c r="F55" s="11">
        <f t="array" ref="F55">IFERROR(INDEX(balance_sheet_annual[#All], SMALL(IF(LOWER(balance_sheet_annual[Company Name]) = LOWER(balance_sheet_annual_filter!$B$2), ROW(balance_sheet_annual[Company Name]) - ROW(INDEX(balance_sheet_annual[Company Name], 1, 1)) + 1), ROW(53:53)), COLUMN(E:E)), "")</f>
        <v>45742613523</v>
      </c>
      <c r="G55" s="11">
        <f t="array" ref="G55">IFERROR(INDEX(balance_sheet_annual[#All], SMALL(IF(LOWER(balance_sheet_annual[Company Name]) = LOWER(balance_sheet_annual_filter!$B$2), ROW(balance_sheet_annual[Company Name]) - ROW(INDEX(balance_sheet_annual[Company Name], 1, 1)) + 1), ROW(53:53)), COLUMN(F:F)), "")</f>
        <v>46066687597</v>
      </c>
    </row>
    <row r="56" spans="2:7" ht="15.5" x14ac:dyDescent="0.35">
      <c r="B56" s="2"/>
      <c r="C56" s="12" t="str">
        <f t="array" ref="C56">IFERROR(INDEX(balance_sheet_annual[#All], SMALL(IF(LOWER(balance_sheet_annual[Company Name]) = LOWER(balance_sheet_annual_filter!$B$2), ROW(balance_sheet_annual[Company Name]) - ROW(INDEX(balance_sheet_annual[Company Name], 1, 1)) + 1), ROW(54:54)), COLUMN(B:B)), "")</f>
        <v>V. Đầu tư tài chính dài hạn</v>
      </c>
      <c r="D56" s="47">
        <f t="array" ref="D56">IFERROR(INDEX(balance_sheet_annual[#All], SMALL(IF(LOWER(balance_sheet_annual[Company Name]) = LOWER(balance_sheet_annual_filter!$B$2), ROW(balance_sheet_annual[Company Name]) - ROW(INDEX(balance_sheet_annual[Company Name], 1, 1)) + 1), ROW(54:54)), COLUMN(C:C)), "")</f>
        <v>116700000000</v>
      </c>
      <c r="E56" s="11">
        <f t="array" ref="E56">IFERROR(INDEX(balance_sheet_annual[#All], SMALL(IF(LOWER(balance_sheet_annual[Company Name]) = LOWER(balance_sheet_annual_filter!$B$2), ROW(balance_sheet_annual[Company Name]) - ROW(INDEX(balance_sheet_annual[Company Name], 1, 1)) + 1), ROW(54:54)), COLUMN(D:D)), "")</f>
        <v>116700000000</v>
      </c>
      <c r="F56" s="11">
        <f t="array" ref="F56">IFERROR(INDEX(balance_sheet_annual[#All], SMALL(IF(LOWER(balance_sheet_annual[Company Name]) = LOWER(balance_sheet_annual_filter!$B$2), ROW(balance_sheet_annual[Company Name]) - ROW(INDEX(balance_sheet_annual[Company Name], 1, 1)) + 1), ROW(54:54)), COLUMN(E:E)), "")</f>
        <v>107367506880</v>
      </c>
      <c r="G56" s="11">
        <f t="array" ref="G56">IFERROR(INDEX(balance_sheet_annual[#All], SMALL(IF(LOWER(balance_sheet_annual[Company Name]) = LOWER(balance_sheet_annual_filter!$B$2), ROW(balance_sheet_annual[Company Name]) - ROW(INDEX(balance_sheet_annual[Company Name], 1, 1)) + 1), ROW(54:54)), COLUMN(F:F)), "")</f>
        <v>99296899070</v>
      </c>
    </row>
    <row r="57" spans="2:7" ht="15.5" x14ac:dyDescent="0.35">
      <c r="B57" s="2"/>
      <c r="C57" s="12" t="str">
        <f t="array" ref="C57">IFERROR(INDEX(balance_sheet_annual[#All], SMALL(IF(LOWER(balance_sheet_annual[Company Name]) = LOWER(balance_sheet_annual_filter!$B$2), ROW(balance_sheet_annual[Company Name]) - ROW(INDEX(balance_sheet_annual[Company Name], 1, 1)) + 1), ROW(55:55)), COLUMN(B:B)), "")</f>
        <v>1. Đầu tư vào công ty con</v>
      </c>
      <c r="D57" s="47">
        <f t="array" ref="D57">IFERROR(INDEX(balance_sheet_annual[#All], SMALL(IF(LOWER(balance_sheet_annual[Company Name]) = LOWER(balance_sheet_annual_filter!$B$2), ROW(balance_sheet_annual[Company Name]) - ROW(INDEX(balance_sheet_annual[Company Name], 1, 1)) + 1), ROW(55:55)), COLUMN(C:C)), "")</f>
        <v>0</v>
      </c>
      <c r="E57" s="11">
        <f t="array" ref="E57">IFERROR(INDEX(balance_sheet_annual[#All], SMALL(IF(LOWER(balance_sheet_annual[Company Name]) = LOWER(balance_sheet_annual_filter!$B$2), ROW(balance_sheet_annual[Company Name]) - ROW(INDEX(balance_sheet_annual[Company Name], 1, 1)) + 1), ROW(55:55)), COLUMN(D:D)), "")</f>
        <v>0</v>
      </c>
      <c r="F57" s="11">
        <f t="array" ref="F57">IFERROR(INDEX(balance_sheet_annual[#All], SMALL(IF(LOWER(balance_sheet_annual[Company Name]) = LOWER(balance_sheet_annual_filter!$B$2), ROW(balance_sheet_annual[Company Name]) - ROW(INDEX(balance_sheet_annual[Company Name], 1, 1)) + 1), ROW(55:55)), COLUMN(E:E)), "")</f>
        <v>0</v>
      </c>
      <c r="G57" s="11">
        <f t="array" ref="G57">IFERROR(INDEX(balance_sheet_annual[#All], SMALL(IF(LOWER(balance_sheet_annual[Company Name]) = LOWER(balance_sheet_annual_filter!$B$2), ROW(balance_sheet_annual[Company Name]) - ROW(INDEX(balance_sheet_annual[Company Name], 1, 1)) + 1), ROW(55:55)), COLUMN(F:F)), "")</f>
        <v>0</v>
      </c>
    </row>
    <row r="58" spans="2:7" ht="15.5" x14ac:dyDescent="0.35">
      <c r="B58" s="2"/>
      <c r="C58" s="12" t="str">
        <f t="array" ref="C58">IFERROR(INDEX(balance_sheet_annual[#All], SMALL(IF(LOWER(balance_sheet_annual[Company Name]) = LOWER(balance_sheet_annual_filter!$B$2), ROW(balance_sheet_annual[Company Name]) - ROW(INDEX(balance_sheet_annual[Company Name], 1, 1)) + 1), ROW(56:56)), COLUMN(B:B)), "")</f>
        <v>2. Đầu tư vào công ty liên kết, liên doanh</v>
      </c>
      <c r="D58" s="47">
        <f t="array" ref="D58">IFERROR(INDEX(balance_sheet_annual[#All], SMALL(IF(LOWER(balance_sheet_annual[Company Name]) = LOWER(balance_sheet_annual_filter!$B$2), ROW(balance_sheet_annual[Company Name]) - ROW(INDEX(balance_sheet_annual[Company Name], 1, 1)) + 1), ROW(56:56)), COLUMN(C:C)), "")</f>
        <v>115500000000</v>
      </c>
      <c r="E58" s="11">
        <f t="array" ref="E58">IFERROR(INDEX(balance_sheet_annual[#All], SMALL(IF(LOWER(balance_sheet_annual[Company Name]) = LOWER(balance_sheet_annual_filter!$B$2), ROW(balance_sheet_annual[Company Name]) - ROW(INDEX(balance_sheet_annual[Company Name], 1, 1)) + 1), ROW(56:56)), COLUMN(D:D)), "")</f>
        <v>115500000000</v>
      </c>
      <c r="F58" s="11">
        <f t="array" ref="F58">IFERROR(INDEX(balance_sheet_annual[#All], SMALL(IF(LOWER(balance_sheet_annual[Company Name]) = LOWER(balance_sheet_annual_filter!$B$2), ROW(balance_sheet_annual[Company Name]) - ROW(INDEX(balance_sheet_annual[Company Name], 1, 1)) + 1), ROW(56:56)), COLUMN(E:E)), "")</f>
        <v>115500000000</v>
      </c>
      <c r="G58" s="11">
        <f t="array" ref="G58">IFERROR(INDEX(balance_sheet_annual[#All], SMALL(IF(LOWER(balance_sheet_annual[Company Name]) = LOWER(balance_sheet_annual_filter!$B$2), ROW(balance_sheet_annual[Company Name]) - ROW(INDEX(balance_sheet_annual[Company Name], 1, 1)) + 1), ROW(56:56)), COLUMN(F:F)), "")</f>
        <v>115500000000</v>
      </c>
    </row>
    <row r="59" spans="2:7" ht="15.5" x14ac:dyDescent="0.35">
      <c r="B59" s="2"/>
      <c r="C59" s="12" t="str">
        <f t="array" ref="C59">IFERROR(INDEX(balance_sheet_annual[#All], SMALL(IF(LOWER(balance_sheet_annual[Company Name]) = LOWER(balance_sheet_annual_filter!$B$2), ROW(balance_sheet_annual[Company Name]) - ROW(INDEX(balance_sheet_annual[Company Name], 1, 1)) + 1), ROW(57:57)), COLUMN(B:B)), "")</f>
        <v>3. Đầu tư góp vốn vào đơn vị khác</v>
      </c>
      <c r="D59" s="47">
        <f t="array" ref="D59">IFERROR(INDEX(balance_sheet_annual[#All], SMALL(IF(LOWER(balance_sheet_annual[Company Name]) = LOWER(balance_sheet_annual_filter!$B$2), ROW(balance_sheet_annual[Company Name]) - ROW(INDEX(balance_sheet_annual[Company Name], 1, 1)) + 1), ROW(57:57)), COLUMN(C:C)), "")</f>
        <v>0</v>
      </c>
      <c r="E59" s="11">
        <f t="array" ref="E59">IFERROR(INDEX(balance_sheet_annual[#All], SMALL(IF(LOWER(balance_sheet_annual[Company Name]) = LOWER(balance_sheet_annual_filter!$B$2), ROW(balance_sheet_annual[Company Name]) - ROW(INDEX(balance_sheet_annual[Company Name], 1, 1)) + 1), ROW(57:57)), COLUMN(D:D)), "")</f>
        <v>0</v>
      </c>
      <c r="F59" s="11">
        <f t="array" ref="F59">IFERROR(INDEX(balance_sheet_annual[#All], SMALL(IF(LOWER(balance_sheet_annual[Company Name]) = LOWER(balance_sheet_annual_filter!$B$2), ROW(balance_sheet_annual[Company Name]) - ROW(INDEX(balance_sheet_annual[Company Name], 1, 1)) + 1), ROW(57:57)), COLUMN(E:E)), "")</f>
        <v>0</v>
      </c>
      <c r="G59" s="11">
        <f t="array" ref="G59">IFERROR(INDEX(balance_sheet_annual[#All], SMALL(IF(LOWER(balance_sheet_annual[Company Name]) = LOWER(balance_sheet_annual_filter!$B$2), ROW(balance_sheet_annual[Company Name]) - ROW(INDEX(balance_sheet_annual[Company Name], 1, 1)) + 1), ROW(57:57)), COLUMN(F:F)), "")</f>
        <v>0</v>
      </c>
    </row>
    <row r="60" spans="2:7" ht="15.5" x14ac:dyDescent="0.35">
      <c r="B60" s="2"/>
      <c r="C60" s="12" t="str">
        <f t="array" ref="C60">IFERROR(INDEX(balance_sheet_annual[#All], SMALL(IF(LOWER(balance_sheet_annual[Company Name]) = LOWER(balance_sheet_annual_filter!$B$2), ROW(balance_sheet_annual[Company Name]) - ROW(INDEX(balance_sheet_annual[Company Name], 1, 1)) + 1), ROW(58:58)), COLUMN(B:B)), "")</f>
        <v>4. Dự phòng đầu tư tài chính dài hạn</v>
      </c>
      <c r="D60" s="47">
        <f t="array" ref="D60">IFERROR(INDEX(balance_sheet_annual[#All], SMALL(IF(LOWER(balance_sheet_annual[Company Name]) = LOWER(balance_sheet_annual_filter!$B$2), ROW(balance_sheet_annual[Company Name]) - ROW(INDEX(balance_sheet_annual[Company Name], 1, 1)) + 1), ROW(58:58)), COLUMN(C:C)), "")</f>
        <v>0</v>
      </c>
      <c r="E60" s="11">
        <f t="array" ref="E60">IFERROR(INDEX(balance_sheet_annual[#All], SMALL(IF(LOWER(balance_sheet_annual[Company Name]) = LOWER(balance_sheet_annual_filter!$B$2), ROW(balance_sheet_annual[Company Name]) - ROW(INDEX(balance_sheet_annual[Company Name], 1, 1)) + 1), ROW(58:58)), COLUMN(D:D)), "")</f>
        <v>0</v>
      </c>
      <c r="F60" s="11">
        <f t="array" ref="F60">IFERROR(INDEX(balance_sheet_annual[#All], SMALL(IF(LOWER(balance_sheet_annual[Company Name]) = LOWER(balance_sheet_annual_filter!$B$2), ROW(balance_sheet_annual[Company Name]) - ROW(INDEX(balance_sheet_annual[Company Name], 1, 1)) + 1), ROW(58:58)), COLUMN(E:E)), "")</f>
        <v>-9332493120</v>
      </c>
      <c r="G60" s="11">
        <f t="array" ref="G60">IFERROR(INDEX(balance_sheet_annual[#All], SMALL(IF(LOWER(balance_sheet_annual[Company Name]) = LOWER(balance_sheet_annual_filter!$B$2), ROW(balance_sheet_annual[Company Name]) - ROW(INDEX(balance_sheet_annual[Company Name], 1, 1)) + 1), ROW(58:58)), COLUMN(F:F)), "")</f>
        <v>-17203100930</v>
      </c>
    </row>
    <row r="61" spans="2:7" ht="15.5" x14ac:dyDescent="0.35">
      <c r="B61" s="2"/>
      <c r="C61" s="12" t="str">
        <f t="array" ref="C61">IFERROR(INDEX(balance_sheet_annual[#All], SMALL(IF(LOWER(balance_sheet_annual[Company Name]) = LOWER(balance_sheet_annual_filter!$B$2), ROW(balance_sheet_annual[Company Name]) - ROW(INDEX(balance_sheet_annual[Company Name], 1, 1)) + 1), ROW(59:59)), COLUMN(B:B)), "")</f>
        <v>5. Đầu tư nắm giữ đến ngày đáo hạn</v>
      </c>
      <c r="D61" s="47">
        <f t="array" ref="D61">IFERROR(INDEX(balance_sheet_annual[#All], SMALL(IF(LOWER(balance_sheet_annual[Company Name]) = LOWER(balance_sheet_annual_filter!$B$2), ROW(balance_sheet_annual[Company Name]) - ROW(INDEX(balance_sheet_annual[Company Name], 1, 1)) + 1), ROW(59:59)), COLUMN(C:C)), "")</f>
        <v>1200000000</v>
      </c>
      <c r="E61" s="11">
        <f t="array" ref="E61">IFERROR(INDEX(balance_sheet_annual[#All], SMALL(IF(LOWER(balance_sheet_annual[Company Name]) = LOWER(balance_sheet_annual_filter!$B$2), ROW(balance_sheet_annual[Company Name]) - ROW(INDEX(balance_sheet_annual[Company Name], 1, 1)) + 1), ROW(59:59)), COLUMN(D:D)), "")</f>
        <v>1200000000</v>
      </c>
      <c r="F61" s="11">
        <f t="array" ref="F61">IFERROR(INDEX(balance_sheet_annual[#All], SMALL(IF(LOWER(balance_sheet_annual[Company Name]) = LOWER(balance_sheet_annual_filter!$B$2), ROW(balance_sheet_annual[Company Name]) - ROW(INDEX(balance_sheet_annual[Company Name], 1, 1)) + 1), ROW(59:59)), COLUMN(E:E)), "")</f>
        <v>1200000000</v>
      </c>
      <c r="G61" s="11">
        <f t="array" ref="G61">IFERROR(INDEX(balance_sheet_annual[#All], SMALL(IF(LOWER(balance_sheet_annual[Company Name]) = LOWER(balance_sheet_annual_filter!$B$2), ROW(balance_sheet_annual[Company Name]) - ROW(INDEX(balance_sheet_annual[Company Name], 1, 1)) + 1), ROW(59:59)), COLUMN(F:F)), "")</f>
        <v>1000000000</v>
      </c>
    </row>
    <row r="62" spans="2:7" ht="15.5" x14ac:dyDescent="0.35">
      <c r="B62" s="2"/>
      <c r="C62" s="12" t="str">
        <f t="array" ref="C62">IFERROR(INDEX(balance_sheet_annual[#All], SMALL(IF(LOWER(balance_sheet_annual[Company Name]) = LOWER(balance_sheet_annual_filter!$B$2), ROW(balance_sheet_annual[Company Name]) - ROW(INDEX(balance_sheet_annual[Company Name], 1, 1)) + 1), ROW(60:60)), COLUMN(B:B)), "")</f>
        <v>VI. Tài sản dài hạn khác</v>
      </c>
      <c r="D62" s="47">
        <f t="array" ref="D62">IFERROR(INDEX(balance_sheet_annual[#All], SMALL(IF(LOWER(balance_sheet_annual[Company Name]) = LOWER(balance_sheet_annual_filter!$B$2), ROW(balance_sheet_annual[Company Name]) - ROW(INDEX(balance_sheet_annual[Company Name], 1, 1)) + 1), ROW(60:60)), COLUMN(C:C)), "")</f>
        <v>0</v>
      </c>
      <c r="E62" s="11">
        <f t="array" ref="E62">IFERROR(INDEX(balance_sheet_annual[#All], SMALL(IF(LOWER(balance_sheet_annual[Company Name]) = LOWER(balance_sheet_annual_filter!$B$2), ROW(balance_sheet_annual[Company Name]) - ROW(INDEX(balance_sheet_annual[Company Name], 1, 1)) + 1), ROW(60:60)), COLUMN(D:D)), "")</f>
        <v>139543358</v>
      </c>
      <c r="F62" s="11">
        <f t="array" ref="F62">IFERROR(INDEX(balance_sheet_annual[#All], SMALL(IF(LOWER(balance_sheet_annual[Company Name]) = LOWER(balance_sheet_annual_filter!$B$2), ROW(balance_sheet_annual[Company Name]) - ROW(INDEX(balance_sheet_annual[Company Name], 1, 1)) + 1), ROW(60:60)), COLUMN(E:E)), "")</f>
        <v>158191520</v>
      </c>
      <c r="G62" s="11">
        <f t="array" ref="G62">IFERROR(INDEX(balance_sheet_annual[#All], SMALL(IF(LOWER(balance_sheet_annual[Company Name]) = LOWER(balance_sheet_annual_filter!$B$2), ROW(balance_sheet_annual[Company Name]) - ROW(INDEX(balance_sheet_annual[Company Name], 1, 1)) + 1), ROW(60:60)), COLUMN(F:F)), "")</f>
        <v>76650645</v>
      </c>
    </row>
    <row r="63" spans="2:7" ht="15.5" x14ac:dyDescent="0.35">
      <c r="B63" s="2"/>
      <c r="C63" s="12" t="str">
        <f t="array" ref="C63">IFERROR(INDEX(balance_sheet_annual[#All], SMALL(IF(LOWER(balance_sheet_annual[Company Name]) = LOWER(balance_sheet_annual_filter!$B$2), ROW(balance_sheet_annual[Company Name]) - ROW(INDEX(balance_sheet_annual[Company Name], 1, 1)) + 1), ROW(61:61)), COLUMN(B:B)), "")</f>
        <v>1. Chi phí trả trước dài hạn</v>
      </c>
      <c r="D63" s="47">
        <f t="array" ref="D63">IFERROR(INDEX(balance_sheet_annual[#All], SMALL(IF(LOWER(balance_sheet_annual[Company Name]) = LOWER(balance_sheet_annual_filter!$B$2), ROW(balance_sheet_annual[Company Name]) - ROW(INDEX(balance_sheet_annual[Company Name], 1, 1)) + 1), ROW(61:61)), COLUMN(C:C)), "")</f>
        <v>0</v>
      </c>
      <c r="E63" s="11">
        <f t="array" ref="E63">IFERROR(INDEX(balance_sheet_annual[#All], SMALL(IF(LOWER(balance_sheet_annual[Company Name]) = LOWER(balance_sheet_annual_filter!$B$2), ROW(balance_sheet_annual[Company Name]) - ROW(INDEX(balance_sheet_annual[Company Name], 1, 1)) + 1), ROW(61:61)), COLUMN(D:D)), "")</f>
        <v>139543358</v>
      </c>
      <c r="F63" s="11">
        <f t="array" ref="F63">IFERROR(INDEX(balance_sheet_annual[#All], SMALL(IF(LOWER(balance_sheet_annual[Company Name]) = LOWER(balance_sheet_annual_filter!$B$2), ROW(balance_sheet_annual[Company Name]) - ROW(INDEX(balance_sheet_annual[Company Name], 1, 1)) + 1), ROW(61:61)), COLUMN(E:E)), "")</f>
        <v>158191520</v>
      </c>
      <c r="G63" s="11">
        <f t="array" ref="G63">IFERROR(INDEX(balance_sheet_annual[#All], SMALL(IF(LOWER(balance_sheet_annual[Company Name]) = LOWER(balance_sheet_annual_filter!$B$2), ROW(balance_sheet_annual[Company Name]) - ROW(INDEX(balance_sheet_annual[Company Name], 1, 1)) + 1), ROW(61:61)), COLUMN(F:F)), "")</f>
        <v>76650645</v>
      </c>
    </row>
    <row r="64" spans="2:7" ht="15.5" x14ac:dyDescent="0.35">
      <c r="B64" s="2"/>
      <c r="C64" s="12" t="str">
        <f t="array" ref="C64">IFERROR(INDEX(balance_sheet_annual[#All], SMALL(IF(LOWER(balance_sheet_annual[Company Name]) = LOWER(balance_sheet_annual_filter!$B$2), ROW(balance_sheet_annual[Company Name]) - ROW(INDEX(balance_sheet_annual[Company Name], 1, 1)) + 1), ROW(62:62)), COLUMN(B:B)), "")</f>
        <v>2. Tài sản thuế thu nhập hoãn lại</v>
      </c>
      <c r="D64" s="47">
        <f t="array" ref="D64">IFERROR(INDEX(balance_sheet_annual[#All], SMALL(IF(LOWER(balance_sheet_annual[Company Name]) = LOWER(balance_sheet_annual_filter!$B$2), ROW(balance_sheet_annual[Company Name]) - ROW(INDEX(balance_sheet_annual[Company Name], 1, 1)) + 1), ROW(62:62)), COLUMN(C:C)), "")</f>
        <v>0</v>
      </c>
      <c r="E64" s="11">
        <f t="array" ref="E64">IFERROR(INDEX(balance_sheet_annual[#All], SMALL(IF(LOWER(balance_sheet_annual[Company Name]) = LOWER(balance_sheet_annual_filter!$B$2), ROW(balance_sheet_annual[Company Name]) - ROW(INDEX(balance_sheet_annual[Company Name], 1, 1)) + 1), ROW(62:62)), COLUMN(D:D)), "")</f>
        <v>0</v>
      </c>
      <c r="F64" s="11">
        <f t="array" ref="F64">IFERROR(INDEX(balance_sheet_annual[#All], SMALL(IF(LOWER(balance_sheet_annual[Company Name]) = LOWER(balance_sheet_annual_filter!$B$2), ROW(balance_sheet_annual[Company Name]) - ROW(INDEX(balance_sheet_annual[Company Name], 1, 1)) + 1), ROW(62:62)), COLUMN(E:E)), "")</f>
        <v>0</v>
      </c>
      <c r="G64" s="11">
        <f t="array" ref="G64">IFERROR(INDEX(balance_sheet_annual[#All], SMALL(IF(LOWER(balance_sheet_annual[Company Name]) = LOWER(balance_sheet_annual_filter!$B$2), ROW(balance_sheet_annual[Company Name]) - ROW(INDEX(balance_sheet_annual[Company Name], 1, 1)) + 1), ROW(62:62)), COLUMN(F:F)), "")</f>
        <v>0</v>
      </c>
    </row>
    <row r="65" spans="2:7" ht="15.5" x14ac:dyDescent="0.35">
      <c r="B65" s="2"/>
      <c r="C65" s="12" t="str">
        <f t="array" ref="C65">IFERROR(INDEX(balance_sheet_annual[#All], SMALL(IF(LOWER(balance_sheet_annual[Company Name]) = LOWER(balance_sheet_annual_filter!$B$2), ROW(balance_sheet_annual[Company Name]) - ROW(INDEX(balance_sheet_annual[Company Name], 1, 1)) + 1), ROW(63:63)), COLUMN(B:B)), "")</f>
        <v>3. Thiết bị, vật tư, phụ tùng thay thế dài hạn</v>
      </c>
      <c r="D65" s="47">
        <f t="array" ref="D65">IFERROR(INDEX(balance_sheet_annual[#All], SMALL(IF(LOWER(balance_sheet_annual[Company Name]) = LOWER(balance_sheet_annual_filter!$B$2), ROW(balance_sheet_annual[Company Name]) - ROW(INDEX(balance_sheet_annual[Company Name], 1, 1)) + 1), ROW(63:63)), COLUMN(C:C)), "")</f>
        <v>0</v>
      </c>
      <c r="E65" s="11">
        <f t="array" ref="E65">IFERROR(INDEX(balance_sheet_annual[#All], SMALL(IF(LOWER(balance_sheet_annual[Company Name]) = LOWER(balance_sheet_annual_filter!$B$2), ROW(balance_sheet_annual[Company Name]) - ROW(INDEX(balance_sheet_annual[Company Name], 1, 1)) + 1), ROW(63:63)), COLUMN(D:D)), "")</f>
        <v>0</v>
      </c>
      <c r="F65" s="11">
        <f t="array" ref="F65">IFERROR(INDEX(balance_sheet_annual[#All], SMALL(IF(LOWER(balance_sheet_annual[Company Name]) = LOWER(balance_sheet_annual_filter!$B$2), ROW(balance_sheet_annual[Company Name]) - ROW(INDEX(balance_sheet_annual[Company Name], 1, 1)) + 1), ROW(63:63)), COLUMN(E:E)), "")</f>
        <v>0</v>
      </c>
      <c r="G65" s="11">
        <f t="array" ref="G65">IFERROR(INDEX(balance_sheet_annual[#All], SMALL(IF(LOWER(balance_sheet_annual[Company Name]) = LOWER(balance_sheet_annual_filter!$B$2), ROW(balance_sheet_annual[Company Name]) - ROW(INDEX(balance_sheet_annual[Company Name], 1, 1)) + 1), ROW(63:63)), COLUMN(F:F)), "")</f>
        <v>0</v>
      </c>
    </row>
    <row r="66" spans="2:7" ht="15.5" x14ac:dyDescent="0.35">
      <c r="B66" s="2"/>
      <c r="C66" s="12" t="str">
        <f t="array" ref="C66">IFERROR(INDEX(balance_sheet_annual[#All], SMALL(IF(LOWER(balance_sheet_annual[Company Name]) = LOWER(balance_sheet_annual_filter!$B$2), ROW(balance_sheet_annual[Company Name]) - ROW(INDEX(balance_sheet_annual[Company Name], 1, 1)) + 1), ROW(64:64)), COLUMN(B:B)), "")</f>
        <v>4. Tài sản dài hạn khác</v>
      </c>
      <c r="D66" s="47">
        <f t="array" ref="D66">IFERROR(INDEX(balance_sheet_annual[#All], SMALL(IF(LOWER(balance_sheet_annual[Company Name]) = LOWER(balance_sheet_annual_filter!$B$2), ROW(balance_sheet_annual[Company Name]) - ROW(INDEX(balance_sheet_annual[Company Name], 1, 1)) + 1), ROW(64:64)), COLUMN(C:C)), "")</f>
        <v>0</v>
      </c>
      <c r="E66" s="11">
        <f t="array" ref="E66">IFERROR(INDEX(balance_sheet_annual[#All], SMALL(IF(LOWER(balance_sheet_annual[Company Name]) = LOWER(balance_sheet_annual_filter!$B$2), ROW(balance_sheet_annual[Company Name]) - ROW(INDEX(balance_sheet_annual[Company Name], 1, 1)) + 1), ROW(64:64)), COLUMN(D:D)), "")</f>
        <v>0</v>
      </c>
      <c r="F66" s="11">
        <f t="array" ref="F66">IFERROR(INDEX(balance_sheet_annual[#All], SMALL(IF(LOWER(balance_sheet_annual[Company Name]) = LOWER(balance_sheet_annual_filter!$B$2), ROW(balance_sheet_annual[Company Name]) - ROW(INDEX(balance_sheet_annual[Company Name], 1, 1)) + 1), ROW(64:64)), COLUMN(E:E)), "")</f>
        <v>0</v>
      </c>
      <c r="G66" s="11">
        <f t="array" ref="G66">IFERROR(INDEX(balance_sheet_annual[#All], SMALL(IF(LOWER(balance_sheet_annual[Company Name]) = LOWER(balance_sheet_annual_filter!$B$2), ROW(balance_sheet_annual[Company Name]) - ROW(INDEX(balance_sheet_annual[Company Name], 1, 1)) + 1), ROW(64:64)), COLUMN(F:F)), "")</f>
        <v>0</v>
      </c>
    </row>
    <row r="67" spans="2:7" ht="15.5" x14ac:dyDescent="0.35">
      <c r="B67" s="2"/>
      <c r="C67" s="12" t="str">
        <f t="array" ref="C67">IFERROR(INDEX(balance_sheet_annual[#All], SMALL(IF(LOWER(balance_sheet_annual[Company Name]) = LOWER(balance_sheet_annual_filter!$B$2), ROW(balance_sheet_annual[Company Name]) - ROW(INDEX(balance_sheet_annual[Company Name], 1, 1)) + 1), ROW(65:65)), COLUMN(B:B)), "")</f>
        <v>5. Lợi thế thương mại</v>
      </c>
      <c r="D67" s="47">
        <f t="array" ref="D67">IFERROR(INDEX(balance_sheet_annual[#All], SMALL(IF(LOWER(balance_sheet_annual[Company Name]) = LOWER(balance_sheet_annual_filter!$B$2), ROW(balance_sheet_annual[Company Name]) - ROW(INDEX(balance_sheet_annual[Company Name], 1, 1)) + 1), ROW(65:65)), COLUMN(C:C)), "")</f>
        <v>0</v>
      </c>
      <c r="E67" s="11">
        <f t="array" ref="E67">IFERROR(INDEX(balance_sheet_annual[#All], SMALL(IF(LOWER(balance_sheet_annual[Company Name]) = LOWER(balance_sheet_annual_filter!$B$2), ROW(balance_sheet_annual[Company Name]) - ROW(INDEX(balance_sheet_annual[Company Name], 1, 1)) + 1), ROW(65:65)), COLUMN(D:D)), "")</f>
        <v>0</v>
      </c>
      <c r="F67" s="11">
        <f t="array" ref="F67">IFERROR(INDEX(balance_sheet_annual[#All], SMALL(IF(LOWER(balance_sheet_annual[Company Name]) = LOWER(balance_sheet_annual_filter!$B$2), ROW(balance_sheet_annual[Company Name]) - ROW(INDEX(balance_sheet_annual[Company Name], 1, 1)) + 1), ROW(65:65)), COLUMN(E:E)), "")</f>
        <v>0</v>
      </c>
      <c r="G67" s="11">
        <f t="array" ref="G67">IFERROR(INDEX(balance_sheet_annual[#All], SMALL(IF(LOWER(balance_sheet_annual[Company Name]) = LOWER(balance_sheet_annual_filter!$B$2), ROW(balance_sheet_annual[Company Name]) - ROW(INDEX(balance_sheet_annual[Company Name], 1, 1)) + 1), ROW(65:65)), COLUMN(F:F)), "")</f>
        <v>0</v>
      </c>
    </row>
    <row r="68" spans="2:7" ht="15.5" x14ac:dyDescent="0.35">
      <c r="B68" s="2"/>
      <c r="C68" s="12" t="str">
        <f t="array" ref="C68">IFERROR(INDEX(balance_sheet_annual[#All], SMALL(IF(LOWER(balance_sheet_annual[Company Name]) = LOWER(balance_sheet_annual_filter!$B$2), ROW(balance_sheet_annual[Company Name]) - ROW(INDEX(balance_sheet_annual[Company Name], 1, 1)) + 1), ROW(66:66)), COLUMN(B:B)), "")</f>
        <v>TỔNG CỘNG TÀI SẢN</v>
      </c>
      <c r="D68" s="11">
        <f>SUM(D5,D31)</f>
        <v>3757450373418</v>
      </c>
      <c r="E68" s="11">
        <f>SUM(E5,E31)</f>
        <v>4753622107818</v>
      </c>
      <c r="F68" s="11">
        <f t="shared" ref="F68:G68" si="2">SUM(F5,F31)</f>
        <v>4596623241081</v>
      </c>
      <c r="G68" s="11">
        <f t="shared" si="2"/>
        <v>4376536398281</v>
      </c>
    </row>
    <row r="69" spans="2:7" ht="15.5" x14ac:dyDescent="0.35">
      <c r="B69" s="2"/>
      <c r="C69" s="12" t="str">
        <f t="array" ref="C69">IFERROR(INDEX(balance_sheet_annual[#All], SMALL(IF(LOWER(balance_sheet_annual[Company Name]) = LOWER(balance_sheet_annual_filter!$B$2), ROW(balance_sheet_annual[Company Name]) - ROW(INDEX(balance_sheet_annual[Company Name], 1, 1)) + 1), ROW(67:67)), COLUMN(B:B)), "")</f>
        <v>NGUỒN VỐN</v>
      </c>
      <c r="D69" s="47">
        <f t="array" ref="D69">IFERROR(INDEX(balance_sheet_annual[#All], SMALL(IF(LOWER(balance_sheet_annual[Company Name]) = LOWER(balance_sheet_annual_filter!$B$2), ROW(balance_sheet_annual[Company Name]) - ROW(INDEX(balance_sheet_annual[Company Name], 1, 1)) + 1), ROW(67:67)), COLUMN(C:C)), "")</f>
        <v>0</v>
      </c>
      <c r="E69" s="11">
        <f t="array" ref="E69">IFERROR(INDEX(balance_sheet_annual[#All], SMALL(IF(LOWER(balance_sheet_annual[Company Name]) = LOWER(balance_sheet_annual_filter!$B$2), ROW(balance_sheet_annual[Company Name]) - ROW(INDEX(balance_sheet_annual[Company Name], 1, 1)) + 1), ROW(67:67)), COLUMN(D:D)), "")</f>
        <v>0</v>
      </c>
      <c r="F69" s="11">
        <f t="array" ref="F69">IFERROR(INDEX(balance_sheet_annual[#All], SMALL(IF(LOWER(balance_sheet_annual[Company Name]) = LOWER(balance_sheet_annual_filter!$B$2), ROW(balance_sheet_annual[Company Name]) - ROW(INDEX(balance_sheet_annual[Company Name], 1, 1)) + 1), ROW(67:67)), COLUMN(E:E)), "")</f>
        <v>0</v>
      </c>
      <c r="G69" s="11">
        <f t="array" ref="G69">IFERROR(INDEX(balance_sheet_annual[#All], SMALL(IF(LOWER(balance_sheet_annual[Company Name]) = LOWER(balance_sheet_annual_filter!$B$2), ROW(balance_sheet_annual[Company Name]) - ROW(INDEX(balance_sheet_annual[Company Name], 1, 1)) + 1), ROW(67:67)), COLUMN(F:F)), "")</f>
        <v>0</v>
      </c>
    </row>
    <row r="70" spans="2:7" ht="15.5" x14ac:dyDescent="0.35">
      <c r="B70" s="2"/>
      <c r="C70" s="12" t="str">
        <f t="array" ref="C70">IFERROR(INDEX(balance_sheet_annual[#All], SMALL(IF(LOWER(balance_sheet_annual[Company Name]) = LOWER(balance_sheet_annual_filter!$B$2), ROW(balance_sheet_annual[Company Name]) - ROW(INDEX(balance_sheet_annual[Company Name], 1, 1)) + 1), ROW(68:68)), COLUMN(B:B)), "")</f>
        <v>C. NỢ PHẢI TRẢ</v>
      </c>
      <c r="D70" s="47">
        <f t="array" ref="D70">IFERROR(INDEX(balance_sheet_annual[#All], SMALL(IF(LOWER(balance_sheet_annual[Company Name]) = LOWER(balance_sheet_annual_filter!$B$2), ROW(balance_sheet_annual[Company Name]) - ROW(INDEX(balance_sheet_annual[Company Name], 1, 1)) + 1), ROW(68:68)), COLUMN(C:C)), "")</f>
        <v>3070762127471</v>
      </c>
      <c r="E70" s="11">
        <f t="array" ref="E70">IFERROR(INDEX(balance_sheet_annual[#All], SMALL(IF(LOWER(balance_sheet_annual[Company Name]) = LOWER(balance_sheet_annual_filter!$B$2), ROW(balance_sheet_annual[Company Name]) - ROW(INDEX(balance_sheet_annual[Company Name], 1, 1)) + 1), ROW(68:68)), COLUMN(D:D)), "")</f>
        <v>2993654974270</v>
      </c>
      <c r="F70" s="11">
        <f t="array" ref="F70">IFERROR(INDEX(balance_sheet_annual[#All], SMALL(IF(LOWER(balance_sheet_annual[Company Name]) = LOWER(balance_sheet_annual_filter!$B$2), ROW(balance_sheet_annual[Company Name]) - ROW(INDEX(balance_sheet_annual[Company Name], 1, 1)) + 1), ROW(68:68)), COLUMN(E:E)), "")</f>
        <v>2681227669549</v>
      </c>
      <c r="G70" s="11">
        <f t="array" ref="G70">IFERROR(INDEX(balance_sheet_annual[#All], SMALL(IF(LOWER(balance_sheet_annual[Company Name]) = LOWER(balance_sheet_annual_filter!$B$2), ROW(balance_sheet_annual[Company Name]) - ROW(INDEX(balance_sheet_annual[Company Name], 1, 1)) + 1), ROW(68:68)), COLUMN(F:F)), "")</f>
        <v>2394946335835</v>
      </c>
    </row>
    <row r="71" spans="2:7" ht="15.5" x14ac:dyDescent="0.35">
      <c r="B71" s="2"/>
      <c r="C71" s="12" t="str">
        <f t="array" ref="C71">IFERROR(INDEX(balance_sheet_annual[#All], SMALL(IF(LOWER(balance_sheet_annual[Company Name]) = LOWER(balance_sheet_annual_filter!$B$2), ROW(balance_sheet_annual[Company Name]) - ROW(INDEX(balance_sheet_annual[Company Name], 1, 1)) + 1), ROW(69:69)), COLUMN(B:B)), "")</f>
        <v>I. Nợ ngắn hạn</v>
      </c>
      <c r="D71" s="47">
        <f t="array" ref="D71">IFERROR(INDEX(balance_sheet_annual[#All], SMALL(IF(LOWER(balance_sheet_annual[Company Name]) = LOWER(balance_sheet_annual_filter!$B$2), ROW(balance_sheet_annual[Company Name]) - ROW(INDEX(balance_sheet_annual[Company Name], 1, 1)) + 1), ROW(69:69)), COLUMN(C:C)), "")</f>
        <v>410533567409</v>
      </c>
      <c r="E71" s="11">
        <f t="array" ref="E71">IFERROR(INDEX(balance_sheet_annual[#All], SMALL(IF(LOWER(balance_sheet_annual[Company Name]) = LOWER(balance_sheet_annual_filter!$B$2), ROW(balance_sheet_annual[Company Name]) - ROW(INDEX(balance_sheet_annual[Company Name], 1, 1)) + 1), ROW(69:69)), COLUMN(D:D)), "")</f>
        <v>426140968558</v>
      </c>
      <c r="F71" s="11">
        <f t="array" ref="F71">IFERROR(INDEX(balance_sheet_annual[#All], SMALL(IF(LOWER(balance_sheet_annual[Company Name]) = LOWER(balance_sheet_annual_filter!$B$2), ROW(balance_sheet_annual[Company Name]) - ROW(INDEX(balance_sheet_annual[Company Name], 1, 1)) + 1), ROW(69:69)), COLUMN(E:E)), "")</f>
        <v>404805731851</v>
      </c>
      <c r="G71" s="11">
        <f t="array" ref="G71">IFERROR(INDEX(balance_sheet_annual[#All], SMALL(IF(LOWER(balance_sheet_annual[Company Name]) = LOWER(balance_sheet_annual_filter!$B$2), ROW(balance_sheet_annual[Company Name]) - ROW(INDEX(balance_sheet_annual[Company Name], 1, 1)) + 1), ROW(69:69)), COLUMN(F:F)), "")</f>
        <v>411430445361</v>
      </c>
    </row>
    <row r="72" spans="2:7" ht="15.5" x14ac:dyDescent="0.35">
      <c r="B72" s="2"/>
      <c r="C72" s="12" t="str">
        <f t="array" ref="C72">IFERROR(INDEX(balance_sheet_annual[#All], SMALL(IF(LOWER(balance_sheet_annual[Company Name]) = LOWER(balance_sheet_annual_filter!$B$2), ROW(balance_sheet_annual[Company Name]) - ROW(INDEX(balance_sheet_annual[Company Name], 1, 1)) + 1), ROW(70:70)), COLUMN(B:B)), "")</f>
        <v>1. Phải trả người bán ngắn hạn</v>
      </c>
      <c r="D72" s="47">
        <f t="array" ref="D72">IFERROR(INDEX(balance_sheet_annual[#All], SMALL(IF(LOWER(balance_sheet_annual[Company Name]) = LOWER(balance_sheet_annual_filter!$B$2), ROW(balance_sheet_annual[Company Name]) - ROW(INDEX(balance_sheet_annual[Company Name], 1, 1)) + 1), ROW(70:70)), COLUMN(C:C)), "")</f>
        <v>84171081719</v>
      </c>
      <c r="E72" s="11">
        <f t="array" ref="E72">IFERROR(INDEX(balance_sheet_annual[#All], SMALL(IF(LOWER(balance_sheet_annual[Company Name]) = LOWER(balance_sheet_annual_filter!$B$2), ROW(balance_sheet_annual[Company Name]) - ROW(INDEX(balance_sheet_annual[Company Name], 1, 1)) + 1), ROW(70:70)), COLUMN(D:D)), "")</f>
        <v>10813830817</v>
      </c>
      <c r="F72" s="11">
        <f t="array" ref="F72">IFERROR(INDEX(balance_sheet_annual[#All], SMALL(IF(LOWER(balance_sheet_annual[Company Name]) = LOWER(balance_sheet_annual_filter!$B$2), ROW(balance_sheet_annual[Company Name]) - ROW(INDEX(balance_sheet_annual[Company Name], 1, 1)) + 1), ROW(70:70)), COLUMN(E:E)), "")</f>
        <v>2478197420</v>
      </c>
      <c r="G72" s="11">
        <f t="array" ref="G72">IFERROR(INDEX(balance_sheet_annual[#All], SMALL(IF(LOWER(balance_sheet_annual[Company Name]) = LOWER(balance_sheet_annual_filter!$B$2), ROW(balance_sheet_annual[Company Name]) - ROW(INDEX(balance_sheet_annual[Company Name], 1, 1)) + 1), ROW(70:70)), COLUMN(F:F)), "")</f>
        <v>5826473835</v>
      </c>
    </row>
    <row r="73" spans="2:7" ht="15.5" x14ac:dyDescent="0.35">
      <c r="B73" s="2"/>
      <c r="C73" s="12" t="str">
        <f t="array" ref="C73">IFERROR(INDEX(balance_sheet_annual[#All], SMALL(IF(LOWER(balance_sheet_annual[Company Name]) = LOWER(balance_sheet_annual_filter!$B$2), ROW(balance_sheet_annual[Company Name]) - ROW(INDEX(balance_sheet_annual[Company Name], 1, 1)) + 1), ROW(71:71)), COLUMN(B:B)), "")</f>
        <v>2. Người mua trả tiền trước ngắn hạn</v>
      </c>
      <c r="D73" s="47">
        <f t="array" ref="D73">IFERROR(INDEX(balance_sheet_annual[#All], SMALL(IF(LOWER(balance_sheet_annual[Company Name]) = LOWER(balance_sheet_annual_filter!$B$2), ROW(balance_sheet_annual[Company Name]) - ROW(INDEX(balance_sheet_annual[Company Name], 1, 1)) + 1), ROW(71:71)), COLUMN(C:C)), "")</f>
        <v>0</v>
      </c>
      <c r="E73" s="11">
        <f t="array" ref="E73">IFERROR(INDEX(balance_sheet_annual[#All], SMALL(IF(LOWER(balance_sheet_annual[Company Name]) = LOWER(balance_sheet_annual_filter!$B$2), ROW(balance_sheet_annual[Company Name]) - ROW(INDEX(balance_sheet_annual[Company Name], 1, 1)) + 1), ROW(71:71)), COLUMN(D:D)), "")</f>
        <v>0</v>
      </c>
      <c r="F73" s="11">
        <f t="array" ref="F73">IFERROR(INDEX(balance_sheet_annual[#All], SMALL(IF(LOWER(balance_sheet_annual[Company Name]) = LOWER(balance_sheet_annual_filter!$B$2), ROW(balance_sheet_annual[Company Name]) - ROW(INDEX(balance_sheet_annual[Company Name], 1, 1)) + 1), ROW(71:71)), COLUMN(E:E)), "")</f>
        <v>0</v>
      </c>
      <c r="G73" s="11">
        <f t="array" ref="G73">IFERROR(INDEX(balance_sheet_annual[#All], SMALL(IF(LOWER(balance_sheet_annual[Company Name]) = LOWER(balance_sheet_annual_filter!$B$2), ROW(balance_sheet_annual[Company Name]) - ROW(INDEX(balance_sheet_annual[Company Name], 1, 1)) + 1), ROW(71:71)), COLUMN(F:F)), "")</f>
        <v>0</v>
      </c>
    </row>
    <row r="74" spans="2:7" ht="15.5" x14ac:dyDescent="0.35">
      <c r="B74" s="2"/>
      <c r="C74" s="12" t="str">
        <f t="array" ref="C74">IFERROR(INDEX(balance_sheet_annual[#All], SMALL(IF(LOWER(balance_sheet_annual[Company Name]) = LOWER(balance_sheet_annual_filter!$B$2), ROW(balance_sheet_annual[Company Name]) - ROW(INDEX(balance_sheet_annual[Company Name], 1, 1)) + 1), ROW(72:72)), COLUMN(B:B)), "")</f>
        <v>3. Thuế và các khoản phải nộp nhà nước</v>
      </c>
      <c r="D74" s="47">
        <f t="array" ref="D74">IFERROR(INDEX(balance_sheet_annual[#All], SMALL(IF(LOWER(balance_sheet_annual[Company Name]) = LOWER(balance_sheet_annual_filter!$B$2), ROW(balance_sheet_annual[Company Name]) - ROW(INDEX(balance_sheet_annual[Company Name], 1, 1)) + 1), ROW(72:72)), COLUMN(C:C)), "")</f>
        <v>12974217068</v>
      </c>
      <c r="E74" s="11">
        <f t="array" ref="E74">IFERROR(INDEX(balance_sheet_annual[#All], SMALL(IF(LOWER(balance_sheet_annual[Company Name]) = LOWER(balance_sheet_annual_filter!$B$2), ROW(balance_sheet_annual[Company Name]) - ROW(INDEX(balance_sheet_annual[Company Name], 1, 1)) + 1), ROW(72:72)), COLUMN(D:D)), "")</f>
        <v>25434780174</v>
      </c>
      <c r="F74" s="11">
        <f t="array" ref="F74">IFERROR(INDEX(balance_sheet_annual[#All], SMALL(IF(LOWER(balance_sheet_annual[Company Name]) = LOWER(balance_sheet_annual_filter!$B$2), ROW(balance_sheet_annual[Company Name]) - ROW(INDEX(balance_sheet_annual[Company Name], 1, 1)) + 1), ROW(72:72)), COLUMN(E:E)), "")</f>
        <v>36859120014</v>
      </c>
      <c r="G74" s="11">
        <f t="array" ref="G74">IFERROR(INDEX(balance_sheet_annual[#All], SMALL(IF(LOWER(balance_sheet_annual[Company Name]) = LOWER(balance_sheet_annual_filter!$B$2), ROW(balance_sheet_annual[Company Name]) - ROW(INDEX(balance_sheet_annual[Company Name], 1, 1)) + 1), ROW(72:72)), COLUMN(F:F)), "")</f>
        <v>27402864797</v>
      </c>
    </row>
    <row r="75" spans="2:7" ht="15.5" x14ac:dyDescent="0.35">
      <c r="B75" s="2"/>
      <c r="C75" s="12" t="str">
        <f t="array" ref="C75">IFERROR(INDEX(balance_sheet_annual[#All], SMALL(IF(LOWER(balance_sheet_annual[Company Name]) = LOWER(balance_sheet_annual_filter!$B$2), ROW(balance_sheet_annual[Company Name]) - ROW(INDEX(balance_sheet_annual[Company Name], 1, 1)) + 1), ROW(73:73)), COLUMN(B:B)), "")</f>
        <v>4. Phải trả người lao động</v>
      </c>
      <c r="D75" s="47">
        <f t="array" ref="D75">IFERROR(INDEX(balance_sheet_annual[#All], SMALL(IF(LOWER(balance_sheet_annual[Company Name]) = LOWER(balance_sheet_annual_filter!$B$2), ROW(balance_sheet_annual[Company Name]) - ROW(INDEX(balance_sheet_annual[Company Name], 1, 1)) + 1), ROW(73:73)), COLUMN(C:C)), "")</f>
        <v>3078357229</v>
      </c>
      <c r="E75" s="11">
        <f t="array" ref="E75">IFERROR(INDEX(balance_sheet_annual[#All], SMALL(IF(LOWER(balance_sheet_annual[Company Name]) = LOWER(balance_sheet_annual_filter!$B$2), ROW(balance_sheet_annual[Company Name]) - ROW(INDEX(balance_sheet_annual[Company Name], 1, 1)) + 1), ROW(73:73)), COLUMN(D:D)), "")</f>
        <v>1691202568</v>
      </c>
      <c r="F75" s="11">
        <f t="array" ref="F75">IFERROR(INDEX(balance_sheet_annual[#All], SMALL(IF(LOWER(balance_sheet_annual[Company Name]) = LOWER(balance_sheet_annual_filter!$B$2), ROW(balance_sheet_annual[Company Name]) - ROW(INDEX(balance_sheet_annual[Company Name], 1, 1)) + 1), ROW(73:73)), COLUMN(E:E)), "")</f>
        <v>4524745099</v>
      </c>
      <c r="G75" s="11">
        <f t="array" ref="G75">IFERROR(INDEX(balance_sheet_annual[#All], SMALL(IF(LOWER(balance_sheet_annual[Company Name]) = LOWER(balance_sheet_annual_filter!$B$2), ROW(balance_sheet_annual[Company Name]) - ROW(INDEX(balance_sheet_annual[Company Name], 1, 1)) + 1), ROW(73:73)), COLUMN(F:F)), "")</f>
        <v>5293108325</v>
      </c>
    </row>
    <row r="76" spans="2:7" ht="15.5" x14ac:dyDescent="0.35">
      <c r="B76" s="2"/>
      <c r="C76" s="12" t="str">
        <f t="array" ref="C76">IFERROR(INDEX(balance_sheet_annual[#All], SMALL(IF(LOWER(balance_sheet_annual[Company Name]) = LOWER(balance_sheet_annual_filter!$B$2), ROW(balance_sheet_annual[Company Name]) - ROW(INDEX(balance_sheet_annual[Company Name], 1, 1)) + 1), ROW(74:74)), COLUMN(B:B)), "")</f>
        <v>5. Chi phí phải trả ngắn hạn</v>
      </c>
      <c r="D76" s="47">
        <f t="array" ref="D76">IFERROR(INDEX(balance_sheet_annual[#All], SMALL(IF(LOWER(balance_sheet_annual[Company Name]) = LOWER(balance_sheet_annual_filter!$B$2), ROW(balance_sheet_annual[Company Name]) - ROW(INDEX(balance_sheet_annual[Company Name], 1, 1)) + 1), ROW(74:74)), COLUMN(C:C)), "")</f>
        <v>12025165845</v>
      </c>
      <c r="E76" s="11">
        <f t="array" ref="E76">IFERROR(INDEX(balance_sheet_annual[#All], SMALL(IF(LOWER(balance_sheet_annual[Company Name]) = LOWER(balance_sheet_annual_filter!$B$2), ROW(balance_sheet_annual[Company Name]) - ROW(INDEX(balance_sheet_annual[Company Name], 1, 1)) + 1), ROW(74:74)), COLUMN(D:D)), "")</f>
        <v>15479746692</v>
      </c>
      <c r="F76" s="11">
        <f t="array" ref="F76">IFERROR(INDEX(balance_sheet_annual[#All], SMALL(IF(LOWER(balance_sheet_annual[Company Name]) = LOWER(balance_sheet_annual_filter!$B$2), ROW(balance_sheet_annual[Company Name]) - ROW(INDEX(balance_sheet_annual[Company Name], 1, 1)) + 1), ROW(74:74)), COLUMN(E:E)), "")</f>
        <v>13140579203</v>
      </c>
      <c r="G76" s="11">
        <f t="array" ref="G76">IFERROR(INDEX(balance_sheet_annual[#All], SMALL(IF(LOWER(balance_sheet_annual[Company Name]) = LOWER(balance_sheet_annual_filter!$B$2), ROW(balance_sheet_annual[Company Name]) - ROW(INDEX(balance_sheet_annual[Company Name], 1, 1)) + 1), ROW(74:74)), COLUMN(F:F)), "")</f>
        <v>10861882822</v>
      </c>
    </row>
    <row r="77" spans="2:7" ht="15.5" x14ac:dyDescent="0.35">
      <c r="B77" s="2"/>
      <c r="C77" s="12" t="str">
        <f t="array" ref="C77">IFERROR(INDEX(balance_sheet_annual[#All], SMALL(IF(LOWER(balance_sheet_annual[Company Name]) = LOWER(balance_sheet_annual_filter!$B$2), ROW(balance_sheet_annual[Company Name]) - ROW(INDEX(balance_sheet_annual[Company Name], 1, 1)) + 1), ROW(75:75)), COLUMN(B:B)), "")</f>
        <v>6. Phải trả nội bộ ngắn hạn</v>
      </c>
      <c r="D77" s="47">
        <f t="array" ref="D77">IFERROR(INDEX(balance_sheet_annual[#All], SMALL(IF(LOWER(balance_sheet_annual[Company Name]) = LOWER(balance_sheet_annual_filter!$B$2), ROW(balance_sheet_annual[Company Name]) - ROW(INDEX(balance_sheet_annual[Company Name], 1, 1)) + 1), ROW(75:75)), COLUMN(C:C)), "")</f>
        <v>0</v>
      </c>
      <c r="E77" s="11">
        <f t="array" ref="E77">IFERROR(INDEX(balance_sheet_annual[#All], SMALL(IF(LOWER(balance_sheet_annual[Company Name]) = LOWER(balance_sheet_annual_filter!$B$2), ROW(balance_sheet_annual[Company Name]) - ROW(INDEX(balance_sheet_annual[Company Name], 1, 1)) + 1), ROW(75:75)), COLUMN(D:D)), "")</f>
        <v>0</v>
      </c>
      <c r="F77" s="11">
        <f t="array" ref="F77">IFERROR(INDEX(balance_sheet_annual[#All], SMALL(IF(LOWER(balance_sheet_annual[Company Name]) = LOWER(balance_sheet_annual_filter!$B$2), ROW(balance_sheet_annual[Company Name]) - ROW(INDEX(balance_sheet_annual[Company Name], 1, 1)) + 1), ROW(75:75)), COLUMN(E:E)), "")</f>
        <v>0</v>
      </c>
      <c r="G77" s="11">
        <f t="array" ref="G77">IFERROR(INDEX(balance_sheet_annual[#All], SMALL(IF(LOWER(balance_sheet_annual[Company Name]) = LOWER(balance_sheet_annual_filter!$B$2), ROW(balance_sheet_annual[Company Name]) - ROW(INDEX(balance_sheet_annual[Company Name], 1, 1)) + 1), ROW(75:75)), COLUMN(F:F)), "")</f>
        <v>0</v>
      </c>
    </row>
    <row r="78" spans="2:7" ht="15.5" x14ac:dyDescent="0.35">
      <c r="B78" s="2"/>
      <c r="C78" s="12" t="str">
        <f t="array" ref="C78">IFERROR(INDEX(balance_sheet_annual[#All], SMALL(IF(LOWER(balance_sheet_annual[Company Name]) = LOWER(balance_sheet_annual_filter!$B$2), ROW(balance_sheet_annual[Company Name]) - ROW(INDEX(balance_sheet_annual[Company Name], 1, 1)) + 1), ROW(76:76)), COLUMN(B:B)), "")</f>
        <v>7. Phải trả theo tiến độ kế hoạch hợp đồng xây dựng</v>
      </c>
      <c r="D78" s="47">
        <f t="array" ref="D78">IFERROR(INDEX(balance_sheet_annual[#All], SMALL(IF(LOWER(balance_sheet_annual[Company Name]) = LOWER(balance_sheet_annual_filter!$B$2), ROW(balance_sheet_annual[Company Name]) - ROW(INDEX(balance_sheet_annual[Company Name], 1, 1)) + 1), ROW(76:76)), COLUMN(C:C)), "")</f>
        <v>0</v>
      </c>
      <c r="E78" s="11">
        <f t="array" ref="E78">IFERROR(INDEX(balance_sheet_annual[#All], SMALL(IF(LOWER(balance_sheet_annual[Company Name]) = LOWER(balance_sheet_annual_filter!$B$2), ROW(balance_sheet_annual[Company Name]) - ROW(INDEX(balance_sheet_annual[Company Name], 1, 1)) + 1), ROW(76:76)), COLUMN(D:D)), "")</f>
        <v>0</v>
      </c>
      <c r="F78" s="11">
        <f t="array" ref="F78">IFERROR(INDEX(balance_sheet_annual[#All], SMALL(IF(LOWER(balance_sheet_annual[Company Name]) = LOWER(balance_sheet_annual_filter!$B$2), ROW(balance_sheet_annual[Company Name]) - ROW(INDEX(balance_sheet_annual[Company Name], 1, 1)) + 1), ROW(76:76)), COLUMN(E:E)), "")</f>
        <v>0</v>
      </c>
      <c r="G78" s="11">
        <f t="array" ref="G78">IFERROR(INDEX(balance_sheet_annual[#All], SMALL(IF(LOWER(balance_sheet_annual[Company Name]) = LOWER(balance_sheet_annual_filter!$B$2), ROW(balance_sheet_annual[Company Name]) - ROW(INDEX(balance_sheet_annual[Company Name], 1, 1)) + 1), ROW(76:76)), COLUMN(F:F)), "")</f>
        <v>0</v>
      </c>
    </row>
    <row r="79" spans="2:7" ht="15.5" x14ac:dyDescent="0.35">
      <c r="B79" s="2"/>
      <c r="C79" s="12" t="str">
        <f t="array" ref="C79">IFERROR(INDEX(balance_sheet_annual[#All], SMALL(IF(LOWER(balance_sheet_annual[Company Name]) = LOWER(balance_sheet_annual_filter!$B$2), ROW(balance_sheet_annual[Company Name]) - ROW(INDEX(balance_sheet_annual[Company Name], 1, 1)) + 1), ROW(77:77)), COLUMN(B:B)), "")</f>
        <v>8. Doanh thu chưa thực hiện ngắn hạn</v>
      </c>
      <c r="D79" s="47">
        <f t="array" ref="D79">IFERROR(INDEX(balance_sheet_annual[#All], SMALL(IF(LOWER(balance_sheet_annual[Company Name]) = LOWER(balance_sheet_annual_filter!$B$2), ROW(balance_sheet_annual[Company Name]) - ROW(INDEX(balance_sheet_annual[Company Name], 1, 1)) + 1), ROW(77:77)), COLUMN(C:C)), "")</f>
        <v>0</v>
      </c>
      <c r="E79" s="11">
        <f t="array" ref="E79">IFERROR(INDEX(balance_sheet_annual[#All], SMALL(IF(LOWER(balance_sheet_annual[Company Name]) = LOWER(balance_sheet_annual_filter!$B$2), ROW(balance_sheet_annual[Company Name]) - ROW(INDEX(balance_sheet_annual[Company Name], 1, 1)) + 1), ROW(77:77)), COLUMN(D:D)), "")</f>
        <v>0</v>
      </c>
      <c r="F79" s="11">
        <f t="array" ref="F79">IFERROR(INDEX(balance_sheet_annual[#All], SMALL(IF(LOWER(balance_sheet_annual[Company Name]) = LOWER(balance_sheet_annual_filter!$B$2), ROW(balance_sheet_annual[Company Name]) - ROW(INDEX(balance_sheet_annual[Company Name], 1, 1)) + 1), ROW(77:77)), COLUMN(E:E)), "")</f>
        <v>0</v>
      </c>
      <c r="G79" s="11">
        <f t="array" ref="G79">IFERROR(INDEX(balance_sheet_annual[#All], SMALL(IF(LOWER(balance_sheet_annual[Company Name]) = LOWER(balance_sheet_annual_filter!$B$2), ROW(balance_sheet_annual[Company Name]) - ROW(INDEX(balance_sheet_annual[Company Name], 1, 1)) + 1), ROW(77:77)), COLUMN(F:F)), "")</f>
        <v>0</v>
      </c>
    </row>
    <row r="80" spans="2:7" ht="15.5" x14ac:dyDescent="0.35">
      <c r="B80" s="2"/>
      <c r="C80" s="12" t="str">
        <f t="array" ref="C80">IFERROR(INDEX(balance_sheet_annual[#All], SMALL(IF(LOWER(balance_sheet_annual[Company Name]) = LOWER(balance_sheet_annual_filter!$B$2), ROW(balance_sheet_annual[Company Name]) - ROW(INDEX(balance_sheet_annual[Company Name], 1, 1)) + 1), ROW(78:78)), COLUMN(B:B)), "")</f>
        <v>9. Phải trả ngắn hạn khác</v>
      </c>
      <c r="D80" s="47">
        <f t="array" ref="D80">IFERROR(INDEX(balance_sheet_annual[#All], SMALL(IF(LOWER(balance_sheet_annual[Company Name]) = LOWER(balance_sheet_annual_filter!$B$2), ROW(balance_sheet_annual[Company Name]) - ROW(INDEX(balance_sheet_annual[Company Name], 1, 1)) + 1), ROW(78:78)), COLUMN(C:C)), "")</f>
        <v>24722745548</v>
      </c>
      <c r="E80" s="11">
        <f t="array" ref="E80">IFERROR(INDEX(balance_sheet_annual[#All], SMALL(IF(LOWER(balance_sheet_annual[Company Name]) = LOWER(balance_sheet_annual_filter!$B$2), ROW(balance_sheet_annual[Company Name]) - ROW(INDEX(balance_sheet_annual[Company Name], 1, 1)) + 1), ROW(78:78)), COLUMN(D:D)), "")</f>
        <v>19194696495</v>
      </c>
      <c r="F80" s="11">
        <f t="array" ref="F80">IFERROR(INDEX(balance_sheet_annual[#All], SMALL(IF(LOWER(balance_sheet_annual[Company Name]) = LOWER(balance_sheet_annual_filter!$B$2), ROW(balance_sheet_annual[Company Name]) - ROW(INDEX(balance_sheet_annual[Company Name], 1, 1)) + 1), ROW(78:78)), COLUMN(E:E)), "")</f>
        <v>41679181187</v>
      </c>
      <c r="G80" s="11">
        <f t="array" ref="G80">IFERROR(INDEX(balance_sheet_annual[#All], SMALL(IF(LOWER(balance_sheet_annual[Company Name]) = LOWER(balance_sheet_annual_filter!$B$2), ROW(balance_sheet_annual[Company Name]) - ROW(INDEX(balance_sheet_annual[Company Name], 1, 1)) + 1), ROW(78:78)), COLUMN(F:F)), "")</f>
        <v>39307434610</v>
      </c>
    </row>
    <row r="81" spans="2:7" ht="15.5" x14ac:dyDescent="0.35">
      <c r="B81" s="2"/>
      <c r="C81" s="12" t="str">
        <f t="array" ref="C81">IFERROR(INDEX(balance_sheet_annual[#All], SMALL(IF(LOWER(balance_sheet_annual[Company Name]) = LOWER(balance_sheet_annual_filter!$B$2), ROW(balance_sheet_annual[Company Name]) - ROW(INDEX(balance_sheet_annual[Company Name], 1, 1)) + 1), ROW(79:79)), COLUMN(B:B)), "")</f>
        <v>10. Vay và nợ thuê tài chính ngắn hạn</v>
      </c>
      <c r="D81" s="47">
        <f t="array" ref="D81">IFERROR(INDEX(balance_sheet_annual[#All], SMALL(IF(LOWER(balance_sheet_annual[Company Name]) = LOWER(balance_sheet_annual_filter!$B$2), ROW(balance_sheet_annual[Company Name]) - ROW(INDEX(balance_sheet_annual[Company Name], 1, 1)) + 1), ROW(79:79)), COLUMN(C:C)), "")</f>
        <v>273562000000</v>
      </c>
      <c r="E81" s="11">
        <f t="array" ref="E81">IFERROR(INDEX(balance_sheet_annual[#All], SMALL(IF(LOWER(balance_sheet_annual[Company Name]) = LOWER(balance_sheet_annual_filter!$B$2), ROW(balance_sheet_annual[Company Name]) - ROW(INDEX(balance_sheet_annual[Company Name], 1, 1)) + 1), ROW(79:79)), COLUMN(D:D)), "")</f>
        <v>346189634000</v>
      </c>
      <c r="F81" s="11">
        <f t="array" ref="F81">IFERROR(INDEX(balance_sheet_annual[#All], SMALL(IF(LOWER(balance_sheet_annual[Company Name]) = LOWER(balance_sheet_annual_filter!$B$2), ROW(balance_sheet_annual[Company Name]) - ROW(INDEX(balance_sheet_annual[Company Name], 1, 1)) + 1), ROW(79:79)), COLUMN(E:E)), "")</f>
        <v>292905477598</v>
      </c>
      <c r="G81" s="11">
        <f t="array" ref="G81">IFERROR(INDEX(balance_sheet_annual[#All], SMALL(IF(LOWER(balance_sheet_annual[Company Name]) = LOWER(balance_sheet_annual_filter!$B$2), ROW(balance_sheet_annual[Company Name]) - ROW(INDEX(balance_sheet_annual[Company Name], 1, 1)) + 1), ROW(79:79)), COLUMN(F:F)), "")</f>
        <v>302308360620</v>
      </c>
    </row>
    <row r="82" spans="2:7" ht="15.5" x14ac:dyDescent="0.35">
      <c r="B82" s="2"/>
      <c r="C82" s="12" t="str">
        <f t="array" ref="C82">IFERROR(INDEX(balance_sheet_annual[#All], SMALL(IF(LOWER(balance_sheet_annual[Company Name]) = LOWER(balance_sheet_annual_filter!$B$2), ROW(balance_sheet_annual[Company Name]) - ROW(INDEX(balance_sheet_annual[Company Name], 1, 1)) + 1), ROW(80:80)), COLUMN(B:B)), "")</f>
        <v>11. Dự phòng phải trả ngắn hạn</v>
      </c>
      <c r="D82" s="47">
        <f t="array" ref="D82">IFERROR(INDEX(balance_sheet_annual[#All], SMALL(IF(LOWER(balance_sheet_annual[Company Name]) = LOWER(balance_sheet_annual_filter!$B$2), ROW(balance_sheet_annual[Company Name]) - ROW(INDEX(balance_sheet_annual[Company Name], 1, 1)) + 1), ROW(80:80)), COLUMN(C:C)), "")</f>
        <v>0</v>
      </c>
      <c r="E82" s="11">
        <f t="array" ref="E82">IFERROR(INDEX(balance_sheet_annual[#All], SMALL(IF(LOWER(balance_sheet_annual[Company Name]) = LOWER(balance_sheet_annual_filter!$B$2), ROW(balance_sheet_annual[Company Name]) - ROW(INDEX(balance_sheet_annual[Company Name], 1, 1)) + 1), ROW(80:80)), COLUMN(D:D)), "")</f>
        <v>0</v>
      </c>
      <c r="F82" s="11">
        <f t="array" ref="F82">IFERROR(INDEX(balance_sheet_annual[#All], SMALL(IF(LOWER(balance_sheet_annual[Company Name]) = LOWER(balance_sheet_annual_filter!$B$2), ROW(balance_sheet_annual[Company Name]) - ROW(INDEX(balance_sheet_annual[Company Name], 1, 1)) + 1), ROW(80:80)), COLUMN(E:E)), "")</f>
        <v>0</v>
      </c>
      <c r="G82" s="11">
        <f t="array" ref="G82">IFERROR(INDEX(balance_sheet_annual[#All], SMALL(IF(LOWER(balance_sheet_annual[Company Name]) = LOWER(balance_sheet_annual_filter!$B$2), ROW(balance_sheet_annual[Company Name]) - ROW(INDEX(balance_sheet_annual[Company Name], 1, 1)) + 1), ROW(80:80)), COLUMN(F:F)), "")</f>
        <v>0</v>
      </c>
    </row>
    <row r="83" spans="2:7" ht="15.5" x14ac:dyDescent="0.35">
      <c r="B83" s="2"/>
      <c r="C83" s="12" t="str">
        <f t="array" ref="C83">IFERROR(INDEX(balance_sheet_annual[#All], SMALL(IF(LOWER(balance_sheet_annual[Company Name]) = LOWER(balance_sheet_annual_filter!$B$2), ROW(balance_sheet_annual[Company Name]) - ROW(INDEX(balance_sheet_annual[Company Name], 1, 1)) + 1), ROW(81:81)), COLUMN(B:B)), "")</f>
        <v>12. Quỹ khen thưởng phúc lợi</v>
      </c>
      <c r="D83" s="47">
        <f t="array" ref="D83">IFERROR(INDEX(balance_sheet_annual[#All], SMALL(IF(LOWER(balance_sheet_annual[Company Name]) = LOWER(balance_sheet_annual_filter!$B$2), ROW(balance_sheet_annual[Company Name]) - ROW(INDEX(balance_sheet_annual[Company Name], 1, 1)) + 1), ROW(81:81)), COLUMN(C:C)), "")</f>
        <v>0</v>
      </c>
      <c r="E83" s="11">
        <f t="array" ref="E83">IFERROR(INDEX(balance_sheet_annual[#All], SMALL(IF(LOWER(balance_sheet_annual[Company Name]) = LOWER(balance_sheet_annual_filter!$B$2), ROW(balance_sheet_annual[Company Name]) - ROW(INDEX(balance_sheet_annual[Company Name], 1, 1)) + 1), ROW(81:81)), COLUMN(D:D)), "")</f>
        <v>7337077812</v>
      </c>
      <c r="F83" s="11">
        <f t="array" ref="F83">IFERROR(INDEX(balance_sheet_annual[#All], SMALL(IF(LOWER(balance_sheet_annual[Company Name]) = LOWER(balance_sheet_annual_filter!$B$2), ROW(balance_sheet_annual[Company Name]) - ROW(INDEX(balance_sheet_annual[Company Name], 1, 1)) + 1), ROW(81:81)), COLUMN(E:E)), "")</f>
        <v>13218431330</v>
      </c>
      <c r="G83" s="11">
        <f t="array" ref="G83">IFERROR(INDEX(balance_sheet_annual[#All], SMALL(IF(LOWER(balance_sheet_annual[Company Name]) = LOWER(balance_sheet_annual_filter!$B$2), ROW(balance_sheet_annual[Company Name]) - ROW(INDEX(balance_sheet_annual[Company Name], 1, 1)) + 1), ROW(81:81)), COLUMN(F:F)), "")</f>
        <v>20430320352</v>
      </c>
    </row>
    <row r="84" spans="2:7" ht="15.5" x14ac:dyDescent="0.35">
      <c r="B84" s="2"/>
      <c r="C84" s="12" t="str">
        <f t="array" ref="C84">IFERROR(INDEX(balance_sheet_annual[#All], SMALL(IF(LOWER(balance_sheet_annual[Company Name]) = LOWER(balance_sheet_annual_filter!$B$2), ROW(balance_sheet_annual[Company Name]) - ROW(INDEX(balance_sheet_annual[Company Name], 1, 1)) + 1), ROW(82:82)), COLUMN(B:B)), "")</f>
        <v>13. Quỹ bình ổn giá</v>
      </c>
      <c r="D84" s="47">
        <f t="array" ref="D84">IFERROR(INDEX(balance_sheet_annual[#All], SMALL(IF(LOWER(balance_sheet_annual[Company Name]) = LOWER(balance_sheet_annual_filter!$B$2), ROW(balance_sheet_annual[Company Name]) - ROW(INDEX(balance_sheet_annual[Company Name], 1, 1)) + 1), ROW(82:82)), COLUMN(C:C)), "")</f>
        <v>0</v>
      </c>
      <c r="E84" s="11">
        <f t="array" ref="E84">IFERROR(INDEX(balance_sheet_annual[#All], SMALL(IF(LOWER(balance_sheet_annual[Company Name]) = LOWER(balance_sheet_annual_filter!$B$2), ROW(balance_sheet_annual[Company Name]) - ROW(INDEX(balance_sheet_annual[Company Name], 1, 1)) + 1), ROW(82:82)), COLUMN(D:D)), "")</f>
        <v>0</v>
      </c>
      <c r="F84" s="11">
        <f t="array" ref="F84">IFERROR(INDEX(balance_sheet_annual[#All], SMALL(IF(LOWER(balance_sheet_annual[Company Name]) = LOWER(balance_sheet_annual_filter!$B$2), ROW(balance_sheet_annual[Company Name]) - ROW(INDEX(balance_sheet_annual[Company Name], 1, 1)) + 1), ROW(82:82)), COLUMN(E:E)), "")</f>
        <v>0</v>
      </c>
      <c r="G84" s="11">
        <f t="array" ref="G84">IFERROR(INDEX(balance_sheet_annual[#All], SMALL(IF(LOWER(balance_sheet_annual[Company Name]) = LOWER(balance_sheet_annual_filter!$B$2), ROW(balance_sheet_annual[Company Name]) - ROW(INDEX(balance_sheet_annual[Company Name], 1, 1)) + 1), ROW(82:82)), COLUMN(F:F)), "")</f>
        <v>0</v>
      </c>
    </row>
    <row r="85" spans="2:7" ht="15.5" x14ac:dyDescent="0.35">
      <c r="B85" s="2"/>
      <c r="C85" s="12" t="str">
        <f t="array" ref="C85">IFERROR(INDEX(balance_sheet_annual[#All], SMALL(IF(LOWER(balance_sheet_annual[Company Name]) = LOWER(balance_sheet_annual_filter!$B$2), ROW(balance_sheet_annual[Company Name]) - ROW(INDEX(balance_sheet_annual[Company Name], 1, 1)) + 1), ROW(83:83)), COLUMN(B:B)), "")</f>
        <v>14. Giao dịch mua bán lại trái phiếu Chính phủ</v>
      </c>
      <c r="D85" s="47">
        <f t="array" ref="D85">IFERROR(INDEX(balance_sheet_annual[#All], SMALL(IF(LOWER(balance_sheet_annual[Company Name]) = LOWER(balance_sheet_annual_filter!$B$2), ROW(balance_sheet_annual[Company Name]) - ROW(INDEX(balance_sheet_annual[Company Name], 1, 1)) + 1), ROW(83:83)), COLUMN(C:C)), "")</f>
        <v>0</v>
      </c>
      <c r="E85" s="11">
        <f t="array" ref="E85">IFERROR(INDEX(balance_sheet_annual[#All], SMALL(IF(LOWER(balance_sheet_annual[Company Name]) = LOWER(balance_sheet_annual_filter!$B$2), ROW(balance_sheet_annual[Company Name]) - ROW(INDEX(balance_sheet_annual[Company Name], 1, 1)) + 1), ROW(83:83)), COLUMN(D:D)), "")</f>
        <v>0</v>
      </c>
      <c r="F85" s="11">
        <f t="array" ref="F85">IFERROR(INDEX(balance_sheet_annual[#All], SMALL(IF(LOWER(balance_sheet_annual[Company Name]) = LOWER(balance_sheet_annual_filter!$B$2), ROW(balance_sheet_annual[Company Name]) - ROW(INDEX(balance_sheet_annual[Company Name], 1, 1)) + 1), ROW(83:83)), COLUMN(E:E)), "")</f>
        <v>0</v>
      </c>
      <c r="G85" s="11">
        <f t="array" ref="G85">IFERROR(INDEX(balance_sheet_annual[#All], SMALL(IF(LOWER(balance_sheet_annual[Company Name]) = LOWER(balance_sheet_annual_filter!$B$2), ROW(balance_sheet_annual[Company Name]) - ROW(INDEX(balance_sheet_annual[Company Name], 1, 1)) + 1), ROW(83:83)), COLUMN(F:F)), "")</f>
        <v>0</v>
      </c>
    </row>
    <row r="86" spans="2:7" ht="15.5" x14ac:dyDescent="0.35">
      <c r="B86" s="2"/>
      <c r="C86" s="12" t="str">
        <f t="array" ref="C86">IFERROR(INDEX(balance_sheet_annual[#All], SMALL(IF(LOWER(balance_sheet_annual[Company Name]) = LOWER(balance_sheet_annual_filter!$B$2), ROW(balance_sheet_annual[Company Name]) - ROW(INDEX(balance_sheet_annual[Company Name], 1, 1)) + 1), ROW(84:84)), COLUMN(B:B)), "")</f>
        <v>II. Nợ dài hạn</v>
      </c>
      <c r="D86" s="47">
        <f t="array" ref="D86">IFERROR(INDEX(balance_sheet_annual[#All], SMALL(IF(LOWER(balance_sheet_annual[Company Name]) = LOWER(balance_sheet_annual_filter!$B$2), ROW(balance_sheet_annual[Company Name]) - ROW(INDEX(balance_sheet_annual[Company Name], 1, 1)) + 1), ROW(84:84)), COLUMN(C:C)), "")</f>
        <v>2660228560062</v>
      </c>
      <c r="E86" s="11">
        <f t="array" ref="E86">IFERROR(INDEX(balance_sheet_annual[#All], SMALL(IF(LOWER(balance_sheet_annual[Company Name]) = LOWER(balance_sheet_annual_filter!$B$2), ROW(balance_sheet_annual[Company Name]) - ROW(INDEX(balance_sheet_annual[Company Name], 1, 1)) + 1), ROW(84:84)), COLUMN(D:D)), "")</f>
        <v>2567514005712</v>
      </c>
      <c r="F86" s="11">
        <f t="array" ref="F86">IFERROR(INDEX(balance_sheet_annual[#All], SMALL(IF(LOWER(balance_sheet_annual[Company Name]) = LOWER(balance_sheet_annual_filter!$B$2), ROW(balance_sheet_annual[Company Name]) - ROW(INDEX(balance_sheet_annual[Company Name], 1, 1)) + 1), ROW(84:84)), COLUMN(E:E)), "")</f>
        <v>2276421937698</v>
      </c>
      <c r="G86" s="11">
        <f t="array" ref="G86">IFERROR(INDEX(balance_sheet_annual[#All], SMALL(IF(LOWER(balance_sheet_annual[Company Name]) = LOWER(balance_sheet_annual_filter!$B$2), ROW(balance_sheet_annual[Company Name]) - ROW(INDEX(balance_sheet_annual[Company Name], 1, 1)) + 1), ROW(84:84)), COLUMN(F:F)), "")</f>
        <v>1983515890474</v>
      </c>
    </row>
    <row r="87" spans="2:7" ht="15.5" x14ac:dyDescent="0.35">
      <c r="B87" s="2"/>
      <c r="C87" s="12" t="str">
        <f t="array" ref="C87">IFERROR(INDEX(balance_sheet_annual[#All], SMALL(IF(LOWER(balance_sheet_annual[Company Name]) = LOWER(balance_sheet_annual_filter!$B$2), ROW(balance_sheet_annual[Company Name]) - ROW(INDEX(balance_sheet_annual[Company Name], 1, 1)) + 1), ROW(85:85)), COLUMN(B:B)), "")</f>
        <v>1. Phải trả người bán dài hạn</v>
      </c>
      <c r="D87" s="47">
        <f t="array" ref="D87">IFERROR(INDEX(balance_sheet_annual[#All], SMALL(IF(LOWER(balance_sheet_annual[Company Name]) = LOWER(balance_sheet_annual_filter!$B$2), ROW(balance_sheet_annual[Company Name]) - ROW(INDEX(balance_sheet_annual[Company Name], 1, 1)) + 1), ROW(85:85)), COLUMN(C:C)), "")</f>
        <v>378808650231</v>
      </c>
      <c r="E87" s="11">
        <f t="array" ref="E87">IFERROR(INDEX(balance_sheet_annual[#All], SMALL(IF(LOWER(balance_sheet_annual[Company Name]) = LOWER(balance_sheet_annual_filter!$B$2), ROW(balance_sheet_annual[Company Name]) - ROW(INDEX(balance_sheet_annual[Company Name], 1, 1)) + 1), ROW(85:85)), COLUMN(D:D)), "")</f>
        <v>375051600231</v>
      </c>
      <c r="F87" s="11">
        <f t="array" ref="F87">IFERROR(INDEX(balance_sheet_annual[#All], SMALL(IF(LOWER(balance_sheet_annual[Company Name]) = LOWER(balance_sheet_annual_filter!$B$2), ROW(balance_sheet_annual[Company Name]) - ROW(INDEX(balance_sheet_annual[Company Name], 1, 1)) + 1), ROW(85:85)), COLUMN(E:E)), "")</f>
        <v>267510689621</v>
      </c>
      <c r="G87" s="11">
        <f t="array" ref="G87">IFERROR(INDEX(balance_sheet_annual[#All], SMALL(IF(LOWER(balance_sheet_annual[Company Name]) = LOWER(balance_sheet_annual_filter!$B$2), ROW(balance_sheet_annual[Company Name]) - ROW(INDEX(balance_sheet_annual[Company Name], 1, 1)) + 1), ROW(85:85)), COLUMN(F:F)), "")</f>
        <v>0</v>
      </c>
    </row>
    <row r="88" spans="2:7" ht="15.5" x14ac:dyDescent="0.35">
      <c r="B88" s="2"/>
      <c r="C88" s="12" t="str">
        <f t="array" ref="C88">IFERROR(INDEX(balance_sheet_annual[#All], SMALL(IF(LOWER(balance_sheet_annual[Company Name]) = LOWER(balance_sheet_annual_filter!$B$2), ROW(balance_sheet_annual[Company Name]) - ROW(INDEX(balance_sheet_annual[Company Name], 1, 1)) + 1), ROW(86:86)), COLUMN(B:B)), "")</f>
        <v>2. Người mua trả tiền trước dài hạn</v>
      </c>
      <c r="D88" s="47">
        <f t="array" ref="D88">IFERROR(INDEX(balance_sheet_annual[#All], SMALL(IF(LOWER(balance_sheet_annual[Company Name]) = LOWER(balance_sheet_annual_filter!$B$2), ROW(balance_sheet_annual[Company Name]) - ROW(INDEX(balance_sheet_annual[Company Name], 1, 1)) + 1), ROW(86:86)), COLUMN(C:C)), "")</f>
        <v>0</v>
      </c>
      <c r="E88" s="11">
        <f t="array" ref="E88">IFERROR(INDEX(balance_sheet_annual[#All], SMALL(IF(LOWER(balance_sheet_annual[Company Name]) = LOWER(balance_sheet_annual_filter!$B$2), ROW(balance_sheet_annual[Company Name]) - ROW(INDEX(balance_sheet_annual[Company Name], 1, 1)) + 1), ROW(86:86)), COLUMN(D:D)), "")</f>
        <v>0</v>
      </c>
      <c r="F88" s="11">
        <f t="array" ref="F88">IFERROR(INDEX(balance_sheet_annual[#All], SMALL(IF(LOWER(balance_sheet_annual[Company Name]) = LOWER(balance_sheet_annual_filter!$B$2), ROW(balance_sheet_annual[Company Name]) - ROW(INDEX(balance_sheet_annual[Company Name], 1, 1)) + 1), ROW(86:86)), COLUMN(E:E)), "")</f>
        <v>0</v>
      </c>
      <c r="G88" s="11">
        <f t="array" ref="G88">IFERROR(INDEX(balance_sheet_annual[#All], SMALL(IF(LOWER(balance_sheet_annual[Company Name]) = LOWER(balance_sheet_annual_filter!$B$2), ROW(balance_sheet_annual[Company Name]) - ROW(INDEX(balance_sheet_annual[Company Name], 1, 1)) + 1), ROW(86:86)), COLUMN(F:F)), "")</f>
        <v>0</v>
      </c>
    </row>
    <row r="89" spans="2:7" ht="15.5" x14ac:dyDescent="0.35">
      <c r="B89" s="2"/>
      <c r="C89" s="12" t="str">
        <f t="array" ref="C89">IFERROR(INDEX(balance_sheet_annual[#All], SMALL(IF(LOWER(balance_sheet_annual[Company Name]) = LOWER(balance_sheet_annual_filter!$B$2), ROW(balance_sheet_annual[Company Name]) - ROW(INDEX(balance_sheet_annual[Company Name], 1, 1)) + 1), ROW(87:87)), COLUMN(B:B)), "")</f>
        <v>3. Chi phí phải trả dài hạn</v>
      </c>
      <c r="D89" s="47">
        <f t="array" ref="D89">IFERROR(INDEX(balance_sheet_annual[#All], SMALL(IF(LOWER(balance_sheet_annual[Company Name]) = LOWER(balance_sheet_annual_filter!$B$2), ROW(balance_sheet_annual[Company Name]) - ROW(INDEX(balance_sheet_annual[Company Name], 1, 1)) + 1), ROW(87:87)), COLUMN(C:C)), "")</f>
        <v>0</v>
      </c>
      <c r="E89" s="11">
        <f t="array" ref="E89">IFERROR(INDEX(balance_sheet_annual[#All], SMALL(IF(LOWER(balance_sheet_annual[Company Name]) = LOWER(balance_sheet_annual_filter!$B$2), ROW(balance_sheet_annual[Company Name]) - ROW(INDEX(balance_sheet_annual[Company Name], 1, 1)) + 1), ROW(87:87)), COLUMN(D:D)), "")</f>
        <v>0</v>
      </c>
      <c r="F89" s="11">
        <f t="array" ref="F89">IFERROR(INDEX(balance_sheet_annual[#All], SMALL(IF(LOWER(balance_sheet_annual[Company Name]) = LOWER(balance_sheet_annual_filter!$B$2), ROW(balance_sheet_annual[Company Name]) - ROW(INDEX(balance_sheet_annual[Company Name], 1, 1)) + 1), ROW(87:87)), COLUMN(E:E)), "")</f>
        <v>0</v>
      </c>
      <c r="G89" s="11">
        <f t="array" ref="G89">IFERROR(INDEX(balance_sheet_annual[#All], SMALL(IF(LOWER(balance_sheet_annual[Company Name]) = LOWER(balance_sheet_annual_filter!$B$2), ROW(balance_sheet_annual[Company Name]) - ROW(INDEX(balance_sheet_annual[Company Name], 1, 1)) + 1), ROW(87:87)), COLUMN(F:F)), "")</f>
        <v>0</v>
      </c>
    </row>
    <row r="90" spans="2:7" ht="15.5" x14ac:dyDescent="0.35">
      <c r="B90" s="2"/>
      <c r="C90" s="12" t="str">
        <f t="array" ref="C90">IFERROR(INDEX(balance_sheet_annual[#All], SMALL(IF(LOWER(balance_sheet_annual[Company Name]) = LOWER(balance_sheet_annual_filter!$B$2), ROW(balance_sheet_annual[Company Name]) - ROW(INDEX(balance_sheet_annual[Company Name], 1, 1)) + 1), ROW(88:88)), COLUMN(B:B)), "")</f>
        <v>4. Phải trả nội bộ về vốn kinh doanh</v>
      </c>
      <c r="D90" s="47">
        <f t="array" ref="D90">IFERROR(INDEX(balance_sheet_annual[#All], SMALL(IF(LOWER(balance_sheet_annual[Company Name]) = LOWER(balance_sheet_annual_filter!$B$2), ROW(balance_sheet_annual[Company Name]) - ROW(INDEX(balance_sheet_annual[Company Name], 1, 1)) + 1), ROW(88:88)), COLUMN(C:C)), "")</f>
        <v>0</v>
      </c>
      <c r="E90" s="11">
        <f t="array" ref="E90">IFERROR(INDEX(balance_sheet_annual[#All], SMALL(IF(LOWER(balance_sheet_annual[Company Name]) = LOWER(balance_sheet_annual_filter!$B$2), ROW(balance_sheet_annual[Company Name]) - ROW(INDEX(balance_sheet_annual[Company Name], 1, 1)) + 1), ROW(88:88)), COLUMN(D:D)), "")</f>
        <v>0</v>
      </c>
      <c r="F90" s="11">
        <f t="array" ref="F90">IFERROR(INDEX(balance_sheet_annual[#All], SMALL(IF(LOWER(balance_sheet_annual[Company Name]) = LOWER(balance_sheet_annual_filter!$B$2), ROW(balance_sheet_annual[Company Name]) - ROW(INDEX(balance_sheet_annual[Company Name], 1, 1)) + 1), ROW(88:88)), COLUMN(E:E)), "")</f>
        <v>0</v>
      </c>
      <c r="G90" s="11">
        <f t="array" ref="G90">IFERROR(INDEX(balance_sheet_annual[#All], SMALL(IF(LOWER(balance_sheet_annual[Company Name]) = LOWER(balance_sheet_annual_filter!$B$2), ROW(balance_sheet_annual[Company Name]) - ROW(INDEX(balance_sheet_annual[Company Name], 1, 1)) + 1), ROW(88:88)), COLUMN(F:F)), "")</f>
        <v>0</v>
      </c>
    </row>
    <row r="91" spans="2:7" ht="15.5" x14ac:dyDescent="0.35">
      <c r="B91" s="2"/>
      <c r="C91" s="12" t="str">
        <f t="array" ref="C91">IFERROR(INDEX(balance_sheet_annual[#All], SMALL(IF(LOWER(balance_sheet_annual[Company Name]) = LOWER(balance_sheet_annual_filter!$B$2), ROW(balance_sheet_annual[Company Name]) - ROW(INDEX(balance_sheet_annual[Company Name], 1, 1)) + 1), ROW(89:89)), COLUMN(B:B)), "")</f>
        <v>5. Phải trả nội bộ dài hạn</v>
      </c>
      <c r="D91" s="47">
        <f t="array" ref="D91">IFERROR(INDEX(balance_sheet_annual[#All], SMALL(IF(LOWER(balance_sheet_annual[Company Name]) = LOWER(balance_sheet_annual_filter!$B$2), ROW(balance_sheet_annual[Company Name]) - ROW(INDEX(balance_sheet_annual[Company Name], 1, 1)) + 1), ROW(89:89)), COLUMN(C:C)), "")</f>
        <v>0</v>
      </c>
      <c r="E91" s="11">
        <f t="array" ref="E91">IFERROR(INDEX(balance_sheet_annual[#All], SMALL(IF(LOWER(balance_sheet_annual[Company Name]) = LOWER(balance_sheet_annual_filter!$B$2), ROW(balance_sheet_annual[Company Name]) - ROW(INDEX(balance_sheet_annual[Company Name], 1, 1)) + 1), ROW(89:89)), COLUMN(D:D)), "")</f>
        <v>0</v>
      </c>
      <c r="F91" s="11">
        <f t="array" ref="F91">IFERROR(INDEX(balance_sheet_annual[#All], SMALL(IF(LOWER(balance_sheet_annual[Company Name]) = LOWER(balance_sheet_annual_filter!$B$2), ROW(balance_sheet_annual[Company Name]) - ROW(INDEX(balance_sheet_annual[Company Name], 1, 1)) + 1), ROW(89:89)), COLUMN(E:E)), "")</f>
        <v>0</v>
      </c>
      <c r="G91" s="11">
        <f t="array" ref="G91">IFERROR(INDEX(balance_sheet_annual[#All], SMALL(IF(LOWER(balance_sheet_annual[Company Name]) = LOWER(balance_sheet_annual_filter!$B$2), ROW(balance_sheet_annual[Company Name]) - ROW(INDEX(balance_sheet_annual[Company Name], 1, 1)) + 1), ROW(89:89)), COLUMN(F:F)), "")</f>
        <v>0</v>
      </c>
    </row>
    <row r="92" spans="2:7" ht="15.5" x14ac:dyDescent="0.35">
      <c r="B92" s="2"/>
      <c r="C92" s="12" t="str">
        <f t="array" ref="C92">IFERROR(INDEX(balance_sheet_annual[#All], SMALL(IF(LOWER(balance_sheet_annual[Company Name]) = LOWER(balance_sheet_annual_filter!$B$2), ROW(balance_sheet_annual[Company Name]) - ROW(INDEX(balance_sheet_annual[Company Name], 1, 1)) + 1), ROW(90:90)), COLUMN(B:B)), "")</f>
        <v>6. Doanh thu chưa thực hiện dài hạn</v>
      </c>
      <c r="D92" s="47">
        <f t="array" ref="D92">IFERROR(INDEX(balance_sheet_annual[#All], SMALL(IF(LOWER(balance_sheet_annual[Company Name]) = LOWER(balance_sheet_annual_filter!$B$2), ROW(balance_sheet_annual[Company Name]) - ROW(INDEX(balance_sheet_annual[Company Name], 1, 1)) + 1), ROW(90:90)), COLUMN(C:C)), "")</f>
        <v>0</v>
      </c>
      <c r="E92" s="11">
        <f t="array" ref="E92">IFERROR(INDEX(balance_sheet_annual[#All], SMALL(IF(LOWER(balance_sheet_annual[Company Name]) = LOWER(balance_sheet_annual_filter!$B$2), ROW(balance_sheet_annual[Company Name]) - ROW(INDEX(balance_sheet_annual[Company Name], 1, 1)) + 1), ROW(90:90)), COLUMN(D:D)), "")</f>
        <v>0</v>
      </c>
      <c r="F92" s="11">
        <f t="array" ref="F92">IFERROR(INDEX(balance_sheet_annual[#All], SMALL(IF(LOWER(balance_sheet_annual[Company Name]) = LOWER(balance_sheet_annual_filter!$B$2), ROW(balance_sheet_annual[Company Name]) - ROW(INDEX(balance_sheet_annual[Company Name], 1, 1)) + 1), ROW(90:90)), COLUMN(E:E)), "")</f>
        <v>0</v>
      </c>
      <c r="G92" s="11">
        <f t="array" ref="G92">IFERROR(INDEX(balance_sheet_annual[#All], SMALL(IF(LOWER(balance_sheet_annual[Company Name]) = LOWER(balance_sheet_annual_filter!$B$2), ROW(balance_sheet_annual[Company Name]) - ROW(INDEX(balance_sheet_annual[Company Name], 1, 1)) + 1), ROW(90:90)), COLUMN(F:F)), "")</f>
        <v>0</v>
      </c>
    </row>
    <row r="93" spans="2:7" ht="15.5" x14ac:dyDescent="0.35">
      <c r="B93" s="2"/>
      <c r="C93" s="12" t="str">
        <f t="array" ref="C93">IFERROR(INDEX(balance_sheet_annual[#All], SMALL(IF(LOWER(balance_sheet_annual[Company Name]) = LOWER(balance_sheet_annual_filter!$B$2), ROW(balance_sheet_annual[Company Name]) - ROW(INDEX(balance_sheet_annual[Company Name], 1, 1)) + 1), ROW(91:91)), COLUMN(B:B)), "")</f>
        <v>7. Phải trả dài hạn khác</v>
      </c>
      <c r="D93" s="47">
        <f t="array" ref="D93">IFERROR(INDEX(balance_sheet_annual[#All], SMALL(IF(LOWER(balance_sheet_annual[Company Name]) = LOWER(balance_sheet_annual_filter!$B$2), ROW(balance_sheet_annual[Company Name]) - ROW(INDEX(balance_sheet_annual[Company Name], 1, 1)) + 1), ROW(91:91)), COLUMN(C:C)), "")</f>
        <v>125307948000</v>
      </c>
      <c r="E93" s="11">
        <f t="array" ref="E93">IFERROR(INDEX(balance_sheet_annual[#All], SMALL(IF(LOWER(balance_sheet_annual[Company Name]) = LOWER(balance_sheet_annual_filter!$B$2), ROW(balance_sheet_annual[Company Name]) - ROW(INDEX(balance_sheet_annual[Company Name], 1, 1)) + 1), ROW(91:91)), COLUMN(D:D)), "")</f>
        <v>125307948000</v>
      </c>
      <c r="F93" s="11">
        <f t="array" ref="F93">IFERROR(INDEX(balance_sheet_annual[#All], SMALL(IF(LOWER(balance_sheet_annual[Company Name]) = LOWER(balance_sheet_annual_filter!$B$2), ROW(balance_sheet_annual[Company Name]) - ROW(INDEX(balance_sheet_annual[Company Name], 1, 1)) + 1), ROW(91:91)), COLUMN(E:E)), "")</f>
        <v>125307948000</v>
      </c>
      <c r="G93" s="11">
        <f t="array" ref="G93">IFERROR(INDEX(balance_sheet_annual[#All], SMALL(IF(LOWER(balance_sheet_annual[Company Name]) = LOWER(balance_sheet_annual_filter!$B$2), ROW(balance_sheet_annual[Company Name]) - ROW(INDEX(balance_sheet_annual[Company Name], 1, 1)) + 1), ROW(91:91)), COLUMN(F:F)), "")</f>
        <v>125307948000</v>
      </c>
    </row>
    <row r="94" spans="2:7" ht="15.5" x14ac:dyDescent="0.35">
      <c r="B94" s="2"/>
      <c r="C94" s="12" t="str">
        <f t="array" ref="C94">IFERROR(INDEX(balance_sheet_annual[#All], SMALL(IF(LOWER(balance_sheet_annual[Company Name]) = LOWER(balance_sheet_annual_filter!$B$2), ROW(balance_sheet_annual[Company Name]) - ROW(INDEX(balance_sheet_annual[Company Name], 1, 1)) + 1), ROW(92:92)), COLUMN(B:B)), "")</f>
        <v>8. Vay và nợ thuê tài chính dài hạn</v>
      </c>
      <c r="D94" s="47">
        <f t="array" ref="D94">IFERROR(INDEX(balance_sheet_annual[#All], SMALL(IF(LOWER(balance_sheet_annual[Company Name]) = LOWER(balance_sheet_annual_filter!$B$2), ROW(balance_sheet_annual[Company Name]) - ROW(INDEX(balance_sheet_annual[Company Name], 1, 1)) + 1), ROW(92:92)), COLUMN(C:C)), "")</f>
        <v>2156111961831</v>
      </c>
      <c r="E94" s="11">
        <f t="array" ref="E94">IFERROR(INDEX(balance_sheet_annual[#All], SMALL(IF(LOWER(balance_sheet_annual[Company Name]) = LOWER(balance_sheet_annual_filter!$B$2), ROW(balance_sheet_annual[Company Name]) - ROW(INDEX(balance_sheet_annual[Company Name], 1, 1)) + 1), ROW(92:92)), COLUMN(D:D)), "")</f>
        <v>2067154457481</v>
      </c>
      <c r="F94" s="11">
        <f t="array" ref="F94">IFERROR(INDEX(balance_sheet_annual[#All], SMALL(IF(LOWER(balance_sheet_annual[Company Name]) = LOWER(balance_sheet_annual_filter!$B$2), ROW(balance_sheet_annual[Company Name]) - ROW(INDEX(balance_sheet_annual[Company Name], 1, 1)) + 1), ROW(92:92)), COLUMN(E:E)), "")</f>
        <v>1883603300077</v>
      </c>
      <c r="G94" s="11">
        <f t="array" ref="G94">IFERROR(INDEX(balance_sheet_annual[#All], SMALL(IF(LOWER(balance_sheet_annual[Company Name]) = LOWER(balance_sheet_annual_filter!$B$2), ROW(balance_sheet_annual[Company Name]) - ROW(INDEX(balance_sheet_annual[Company Name], 1, 1)) + 1), ROW(92:92)), COLUMN(F:F)), "")</f>
        <v>1858207942474</v>
      </c>
    </row>
    <row r="95" spans="2:7" ht="15.5" x14ac:dyDescent="0.35">
      <c r="B95" s="2"/>
      <c r="C95" s="12" t="str">
        <f t="array" ref="C95">IFERROR(INDEX(balance_sheet_annual[#All], SMALL(IF(LOWER(balance_sheet_annual[Company Name]) = LOWER(balance_sheet_annual_filter!$B$2), ROW(balance_sheet_annual[Company Name]) - ROW(INDEX(balance_sheet_annual[Company Name], 1, 1)) + 1), ROW(93:93)), COLUMN(B:B)), "")</f>
        <v>9. Trái phiếu chuyển đổi</v>
      </c>
      <c r="D95" s="47">
        <f t="array" ref="D95">IFERROR(INDEX(balance_sheet_annual[#All], SMALL(IF(LOWER(balance_sheet_annual[Company Name]) = LOWER(balance_sheet_annual_filter!$B$2), ROW(balance_sheet_annual[Company Name]) - ROW(INDEX(balance_sheet_annual[Company Name], 1, 1)) + 1), ROW(93:93)), COLUMN(C:C)), "")</f>
        <v>0</v>
      </c>
      <c r="E95" s="11">
        <f t="array" ref="E95">IFERROR(INDEX(balance_sheet_annual[#All], SMALL(IF(LOWER(balance_sheet_annual[Company Name]) = LOWER(balance_sheet_annual_filter!$B$2), ROW(balance_sheet_annual[Company Name]) - ROW(INDEX(balance_sheet_annual[Company Name], 1, 1)) + 1), ROW(93:93)), COLUMN(D:D)), "")</f>
        <v>0</v>
      </c>
      <c r="F95" s="11">
        <f t="array" ref="F95">IFERROR(INDEX(balance_sheet_annual[#All], SMALL(IF(LOWER(balance_sheet_annual[Company Name]) = LOWER(balance_sheet_annual_filter!$B$2), ROW(balance_sheet_annual[Company Name]) - ROW(INDEX(balance_sheet_annual[Company Name], 1, 1)) + 1), ROW(93:93)), COLUMN(E:E)), "")</f>
        <v>0</v>
      </c>
      <c r="G95" s="11">
        <f t="array" ref="G95">IFERROR(INDEX(balance_sheet_annual[#All], SMALL(IF(LOWER(balance_sheet_annual[Company Name]) = LOWER(balance_sheet_annual_filter!$B$2), ROW(balance_sheet_annual[Company Name]) - ROW(INDEX(balance_sheet_annual[Company Name], 1, 1)) + 1), ROW(93:93)), COLUMN(F:F)), "")</f>
        <v>0</v>
      </c>
    </row>
    <row r="96" spans="2:7" ht="15.5" x14ac:dyDescent="0.35">
      <c r="B96" s="2"/>
      <c r="C96" s="12" t="str">
        <f t="array" ref="C96">IFERROR(INDEX(balance_sheet_annual[#All], SMALL(IF(LOWER(balance_sheet_annual[Company Name]) = LOWER(balance_sheet_annual_filter!$B$2), ROW(balance_sheet_annual[Company Name]) - ROW(INDEX(balance_sheet_annual[Company Name], 1, 1)) + 1), ROW(94:94)), COLUMN(B:B)), "")</f>
        <v>10. Cổ phiếu ưu đãi</v>
      </c>
      <c r="D96" s="47">
        <f t="array" ref="D96">IFERROR(INDEX(balance_sheet_annual[#All], SMALL(IF(LOWER(balance_sheet_annual[Company Name]) = LOWER(balance_sheet_annual_filter!$B$2), ROW(balance_sheet_annual[Company Name]) - ROW(INDEX(balance_sheet_annual[Company Name], 1, 1)) + 1), ROW(94:94)), COLUMN(C:C)), "")</f>
        <v>0</v>
      </c>
      <c r="E96" s="11">
        <f t="array" ref="E96">IFERROR(INDEX(balance_sheet_annual[#All], SMALL(IF(LOWER(balance_sheet_annual[Company Name]) = LOWER(balance_sheet_annual_filter!$B$2), ROW(balance_sheet_annual[Company Name]) - ROW(INDEX(balance_sheet_annual[Company Name], 1, 1)) + 1), ROW(94:94)), COLUMN(D:D)), "")</f>
        <v>0</v>
      </c>
      <c r="F96" s="11">
        <f t="array" ref="F96">IFERROR(INDEX(balance_sheet_annual[#All], SMALL(IF(LOWER(balance_sheet_annual[Company Name]) = LOWER(balance_sheet_annual_filter!$B$2), ROW(balance_sheet_annual[Company Name]) - ROW(INDEX(balance_sheet_annual[Company Name], 1, 1)) + 1), ROW(94:94)), COLUMN(E:E)), "")</f>
        <v>0</v>
      </c>
      <c r="G96" s="11">
        <f t="array" ref="G96">IFERROR(INDEX(balance_sheet_annual[#All], SMALL(IF(LOWER(balance_sheet_annual[Company Name]) = LOWER(balance_sheet_annual_filter!$B$2), ROW(balance_sheet_annual[Company Name]) - ROW(INDEX(balance_sheet_annual[Company Name], 1, 1)) + 1), ROW(94:94)), COLUMN(F:F)), "")</f>
        <v>0</v>
      </c>
    </row>
    <row r="97" spans="2:7" ht="15.5" x14ac:dyDescent="0.35">
      <c r="B97" s="2"/>
      <c r="C97" s="12" t="str">
        <f t="array" ref="C97">IFERROR(INDEX(balance_sheet_annual[#All], SMALL(IF(LOWER(balance_sheet_annual[Company Name]) = LOWER(balance_sheet_annual_filter!$B$2), ROW(balance_sheet_annual[Company Name]) - ROW(INDEX(balance_sheet_annual[Company Name], 1, 1)) + 1), ROW(95:95)), COLUMN(B:B)), "")</f>
        <v>11. Thuế thu nhập hoãn lại phải trả</v>
      </c>
      <c r="D97" s="47">
        <f t="array" ref="D97">IFERROR(INDEX(balance_sheet_annual[#All], SMALL(IF(LOWER(balance_sheet_annual[Company Name]) = LOWER(balance_sheet_annual_filter!$B$2), ROW(balance_sheet_annual[Company Name]) - ROW(INDEX(balance_sheet_annual[Company Name], 1, 1)) + 1), ROW(95:95)), COLUMN(C:C)), "")</f>
        <v>0</v>
      </c>
      <c r="E97" s="11">
        <f t="array" ref="E97">IFERROR(INDEX(balance_sheet_annual[#All], SMALL(IF(LOWER(balance_sheet_annual[Company Name]) = LOWER(balance_sheet_annual_filter!$B$2), ROW(balance_sheet_annual[Company Name]) - ROW(INDEX(balance_sheet_annual[Company Name], 1, 1)) + 1), ROW(95:95)), COLUMN(D:D)), "")</f>
        <v>0</v>
      </c>
      <c r="F97" s="11">
        <f t="array" ref="F97">IFERROR(INDEX(balance_sheet_annual[#All], SMALL(IF(LOWER(balance_sheet_annual[Company Name]) = LOWER(balance_sheet_annual_filter!$B$2), ROW(balance_sheet_annual[Company Name]) - ROW(INDEX(balance_sheet_annual[Company Name], 1, 1)) + 1), ROW(95:95)), COLUMN(E:E)), "")</f>
        <v>0</v>
      </c>
      <c r="G97" s="11">
        <f t="array" ref="G97">IFERROR(INDEX(balance_sheet_annual[#All], SMALL(IF(LOWER(balance_sheet_annual[Company Name]) = LOWER(balance_sheet_annual_filter!$B$2), ROW(balance_sheet_annual[Company Name]) - ROW(INDEX(balance_sheet_annual[Company Name], 1, 1)) + 1), ROW(95:95)), COLUMN(F:F)), "")</f>
        <v>0</v>
      </c>
    </row>
    <row r="98" spans="2:7" ht="15.5" x14ac:dyDescent="0.35">
      <c r="B98" s="2"/>
      <c r="C98" s="12" t="str">
        <f t="array" ref="C98">IFERROR(INDEX(balance_sheet_annual[#All], SMALL(IF(LOWER(balance_sheet_annual[Company Name]) = LOWER(balance_sheet_annual_filter!$B$2), ROW(balance_sheet_annual[Company Name]) - ROW(INDEX(balance_sheet_annual[Company Name], 1, 1)) + 1), ROW(96:96)), COLUMN(B:B)), "")</f>
        <v>12. Dự phòng phải trả dài hạn</v>
      </c>
      <c r="D98" s="47">
        <f t="array" ref="D98">IFERROR(INDEX(balance_sheet_annual[#All], SMALL(IF(LOWER(balance_sheet_annual[Company Name]) = LOWER(balance_sheet_annual_filter!$B$2), ROW(balance_sheet_annual[Company Name]) - ROW(INDEX(balance_sheet_annual[Company Name], 1, 1)) + 1), ROW(96:96)), COLUMN(C:C)), "")</f>
        <v>0</v>
      </c>
      <c r="E98" s="11">
        <f t="array" ref="E98">IFERROR(INDEX(balance_sheet_annual[#All], SMALL(IF(LOWER(balance_sheet_annual[Company Name]) = LOWER(balance_sheet_annual_filter!$B$2), ROW(balance_sheet_annual[Company Name]) - ROW(INDEX(balance_sheet_annual[Company Name], 1, 1)) + 1), ROW(96:96)), COLUMN(D:D)), "")</f>
        <v>0</v>
      </c>
      <c r="F98" s="11">
        <f t="array" ref="F98">IFERROR(INDEX(balance_sheet_annual[#All], SMALL(IF(LOWER(balance_sheet_annual[Company Name]) = LOWER(balance_sheet_annual_filter!$B$2), ROW(balance_sheet_annual[Company Name]) - ROW(INDEX(balance_sheet_annual[Company Name], 1, 1)) + 1), ROW(96:96)), COLUMN(E:E)), "")</f>
        <v>0</v>
      </c>
      <c r="G98" s="11">
        <f t="array" ref="G98">IFERROR(INDEX(balance_sheet_annual[#All], SMALL(IF(LOWER(balance_sheet_annual[Company Name]) = LOWER(balance_sheet_annual_filter!$B$2), ROW(balance_sheet_annual[Company Name]) - ROW(INDEX(balance_sheet_annual[Company Name], 1, 1)) + 1), ROW(96:96)), COLUMN(F:F)), "")</f>
        <v>0</v>
      </c>
    </row>
    <row r="99" spans="2:7" ht="15.5" x14ac:dyDescent="0.35">
      <c r="B99" s="2"/>
      <c r="C99" s="12" t="str">
        <f t="array" ref="C99">IFERROR(INDEX(balance_sheet_annual[#All], SMALL(IF(LOWER(balance_sheet_annual[Company Name]) = LOWER(balance_sheet_annual_filter!$B$2), ROW(balance_sheet_annual[Company Name]) - ROW(INDEX(balance_sheet_annual[Company Name], 1, 1)) + 1), ROW(97:97)), COLUMN(B:B)), "")</f>
        <v>13. Quỹ phát triển khoa học và công nghệ</v>
      </c>
      <c r="D99" s="47">
        <f t="array" ref="D99">IFERROR(INDEX(balance_sheet_annual[#All], SMALL(IF(LOWER(balance_sheet_annual[Company Name]) = LOWER(balance_sheet_annual_filter!$B$2), ROW(balance_sheet_annual[Company Name]) - ROW(INDEX(balance_sheet_annual[Company Name], 1, 1)) + 1), ROW(97:97)), COLUMN(C:C)), "")</f>
        <v>0</v>
      </c>
      <c r="E99" s="11">
        <f t="array" ref="E99">IFERROR(INDEX(balance_sheet_annual[#All], SMALL(IF(LOWER(balance_sheet_annual[Company Name]) = LOWER(balance_sheet_annual_filter!$B$2), ROW(balance_sheet_annual[Company Name]) - ROW(INDEX(balance_sheet_annual[Company Name], 1, 1)) + 1), ROW(97:97)), COLUMN(D:D)), "")</f>
        <v>0</v>
      </c>
      <c r="F99" s="11">
        <f t="array" ref="F99">IFERROR(INDEX(balance_sheet_annual[#All], SMALL(IF(LOWER(balance_sheet_annual[Company Name]) = LOWER(balance_sheet_annual_filter!$B$2), ROW(balance_sheet_annual[Company Name]) - ROW(INDEX(balance_sheet_annual[Company Name], 1, 1)) + 1), ROW(97:97)), COLUMN(E:E)), "")</f>
        <v>0</v>
      </c>
      <c r="G99" s="11">
        <f t="array" ref="G99">IFERROR(INDEX(balance_sheet_annual[#All], SMALL(IF(LOWER(balance_sheet_annual[Company Name]) = LOWER(balance_sheet_annual_filter!$B$2), ROW(balance_sheet_annual[Company Name]) - ROW(INDEX(balance_sheet_annual[Company Name], 1, 1)) + 1), ROW(97:97)), COLUMN(F:F)), "")</f>
        <v>0</v>
      </c>
    </row>
    <row r="100" spans="2:7" ht="15.5" x14ac:dyDescent="0.35">
      <c r="B100" s="2"/>
      <c r="C100" s="12" t="str">
        <f t="array" ref="C100">IFERROR(INDEX(balance_sheet_annual[#All], SMALL(IF(LOWER(balance_sheet_annual[Company Name]) = LOWER(balance_sheet_annual_filter!$B$2), ROW(balance_sheet_annual[Company Name]) - ROW(INDEX(balance_sheet_annual[Company Name], 1, 1)) + 1), ROW(98:98)), COLUMN(B:B)), "")</f>
        <v>D.VỐN CHỦ SỞ HỮU</v>
      </c>
      <c r="D100" s="47">
        <f t="array" ref="D100">IFERROR(INDEX(balance_sheet_annual[#All], SMALL(IF(LOWER(balance_sheet_annual[Company Name]) = LOWER(balance_sheet_annual_filter!$B$2), ROW(balance_sheet_annual[Company Name]) - ROW(INDEX(balance_sheet_annual[Company Name], 1, 1)) + 1), ROW(98:98)), COLUMN(C:C)), "")</f>
        <v>1652693449394</v>
      </c>
      <c r="E100" s="11">
        <f t="array" ref="E100">IFERROR(INDEX(balance_sheet_annual[#All], SMALL(IF(LOWER(balance_sheet_annual[Company Name]) = LOWER(balance_sheet_annual_filter!$B$2), ROW(balance_sheet_annual[Company Name]) - ROW(INDEX(balance_sheet_annual[Company Name], 1, 1)) + 1), ROW(98:98)), COLUMN(D:D)), "")</f>
        <v>1759967133548</v>
      </c>
      <c r="F100" s="11">
        <f t="array" ref="F100">IFERROR(INDEX(balance_sheet_annual[#All], SMALL(IF(LOWER(balance_sheet_annual[Company Name]) = LOWER(balance_sheet_annual_filter!$B$2), ROW(balance_sheet_annual[Company Name]) - ROW(INDEX(balance_sheet_annual[Company Name], 1, 1)) + 1), ROW(98:98)), COLUMN(E:E)), "")</f>
        <v>1915395571532</v>
      </c>
      <c r="G100" s="11">
        <f t="array" ref="G100">IFERROR(INDEX(balance_sheet_annual[#All], SMALL(IF(LOWER(balance_sheet_annual[Company Name]) = LOWER(balance_sheet_annual_filter!$B$2), ROW(balance_sheet_annual[Company Name]) - ROW(INDEX(balance_sheet_annual[Company Name], 1, 1)) + 1), ROW(98:98)), COLUMN(F:F)), "")</f>
        <v>1981590062446</v>
      </c>
    </row>
    <row r="101" spans="2:7" ht="15.5" x14ac:dyDescent="0.35">
      <c r="B101" s="2"/>
      <c r="C101" s="12" t="str">
        <f t="array" ref="C101">IFERROR(INDEX(balance_sheet_annual[#All], SMALL(IF(LOWER(balance_sheet_annual[Company Name]) = LOWER(balance_sheet_annual_filter!$B$2), ROW(balance_sheet_annual[Company Name]) - ROW(INDEX(balance_sheet_annual[Company Name], 1, 1)) + 1), ROW(99:99)), COLUMN(B:B)), "")</f>
        <v>I. Vốn chủ sở hữu</v>
      </c>
      <c r="D101" s="47">
        <f t="array" ref="D101">IFERROR(INDEX(balance_sheet_annual[#All], SMALL(IF(LOWER(balance_sheet_annual[Company Name]) = LOWER(balance_sheet_annual_filter!$B$2), ROW(balance_sheet_annual[Company Name]) - ROW(INDEX(balance_sheet_annual[Company Name], 1, 1)) + 1), ROW(99:99)), COLUMN(C:C)), "")</f>
        <v>1652693449394</v>
      </c>
      <c r="E101" s="11">
        <f t="array" ref="E101">IFERROR(INDEX(balance_sheet_annual[#All], SMALL(IF(LOWER(balance_sheet_annual[Company Name]) = LOWER(balance_sheet_annual_filter!$B$2), ROW(balance_sheet_annual[Company Name]) - ROW(INDEX(balance_sheet_annual[Company Name], 1, 1)) + 1), ROW(99:99)), COLUMN(D:D)), "")</f>
        <v>1759967133548</v>
      </c>
      <c r="F101" s="11">
        <f t="array" ref="F101">IFERROR(INDEX(balance_sheet_annual[#All], SMALL(IF(LOWER(balance_sheet_annual[Company Name]) = LOWER(balance_sheet_annual_filter!$B$2), ROW(balance_sheet_annual[Company Name]) - ROW(INDEX(balance_sheet_annual[Company Name], 1, 1)) + 1), ROW(99:99)), COLUMN(E:E)), "")</f>
        <v>1915395571532</v>
      </c>
      <c r="G101" s="11">
        <f t="array" ref="G101">IFERROR(INDEX(balance_sheet_annual[#All], SMALL(IF(LOWER(balance_sheet_annual[Company Name]) = LOWER(balance_sheet_annual_filter!$B$2), ROW(balance_sheet_annual[Company Name]) - ROW(INDEX(balance_sheet_annual[Company Name], 1, 1)) + 1), ROW(99:99)), COLUMN(F:F)), "")</f>
        <v>1981590062446</v>
      </c>
    </row>
    <row r="102" spans="2:7" ht="15.5" x14ac:dyDescent="0.35">
      <c r="B102" s="2"/>
      <c r="C102" s="12" t="str">
        <f t="array" ref="C102">IFERROR(INDEX(balance_sheet_annual[#All], SMALL(IF(LOWER(balance_sheet_annual[Company Name]) = LOWER(balance_sheet_annual_filter!$B$2), ROW(balance_sheet_annual[Company Name]) - ROW(INDEX(balance_sheet_annual[Company Name], 1, 1)) + 1), ROW(100:100)), COLUMN(B:B)), "")</f>
        <v>1. Vốn góp của chủ sở hữu</v>
      </c>
      <c r="D102" s="47">
        <f t="array" ref="D102">IFERROR(INDEX(balance_sheet_annual[#All], SMALL(IF(LOWER(balance_sheet_annual[Company Name]) = LOWER(balance_sheet_annual_filter!$B$2), ROW(balance_sheet_annual[Company Name]) - ROW(INDEX(balance_sheet_annual[Company Name], 1, 1)) + 1), ROW(100:100)), COLUMN(C:C)), "")</f>
        <v>1350000000000</v>
      </c>
      <c r="E102" s="11">
        <f t="array" ref="E102">IFERROR(INDEX(balance_sheet_annual[#All], SMALL(IF(LOWER(balance_sheet_annual[Company Name]) = LOWER(balance_sheet_annual_filter!$B$2), ROW(balance_sheet_annual[Company Name]) - ROW(INDEX(balance_sheet_annual[Company Name], 1, 1)) + 1), ROW(100:100)), COLUMN(D:D)), "")</f>
        <v>1457999040000</v>
      </c>
      <c r="F102" s="11">
        <f t="array" ref="F102">IFERROR(INDEX(balance_sheet_annual[#All], SMALL(IF(LOWER(balance_sheet_annual[Company Name]) = LOWER(balance_sheet_annual_filter!$B$2), ROW(balance_sheet_annual[Company Name]) - ROW(INDEX(balance_sheet_annual[Company Name], 1, 1)) + 1), ROW(100:100)), COLUMN(E:E)), "")</f>
        <v>1574629370000</v>
      </c>
      <c r="G102" s="11">
        <f t="array" ref="G102">IFERROR(INDEX(balance_sheet_annual[#All], SMALL(IF(LOWER(balance_sheet_annual[Company Name]) = LOWER(balance_sheet_annual_filter!$B$2), ROW(balance_sheet_annual[Company Name]) - ROW(INDEX(balance_sheet_annual[Company Name], 1, 1)) + 1), ROW(100:100)), COLUMN(F:F)), "")</f>
        <v>1700575930000</v>
      </c>
    </row>
    <row r="103" spans="2:7" ht="15.5" x14ac:dyDescent="0.35">
      <c r="B103" s="2"/>
      <c r="C103" s="12" t="str">
        <f t="array" ref="C103">IFERROR(INDEX(balance_sheet_annual[#All], SMALL(IF(LOWER(balance_sheet_annual[Company Name]) = LOWER(balance_sheet_annual_filter!$B$2), ROW(balance_sheet_annual[Company Name]) - ROW(INDEX(balance_sheet_annual[Company Name], 1, 1)) + 1), ROW(101:101)), COLUMN(B:B)), "")</f>
        <v>- Cổ phiếu phổ thông có quyền biểu quyết</v>
      </c>
      <c r="D103" s="47">
        <f t="array" ref="D103">IFERROR(INDEX(balance_sheet_annual[#All], SMALL(IF(LOWER(balance_sheet_annual[Company Name]) = LOWER(balance_sheet_annual_filter!$B$2), ROW(balance_sheet_annual[Company Name]) - ROW(INDEX(balance_sheet_annual[Company Name], 1, 1)) + 1), ROW(101:101)), COLUMN(C:C)), "")</f>
        <v>1350000000000</v>
      </c>
      <c r="E103" s="11">
        <f t="array" ref="E103">IFERROR(INDEX(balance_sheet_annual[#All], SMALL(IF(LOWER(balance_sheet_annual[Company Name]) = LOWER(balance_sheet_annual_filter!$B$2), ROW(balance_sheet_annual[Company Name]) - ROW(INDEX(balance_sheet_annual[Company Name], 1, 1)) + 1), ROW(101:101)), COLUMN(D:D)), "")</f>
        <v>1457999040000</v>
      </c>
      <c r="F103" s="11">
        <f t="array" ref="F103">IFERROR(INDEX(balance_sheet_annual[#All], SMALL(IF(LOWER(balance_sheet_annual[Company Name]) = LOWER(balance_sheet_annual_filter!$B$2), ROW(balance_sheet_annual[Company Name]) - ROW(INDEX(balance_sheet_annual[Company Name], 1, 1)) + 1), ROW(101:101)), COLUMN(E:E)), "")</f>
        <v>1574629370000</v>
      </c>
      <c r="G103" s="11">
        <f t="array" ref="G103">IFERROR(INDEX(balance_sheet_annual[#All], SMALL(IF(LOWER(balance_sheet_annual[Company Name]) = LOWER(balance_sheet_annual_filter!$B$2), ROW(balance_sheet_annual[Company Name]) - ROW(INDEX(balance_sheet_annual[Company Name], 1, 1)) + 1), ROW(101:101)), COLUMN(F:F)), "")</f>
        <v>1700575930000</v>
      </c>
    </row>
    <row r="104" spans="2:7" ht="15.5" x14ac:dyDescent="0.35">
      <c r="B104" s="2"/>
      <c r="C104" s="12" t="str">
        <f t="array" ref="C104">IFERROR(INDEX(balance_sheet_annual[#All], SMALL(IF(LOWER(balance_sheet_annual[Company Name]) = LOWER(balance_sheet_annual_filter!$B$2), ROW(balance_sheet_annual[Company Name]) - ROW(INDEX(balance_sheet_annual[Company Name], 1, 1)) + 1), ROW(102:102)), COLUMN(B:B)), "")</f>
        <v>- Cổ phiếu ưu đãi</v>
      </c>
      <c r="D104" s="47">
        <f t="array" ref="D104">IFERROR(INDEX(balance_sheet_annual[#All], SMALL(IF(LOWER(balance_sheet_annual[Company Name]) = LOWER(balance_sheet_annual_filter!$B$2), ROW(balance_sheet_annual[Company Name]) - ROW(INDEX(balance_sheet_annual[Company Name], 1, 1)) + 1), ROW(102:102)), COLUMN(C:C)), "")</f>
        <v>0</v>
      </c>
      <c r="E104" s="11">
        <f t="array" ref="E104">IFERROR(INDEX(balance_sheet_annual[#All], SMALL(IF(LOWER(balance_sheet_annual[Company Name]) = LOWER(balance_sheet_annual_filter!$B$2), ROW(balance_sheet_annual[Company Name]) - ROW(INDEX(balance_sheet_annual[Company Name], 1, 1)) + 1), ROW(102:102)), COLUMN(D:D)), "")</f>
        <v>0</v>
      </c>
      <c r="F104" s="11">
        <f t="array" ref="F104">IFERROR(INDEX(balance_sheet_annual[#All], SMALL(IF(LOWER(balance_sheet_annual[Company Name]) = LOWER(balance_sheet_annual_filter!$B$2), ROW(balance_sheet_annual[Company Name]) - ROW(INDEX(balance_sheet_annual[Company Name], 1, 1)) + 1), ROW(102:102)), COLUMN(E:E)), "")</f>
        <v>0</v>
      </c>
      <c r="G104" s="11">
        <f t="array" ref="G104">IFERROR(INDEX(balance_sheet_annual[#All], SMALL(IF(LOWER(balance_sheet_annual[Company Name]) = LOWER(balance_sheet_annual_filter!$B$2), ROW(balance_sheet_annual[Company Name]) - ROW(INDEX(balance_sheet_annual[Company Name], 1, 1)) + 1), ROW(102:102)), COLUMN(F:F)), "")</f>
        <v>0</v>
      </c>
    </row>
    <row r="105" spans="2:7" ht="15.5" x14ac:dyDescent="0.35">
      <c r="B105" s="2"/>
      <c r="C105" s="12" t="str">
        <f t="array" ref="C105">IFERROR(INDEX(balance_sheet_annual[#All], SMALL(IF(LOWER(balance_sheet_annual[Company Name]) = LOWER(balance_sheet_annual_filter!$B$2), ROW(balance_sheet_annual[Company Name]) - ROW(INDEX(balance_sheet_annual[Company Name], 1, 1)) + 1), ROW(103:103)), COLUMN(B:B)), "")</f>
        <v>2. Thặng dư vốn cổ phần</v>
      </c>
      <c r="D105" s="47">
        <f t="array" ref="D105">IFERROR(INDEX(balance_sheet_annual[#All], SMALL(IF(LOWER(balance_sheet_annual[Company Name]) = LOWER(balance_sheet_annual_filter!$B$2), ROW(balance_sheet_annual[Company Name]) - ROW(INDEX(balance_sheet_annual[Company Name], 1, 1)) + 1), ROW(103:103)), COLUMN(C:C)), "")</f>
        <v>0</v>
      </c>
      <c r="E105" s="11">
        <f t="array" ref="E105">IFERROR(INDEX(balance_sheet_annual[#All], SMALL(IF(LOWER(balance_sheet_annual[Company Name]) = LOWER(balance_sheet_annual_filter!$B$2), ROW(balance_sheet_annual[Company Name]) - ROW(INDEX(balance_sheet_annual[Company Name], 1, 1)) + 1), ROW(103:103)), COLUMN(D:D)), "")</f>
        <v>0</v>
      </c>
      <c r="F105" s="11">
        <f t="array" ref="F105">IFERROR(INDEX(balance_sheet_annual[#All], SMALL(IF(LOWER(balance_sheet_annual[Company Name]) = LOWER(balance_sheet_annual_filter!$B$2), ROW(balance_sheet_annual[Company Name]) - ROW(INDEX(balance_sheet_annual[Company Name], 1, 1)) + 1), ROW(103:103)), COLUMN(E:E)), "")</f>
        <v>0</v>
      </c>
      <c r="G105" s="11">
        <f t="array" ref="G105">IFERROR(INDEX(balance_sheet_annual[#All], SMALL(IF(LOWER(balance_sheet_annual[Company Name]) = LOWER(balance_sheet_annual_filter!$B$2), ROW(balance_sheet_annual[Company Name]) - ROW(INDEX(balance_sheet_annual[Company Name], 1, 1)) + 1), ROW(103:103)), COLUMN(F:F)), "")</f>
        <v>0</v>
      </c>
    </row>
    <row r="106" spans="2:7" ht="15.5" x14ac:dyDescent="0.35">
      <c r="B106" s="2"/>
      <c r="C106" s="12" t="str">
        <f t="array" ref="C106">IFERROR(INDEX(balance_sheet_annual[#All], SMALL(IF(LOWER(balance_sheet_annual[Company Name]) = LOWER(balance_sheet_annual_filter!$B$2), ROW(balance_sheet_annual[Company Name]) - ROW(INDEX(balance_sheet_annual[Company Name], 1, 1)) + 1), ROW(104:104)), COLUMN(B:B)), "")</f>
        <v>3. Quyền chọn chuyển đổi trái phiếu</v>
      </c>
      <c r="D106" s="47">
        <f t="array" ref="D106">IFERROR(INDEX(balance_sheet_annual[#All], SMALL(IF(LOWER(balance_sheet_annual[Company Name]) = LOWER(balance_sheet_annual_filter!$B$2), ROW(balance_sheet_annual[Company Name]) - ROW(INDEX(balance_sheet_annual[Company Name], 1, 1)) + 1), ROW(104:104)), COLUMN(C:C)), "")</f>
        <v>0</v>
      </c>
      <c r="E106" s="11">
        <f t="array" ref="E106">IFERROR(INDEX(balance_sheet_annual[#All], SMALL(IF(LOWER(balance_sheet_annual[Company Name]) = LOWER(balance_sheet_annual_filter!$B$2), ROW(balance_sheet_annual[Company Name]) - ROW(INDEX(balance_sheet_annual[Company Name], 1, 1)) + 1), ROW(104:104)), COLUMN(D:D)), "")</f>
        <v>0</v>
      </c>
      <c r="F106" s="11">
        <f t="array" ref="F106">IFERROR(INDEX(balance_sheet_annual[#All], SMALL(IF(LOWER(balance_sheet_annual[Company Name]) = LOWER(balance_sheet_annual_filter!$B$2), ROW(balance_sheet_annual[Company Name]) - ROW(INDEX(balance_sheet_annual[Company Name], 1, 1)) + 1), ROW(104:104)), COLUMN(E:E)), "")</f>
        <v>0</v>
      </c>
      <c r="G106" s="11">
        <f t="array" ref="G106">IFERROR(INDEX(balance_sheet_annual[#All], SMALL(IF(LOWER(balance_sheet_annual[Company Name]) = LOWER(balance_sheet_annual_filter!$B$2), ROW(balance_sheet_annual[Company Name]) - ROW(INDEX(balance_sheet_annual[Company Name], 1, 1)) + 1), ROW(104:104)), COLUMN(F:F)), "")</f>
        <v>0</v>
      </c>
    </row>
    <row r="107" spans="2:7" ht="15.5" x14ac:dyDescent="0.35">
      <c r="B107" s="2"/>
      <c r="C107" s="12" t="str">
        <f t="array" ref="C107">IFERROR(INDEX(balance_sheet_annual[#All], SMALL(IF(LOWER(balance_sheet_annual[Company Name]) = LOWER(balance_sheet_annual_filter!$B$2), ROW(balance_sheet_annual[Company Name]) - ROW(INDEX(balance_sheet_annual[Company Name], 1, 1)) + 1), ROW(105:105)), COLUMN(B:B)), "")</f>
        <v>4. Vốn khác của chủ sở hữu</v>
      </c>
      <c r="D107" s="47">
        <f t="array" ref="D107">IFERROR(INDEX(balance_sheet_annual[#All], SMALL(IF(LOWER(balance_sheet_annual[Company Name]) = LOWER(balance_sheet_annual_filter!$B$2), ROW(balance_sheet_annual[Company Name]) - ROW(INDEX(balance_sheet_annual[Company Name], 1, 1)) + 1), ROW(105:105)), COLUMN(C:C)), "")</f>
        <v>0</v>
      </c>
      <c r="E107" s="11">
        <f t="array" ref="E107">IFERROR(INDEX(balance_sheet_annual[#All], SMALL(IF(LOWER(balance_sheet_annual[Company Name]) = LOWER(balance_sheet_annual_filter!$B$2), ROW(balance_sheet_annual[Company Name]) - ROW(INDEX(balance_sheet_annual[Company Name], 1, 1)) + 1), ROW(105:105)), COLUMN(D:D)), "")</f>
        <v>0</v>
      </c>
      <c r="F107" s="11">
        <f t="array" ref="F107">IFERROR(INDEX(balance_sheet_annual[#All], SMALL(IF(LOWER(balance_sheet_annual[Company Name]) = LOWER(balance_sheet_annual_filter!$B$2), ROW(balance_sheet_annual[Company Name]) - ROW(INDEX(balance_sheet_annual[Company Name], 1, 1)) + 1), ROW(105:105)), COLUMN(E:E)), "")</f>
        <v>0</v>
      </c>
      <c r="G107" s="11">
        <f t="array" ref="G107">IFERROR(INDEX(balance_sheet_annual[#All], SMALL(IF(LOWER(balance_sheet_annual[Company Name]) = LOWER(balance_sheet_annual_filter!$B$2), ROW(balance_sheet_annual[Company Name]) - ROW(INDEX(balance_sheet_annual[Company Name], 1, 1)) + 1), ROW(105:105)), COLUMN(F:F)), "")</f>
        <v>0</v>
      </c>
    </row>
    <row r="108" spans="2:7" ht="15.5" x14ac:dyDescent="0.35">
      <c r="B108" s="2"/>
      <c r="C108" s="12" t="str">
        <f t="array" ref="C108">IFERROR(INDEX(balance_sheet_annual[#All], SMALL(IF(LOWER(balance_sheet_annual[Company Name]) = LOWER(balance_sheet_annual_filter!$B$2), ROW(balance_sheet_annual[Company Name]) - ROW(INDEX(balance_sheet_annual[Company Name], 1, 1)) + 1), ROW(106:106)), COLUMN(B:B)), "")</f>
        <v>5. Cổ phiếu quỹ</v>
      </c>
      <c r="D108" s="47">
        <f t="array" ref="D108">IFERROR(INDEX(balance_sheet_annual[#All], SMALL(IF(LOWER(balance_sheet_annual[Company Name]) = LOWER(balance_sheet_annual_filter!$B$2), ROW(balance_sheet_annual[Company Name]) - ROW(INDEX(balance_sheet_annual[Company Name], 1, 1)) + 1), ROW(106:106)), COLUMN(C:C)), "")</f>
        <v>0</v>
      </c>
      <c r="E108" s="11">
        <f t="array" ref="E108">IFERROR(INDEX(balance_sheet_annual[#All], SMALL(IF(LOWER(balance_sheet_annual[Company Name]) = LOWER(balance_sheet_annual_filter!$B$2), ROW(balance_sheet_annual[Company Name]) - ROW(INDEX(balance_sheet_annual[Company Name], 1, 1)) + 1), ROW(106:106)), COLUMN(D:D)), "")</f>
        <v>0</v>
      </c>
      <c r="F108" s="11">
        <f t="array" ref="F108">IFERROR(INDEX(balance_sheet_annual[#All], SMALL(IF(LOWER(balance_sheet_annual[Company Name]) = LOWER(balance_sheet_annual_filter!$B$2), ROW(balance_sheet_annual[Company Name]) - ROW(INDEX(balance_sheet_annual[Company Name], 1, 1)) + 1), ROW(106:106)), COLUMN(E:E)), "")</f>
        <v>0</v>
      </c>
      <c r="G108" s="11">
        <f t="array" ref="G108">IFERROR(INDEX(balance_sheet_annual[#All], SMALL(IF(LOWER(balance_sheet_annual[Company Name]) = LOWER(balance_sheet_annual_filter!$B$2), ROW(balance_sheet_annual[Company Name]) - ROW(INDEX(balance_sheet_annual[Company Name], 1, 1)) + 1), ROW(106:106)), COLUMN(F:F)), "")</f>
        <v>0</v>
      </c>
    </row>
    <row r="109" spans="2:7" ht="15.5" x14ac:dyDescent="0.35">
      <c r="B109" s="2"/>
      <c r="C109" s="12" t="str">
        <f t="array" ref="C109">IFERROR(INDEX(balance_sheet_annual[#All], SMALL(IF(LOWER(balance_sheet_annual[Company Name]) = LOWER(balance_sheet_annual_filter!$B$2), ROW(balance_sheet_annual[Company Name]) - ROW(INDEX(balance_sheet_annual[Company Name], 1, 1)) + 1), ROW(107:107)), COLUMN(B:B)), "")</f>
        <v>6. Chênh lệch đánh giá lại tài sản</v>
      </c>
      <c r="D109" s="47">
        <f t="array" ref="D109">IFERROR(INDEX(balance_sheet_annual[#All], SMALL(IF(LOWER(balance_sheet_annual[Company Name]) = LOWER(balance_sheet_annual_filter!$B$2), ROW(balance_sheet_annual[Company Name]) - ROW(INDEX(balance_sheet_annual[Company Name], 1, 1)) + 1), ROW(107:107)), COLUMN(C:C)), "")</f>
        <v>0</v>
      </c>
      <c r="E109" s="11">
        <f t="array" ref="E109">IFERROR(INDEX(balance_sheet_annual[#All], SMALL(IF(LOWER(balance_sheet_annual[Company Name]) = LOWER(balance_sheet_annual_filter!$B$2), ROW(balance_sheet_annual[Company Name]) - ROW(INDEX(balance_sheet_annual[Company Name], 1, 1)) + 1), ROW(107:107)), COLUMN(D:D)), "")</f>
        <v>0</v>
      </c>
      <c r="F109" s="11">
        <f t="array" ref="F109">IFERROR(INDEX(balance_sheet_annual[#All], SMALL(IF(LOWER(balance_sheet_annual[Company Name]) = LOWER(balance_sheet_annual_filter!$B$2), ROW(balance_sheet_annual[Company Name]) - ROW(INDEX(balance_sheet_annual[Company Name], 1, 1)) + 1), ROW(107:107)), COLUMN(E:E)), "")</f>
        <v>0</v>
      </c>
      <c r="G109" s="11">
        <f t="array" ref="G109">IFERROR(INDEX(balance_sheet_annual[#All], SMALL(IF(LOWER(balance_sheet_annual[Company Name]) = LOWER(balance_sheet_annual_filter!$B$2), ROW(balance_sheet_annual[Company Name]) - ROW(INDEX(balance_sheet_annual[Company Name], 1, 1)) + 1), ROW(107:107)), COLUMN(F:F)), "")</f>
        <v>0</v>
      </c>
    </row>
    <row r="110" spans="2:7" ht="15.5" x14ac:dyDescent="0.35">
      <c r="B110" s="2"/>
      <c r="C110" s="12" t="str">
        <f t="array" ref="C110">IFERROR(INDEX(balance_sheet_annual[#All], SMALL(IF(LOWER(balance_sheet_annual[Company Name]) = LOWER(balance_sheet_annual_filter!$B$2), ROW(balance_sheet_annual[Company Name]) - ROW(INDEX(balance_sheet_annual[Company Name], 1, 1)) + 1), ROW(108:108)), COLUMN(B:B)), "")</f>
        <v>7. Chênh lệch tỷ giá hối đoái</v>
      </c>
      <c r="D110" s="47">
        <f t="array" ref="D110">IFERROR(INDEX(balance_sheet_annual[#All], SMALL(IF(LOWER(balance_sheet_annual[Company Name]) = LOWER(balance_sheet_annual_filter!$B$2), ROW(balance_sheet_annual[Company Name]) - ROW(INDEX(balance_sheet_annual[Company Name], 1, 1)) + 1), ROW(108:108)), COLUMN(C:C)), "")</f>
        <v>0</v>
      </c>
      <c r="E110" s="11">
        <f t="array" ref="E110">IFERROR(INDEX(balance_sheet_annual[#All], SMALL(IF(LOWER(balance_sheet_annual[Company Name]) = LOWER(balance_sheet_annual_filter!$B$2), ROW(balance_sheet_annual[Company Name]) - ROW(INDEX(balance_sheet_annual[Company Name], 1, 1)) + 1), ROW(108:108)), COLUMN(D:D)), "")</f>
        <v>0</v>
      </c>
      <c r="F110" s="11">
        <f t="array" ref="F110">IFERROR(INDEX(balance_sheet_annual[#All], SMALL(IF(LOWER(balance_sheet_annual[Company Name]) = LOWER(balance_sheet_annual_filter!$B$2), ROW(balance_sheet_annual[Company Name]) - ROW(INDEX(balance_sheet_annual[Company Name], 1, 1)) + 1), ROW(108:108)), COLUMN(E:E)), "")</f>
        <v>0</v>
      </c>
      <c r="G110" s="11">
        <f t="array" ref="G110">IFERROR(INDEX(balance_sheet_annual[#All], SMALL(IF(LOWER(balance_sheet_annual[Company Name]) = LOWER(balance_sheet_annual_filter!$B$2), ROW(balance_sheet_annual[Company Name]) - ROW(INDEX(balance_sheet_annual[Company Name], 1, 1)) + 1), ROW(108:108)), COLUMN(F:F)), "")</f>
        <v>0</v>
      </c>
    </row>
    <row r="111" spans="2:7" ht="15.5" x14ac:dyDescent="0.35">
      <c r="B111" s="2"/>
      <c r="C111" s="12" t="str">
        <f t="array" ref="C111">IFERROR(INDEX(balance_sheet_annual[#All], SMALL(IF(LOWER(balance_sheet_annual[Company Name]) = LOWER(balance_sheet_annual_filter!$B$2), ROW(balance_sheet_annual[Company Name]) - ROW(INDEX(balance_sheet_annual[Company Name], 1, 1)) + 1), ROW(109:109)), COLUMN(B:B)), "")</f>
        <v>8. Quỹ đầu tư phát triển</v>
      </c>
      <c r="D111" s="47">
        <f t="array" ref="D111">IFERROR(INDEX(balance_sheet_annual[#All], SMALL(IF(LOWER(balance_sheet_annual[Company Name]) = LOWER(balance_sheet_annual_filter!$B$2), ROW(balance_sheet_annual[Company Name]) - ROW(INDEX(balance_sheet_annual[Company Name], 1, 1)) + 1), ROW(109:109)), COLUMN(C:C)), "")</f>
        <v>0</v>
      </c>
      <c r="E111" s="11">
        <f t="array" ref="E111">IFERROR(INDEX(balance_sheet_annual[#All], SMALL(IF(LOWER(balance_sheet_annual[Company Name]) = LOWER(balance_sheet_annual_filter!$B$2), ROW(balance_sheet_annual[Company Name]) - ROW(INDEX(balance_sheet_annual[Company Name], 1, 1)) + 1), ROW(109:109)), COLUMN(D:D)), "")</f>
        <v>0</v>
      </c>
      <c r="F111" s="11">
        <f t="array" ref="F111">IFERROR(INDEX(balance_sheet_annual[#All], SMALL(IF(LOWER(balance_sheet_annual[Company Name]) = LOWER(balance_sheet_annual_filter!$B$2), ROW(balance_sheet_annual[Company Name]) - ROW(INDEX(balance_sheet_annual[Company Name], 1, 1)) + 1), ROW(109:109)), COLUMN(E:E)), "")</f>
        <v>0</v>
      </c>
      <c r="G111" s="11">
        <f t="array" ref="G111">IFERROR(INDEX(balance_sheet_annual[#All], SMALL(IF(LOWER(balance_sheet_annual[Company Name]) = LOWER(balance_sheet_annual_filter!$B$2), ROW(balance_sheet_annual[Company Name]) - ROW(INDEX(balance_sheet_annual[Company Name], 1, 1)) + 1), ROW(109:109)), COLUMN(F:F)), "")</f>
        <v>0</v>
      </c>
    </row>
    <row r="112" spans="2:7" ht="15.5" x14ac:dyDescent="0.35">
      <c r="B112" s="2"/>
      <c r="C112" s="12" t="str">
        <f t="array" ref="C112">IFERROR(INDEX(balance_sheet_annual[#All], SMALL(IF(LOWER(balance_sheet_annual[Company Name]) = LOWER(balance_sheet_annual_filter!$B$2), ROW(balance_sheet_annual[Company Name]) - ROW(INDEX(balance_sheet_annual[Company Name], 1, 1)) + 1), ROW(110:110)), COLUMN(B:B)), "")</f>
        <v>9. Quỹ hỗ trợ sắp xếp doanh nghiệp</v>
      </c>
      <c r="D112" s="47">
        <f t="array" ref="D112">IFERROR(INDEX(balance_sheet_annual[#All], SMALL(IF(LOWER(balance_sheet_annual[Company Name]) = LOWER(balance_sheet_annual_filter!$B$2), ROW(balance_sheet_annual[Company Name]) - ROW(INDEX(balance_sheet_annual[Company Name], 1, 1)) + 1), ROW(110:110)), COLUMN(C:C)), "")</f>
        <v>0</v>
      </c>
      <c r="E112" s="11">
        <f t="array" ref="E112">IFERROR(INDEX(balance_sheet_annual[#All], SMALL(IF(LOWER(balance_sheet_annual[Company Name]) = LOWER(balance_sheet_annual_filter!$B$2), ROW(balance_sheet_annual[Company Name]) - ROW(INDEX(balance_sheet_annual[Company Name], 1, 1)) + 1), ROW(110:110)), COLUMN(D:D)), "")</f>
        <v>0</v>
      </c>
      <c r="F112" s="11">
        <f t="array" ref="F112">IFERROR(INDEX(balance_sheet_annual[#All], SMALL(IF(LOWER(balance_sheet_annual[Company Name]) = LOWER(balance_sheet_annual_filter!$B$2), ROW(balance_sheet_annual[Company Name]) - ROW(INDEX(balance_sheet_annual[Company Name], 1, 1)) + 1), ROW(110:110)), COLUMN(E:E)), "")</f>
        <v>0</v>
      </c>
      <c r="G112" s="11">
        <f t="array" ref="G112">IFERROR(INDEX(balance_sheet_annual[#All], SMALL(IF(LOWER(balance_sheet_annual[Company Name]) = LOWER(balance_sheet_annual_filter!$B$2), ROW(balance_sheet_annual[Company Name]) - ROW(INDEX(balance_sheet_annual[Company Name], 1, 1)) + 1), ROW(110:110)), COLUMN(F:F)), "")</f>
        <v>0</v>
      </c>
    </row>
    <row r="113" spans="2:7" ht="15.5" x14ac:dyDescent="0.35">
      <c r="B113" s="2"/>
      <c r="C113" s="12" t="str">
        <f t="array" ref="C113">IFERROR(INDEX(balance_sheet_annual[#All], SMALL(IF(LOWER(balance_sheet_annual[Company Name]) = LOWER(balance_sheet_annual_filter!$B$2), ROW(balance_sheet_annual[Company Name]) - ROW(INDEX(balance_sheet_annual[Company Name], 1, 1)) + 1), ROW(111:111)), COLUMN(B:B)), "")</f>
        <v>10. Quỹ khác thuộc vốn chủ sở hữu</v>
      </c>
      <c r="D113" s="47">
        <f t="array" ref="D113">IFERROR(INDEX(balance_sheet_annual[#All], SMALL(IF(LOWER(balance_sheet_annual[Company Name]) = LOWER(balance_sheet_annual_filter!$B$2), ROW(balance_sheet_annual[Company Name]) - ROW(INDEX(balance_sheet_annual[Company Name], 1, 1)) + 1), ROW(111:111)), COLUMN(C:C)), "")</f>
        <v>0</v>
      </c>
      <c r="E113" s="11">
        <f t="array" ref="E113">IFERROR(INDEX(balance_sheet_annual[#All], SMALL(IF(LOWER(balance_sheet_annual[Company Name]) = LOWER(balance_sheet_annual_filter!$B$2), ROW(balance_sheet_annual[Company Name]) - ROW(INDEX(balance_sheet_annual[Company Name], 1, 1)) + 1), ROW(111:111)), COLUMN(D:D)), "")</f>
        <v>0</v>
      </c>
      <c r="F113" s="11">
        <f t="array" ref="F113">IFERROR(INDEX(balance_sheet_annual[#All], SMALL(IF(LOWER(balance_sheet_annual[Company Name]) = LOWER(balance_sheet_annual_filter!$B$2), ROW(balance_sheet_annual[Company Name]) - ROW(INDEX(balance_sheet_annual[Company Name], 1, 1)) + 1), ROW(111:111)), COLUMN(E:E)), "")</f>
        <v>0</v>
      </c>
      <c r="G113" s="11">
        <f t="array" ref="G113">IFERROR(INDEX(balance_sheet_annual[#All], SMALL(IF(LOWER(balance_sheet_annual[Company Name]) = LOWER(balance_sheet_annual_filter!$B$2), ROW(balance_sheet_annual[Company Name]) - ROW(INDEX(balance_sheet_annual[Company Name], 1, 1)) + 1), ROW(111:111)), COLUMN(F:F)), "")</f>
        <v>0</v>
      </c>
    </row>
    <row r="114" spans="2:7" ht="15.5" x14ac:dyDescent="0.35">
      <c r="B114" s="2"/>
      <c r="C114" s="12" t="str">
        <f t="array" ref="C114">IFERROR(INDEX(balance_sheet_annual[#All], SMALL(IF(LOWER(balance_sheet_annual[Company Name]) = LOWER(balance_sheet_annual_filter!$B$2), ROW(balance_sheet_annual[Company Name]) - ROW(INDEX(balance_sheet_annual[Company Name], 1, 1)) + 1), ROW(112:112)), COLUMN(B:B)), "")</f>
        <v>11. Lợi nhuận sau thuế chưa phân phối</v>
      </c>
      <c r="D114" s="47">
        <f t="array" ref="D114">IFERROR(INDEX(balance_sheet_annual[#All], SMALL(IF(LOWER(balance_sheet_annual[Company Name]) = LOWER(balance_sheet_annual_filter!$B$2), ROW(balance_sheet_annual[Company Name]) - ROW(INDEX(balance_sheet_annual[Company Name], 1, 1)) + 1), ROW(112:112)), COLUMN(C:C)), "")</f>
        <v>302693449394</v>
      </c>
      <c r="E114" s="11">
        <f t="array" ref="E114">IFERROR(INDEX(balance_sheet_annual[#All], SMALL(IF(LOWER(balance_sheet_annual[Company Name]) = LOWER(balance_sheet_annual_filter!$B$2), ROW(balance_sheet_annual[Company Name]) - ROW(INDEX(balance_sheet_annual[Company Name], 1, 1)) + 1), ROW(112:112)), COLUMN(D:D)), "")</f>
        <v>301968093548</v>
      </c>
      <c r="F114" s="11">
        <f t="array" ref="F114">IFERROR(INDEX(balance_sheet_annual[#All], SMALL(IF(LOWER(balance_sheet_annual[Company Name]) = LOWER(balance_sheet_annual_filter!$B$2), ROW(balance_sheet_annual[Company Name]) - ROW(INDEX(balance_sheet_annual[Company Name], 1, 1)) + 1), ROW(112:112)), COLUMN(E:E)), "")</f>
        <v>340766201532</v>
      </c>
      <c r="G114" s="11">
        <f t="array" ref="G114">IFERROR(INDEX(balance_sheet_annual[#All], SMALL(IF(LOWER(balance_sheet_annual[Company Name]) = LOWER(balance_sheet_annual_filter!$B$2), ROW(balance_sheet_annual[Company Name]) - ROW(INDEX(balance_sheet_annual[Company Name], 1, 1)) + 1), ROW(112:112)), COLUMN(F:F)), "")</f>
        <v>281014132446</v>
      </c>
    </row>
    <row r="115" spans="2:7" ht="15.5" x14ac:dyDescent="0.35">
      <c r="B115" s="2"/>
      <c r="C115" s="12" t="str">
        <f t="array" ref="C115">IFERROR(INDEX(balance_sheet_annual[#All], SMALL(IF(LOWER(balance_sheet_annual[Company Name]) = LOWER(balance_sheet_annual_filter!$B$2), ROW(balance_sheet_annual[Company Name]) - ROW(INDEX(balance_sheet_annual[Company Name], 1, 1)) + 1), ROW(113:113)), COLUMN(B:B)), "")</f>
        <v>- LNST chưa phân phối lũy kế đến cuối kỳ trước</v>
      </c>
      <c r="D115" s="47">
        <f t="array" ref="D115">IFERROR(INDEX(balance_sheet_annual[#All], SMALL(IF(LOWER(balance_sheet_annual[Company Name]) = LOWER(balance_sheet_annual_filter!$B$2), ROW(balance_sheet_annual[Company Name]) - ROW(INDEX(balance_sheet_annual[Company Name], 1, 1)) + 1), ROW(113:113)), COLUMN(C:C)), "")</f>
        <v>105617963537</v>
      </c>
      <c r="E115" s="11">
        <f t="array" ref="E115">IFERROR(INDEX(balance_sheet_annual[#All], SMALL(IF(LOWER(balance_sheet_annual[Company Name]) = LOWER(balance_sheet_annual_filter!$B$2), ROW(balance_sheet_annual[Company Name]) - ROW(INDEX(balance_sheet_annual[Company Name], 1, 1)) + 1), ROW(113:113)), COLUMN(D:D)), "")</f>
        <v>114610761966</v>
      </c>
      <c r="F115" s="11">
        <f t="array" ref="F115">IFERROR(INDEX(balance_sheet_annual[#All], SMALL(IF(LOWER(balance_sheet_annual[Company Name]) = LOWER(balance_sheet_annual_filter!$B$2), ROW(balance_sheet_annual[Company Name]) - ROW(INDEX(balance_sheet_annual[Company Name], 1, 1)) + 1), ROW(113:113)), COLUMN(E:E)), "")</f>
        <v>177461117830</v>
      </c>
      <c r="G115" s="11">
        <f t="array" ref="G115">IFERROR(INDEX(balance_sheet_annual[#All], SMALL(IF(LOWER(balance_sheet_annual[Company Name]) = LOWER(balance_sheet_annual_filter!$B$2), ROW(balance_sheet_annual[Company Name]) - ROW(INDEX(balance_sheet_annual[Company Name], 1, 1)) + 1), ROW(113:113)), COLUMN(F:F)), "")</f>
        <v>204021336510</v>
      </c>
    </row>
    <row r="116" spans="2:7" ht="15.5" x14ac:dyDescent="0.35">
      <c r="B116" s="2"/>
      <c r="C116" s="12" t="str">
        <f t="array" ref="C116">IFERROR(INDEX(balance_sheet_annual[#All], SMALL(IF(LOWER(balance_sheet_annual[Company Name]) = LOWER(balance_sheet_annual_filter!$B$2), ROW(balance_sheet_annual[Company Name]) - ROW(INDEX(balance_sheet_annual[Company Name], 1, 1)) + 1), ROW(114:114)), COLUMN(B:B)), "")</f>
        <v>- LNST chưa phân phối kỳ này</v>
      </c>
      <c r="D116" s="47">
        <f t="array" ref="D116">IFERROR(INDEX(balance_sheet_annual[#All], SMALL(IF(LOWER(balance_sheet_annual[Company Name]) = LOWER(balance_sheet_annual_filter!$B$2), ROW(balance_sheet_annual[Company Name]) - ROW(INDEX(balance_sheet_annual[Company Name], 1, 1)) + 1), ROW(114:114)), COLUMN(C:C)), "")</f>
        <v>197075485857</v>
      </c>
      <c r="E116" s="11">
        <f t="array" ref="E116">IFERROR(INDEX(balance_sheet_annual[#All], SMALL(IF(LOWER(balance_sheet_annual[Company Name]) = LOWER(balance_sheet_annual_filter!$B$2), ROW(balance_sheet_annual[Company Name]) - ROW(INDEX(balance_sheet_annual[Company Name], 1, 1)) + 1), ROW(114:114)), COLUMN(D:D)), "")</f>
        <v>187357331582</v>
      </c>
      <c r="F116" s="11">
        <f t="array" ref="F116">IFERROR(INDEX(balance_sheet_annual[#All], SMALL(IF(LOWER(balance_sheet_annual[Company Name]) = LOWER(balance_sheet_annual_filter!$B$2), ROW(balance_sheet_annual[Company Name]) - ROW(INDEX(balance_sheet_annual[Company Name], 1, 1)) + 1), ROW(114:114)), COLUMN(E:E)), "")</f>
        <v>163305083702</v>
      </c>
      <c r="G116" s="11">
        <f t="array" ref="G116">IFERROR(INDEX(balance_sheet_annual[#All], SMALL(IF(LOWER(balance_sheet_annual[Company Name]) = LOWER(balance_sheet_annual_filter!$B$2), ROW(balance_sheet_annual[Company Name]) - ROW(INDEX(balance_sheet_annual[Company Name], 1, 1)) + 1), ROW(114:114)), COLUMN(F:F)), "")</f>
        <v>76992795936</v>
      </c>
    </row>
    <row r="117" spans="2:7" ht="15.5" x14ac:dyDescent="0.35">
      <c r="B117" s="2"/>
      <c r="C117" s="12" t="str">
        <f t="array" ref="C117">IFERROR(INDEX(balance_sheet_annual[#All], SMALL(IF(LOWER(balance_sheet_annual[Company Name]) = LOWER(balance_sheet_annual_filter!$B$2), ROW(balance_sheet_annual[Company Name]) - ROW(INDEX(balance_sheet_annual[Company Name], 1, 1)) + 1), ROW(115:115)), COLUMN(B:B)), "")</f>
        <v>12. Nguồn vốn đầu tư XDCB</v>
      </c>
      <c r="D117" s="47">
        <f t="array" ref="D117">IFERROR(INDEX(balance_sheet_annual[#All], SMALL(IF(LOWER(balance_sheet_annual[Company Name]) = LOWER(balance_sheet_annual_filter!$B$2), ROW(balance_sheet_annual[Company Name]) - ROW(INDEX(balance_sheet_annual[Company Name], 1, 1)) + 1), ROW(115:115)), COLUMN(C:C)), "")</f>
        <v>0</v>
      </c>
      <c r="E117" s="11">
        <f t="array" ref="E117">IFERROR(INDEX(balance_sheet_annual[#All], SMALL(IF(LOWER(balance_sheet_annual[Company Name]) = LOWER(balance_sheet_annual_filter!$B$2), ROW(balance_sheet_annual[Company Name]) - ROW(INDEX(balance_sheet_annual[Company Name], 1, 1)) + 1), ROW(115:115)), COLUMN(D:D)), "")</f>
        <v>0</v>
      </c>
      <c r="F117" s="11">
        <f t="array" ref="F117">IFERROR(INDEX(balance_sheet_annual[#All], SMALL(IF(LOWER(balance_sheet_annual[Company Name]) = LOWER(balance_sheet_annual_filter!$B$2), ROW(balance_sheet_annual[Company Name]) - ROW(INDEX(balance_sheet_annual[Company Name], 1, 1)) + 1), ROW(115:115)), COLUMN(E:E)), "")</f>
        <v>0</v>
      </c>
      <c r="G117" s="11">
        <f t="array" ref="G117">IFERROR(INDEX(balance_sheet_annual[#All], SMALL(IF(LOWER(balance_sheet_annual[Company Name]) = LOWER(balance_sheet_annual_filter!$B$2), ROW(balance_sheet_annual[Company Name]) - ROW(INDEX(balance_sheet_annual[Company Name], 1, 1)) + 1), ROW(115:115)), COLUMN(F:F)), "")</f>
        <v>0</v>
      </c>
    </row>
    <row r="118" spans="2:7" ht="15.5" x14ac:dyDescent="0.35">
      <c r="B118" s="2"/>
      <c r="C118" s="12" t="str">
        <f t="array" ref="C118">IFERROR(INDEX(balance_sheet_annual[#All], SMALL(IF(LOWER(balance_sheet_annual[Company Name]) = LOWER(balance_sheet_annual_filter!$B$2), ROW(balance_sheet_annual[Company Name]) - ROW(INDEX(balance_sheet_annual[Company Name], 1, 1)) + 1), ROW(116:116)), COLUMN(B:B)), "")</f>
        <v>13. Lợi ích cổ đông không kiểm soát</v>
      </c>
      <c r="D118" s="47">
        <f t="array" ref="D118">IFERROR(INDEX(balance_sheet_annual[#All], SMALL(IF(LOWER(balance_sheet_annual[Company Name]) = LOWER(balance_sheet_annual_filter!$B$2), ROW(balance_sheet_annual[Company Name]) - ROW(INDEX(balance_sheet_annual[Company Name], 1, 1)) + 1), ROW(116:116)), COLUMN(C:C)), "")</f>
        <v>0</v>
      </c>
      <c r="E118" s="11">
        <f t="array" ref="E118">IFERROR(INDEX(balance_sheet_annual[#All], SMALL(IF(LOWER(balance_sheet_annual[Company Name]) = LOWER(balance_sheet_annual_filter!$B$2), ROW(balance_sheet_annual[Company Name]) - ROW(INDEX(balance_sheet_annual[Company Name], 1, 1)) + 1), ROW(116:116)), COLUMN(D:D)), "")</f>
        <v>0</v>
      </c>
      <c r="F118" s="11">
        <f t="array" ref="F118">IFERROR(INDEX(balance_sheet_annual[#All], SMALL(IF(LOWER(balance_sheet_annual[Company Name]) = LOWER(balance_sheet_annual_filter!$B$2), ROW(balance_sheet_annual[Company Name]) - ROW(INDEX(balance_sheet_annual[Company Name], 1, 1)) + 1), ROW(116:116)), COLUMN(E:E)), "")</f>
        <v>0</v>
      </c>
      <c r="G118" s="11">
        <f t="array" ref="G118">IFERROR(INDEX(balance_sheet_annual[#All], SMALL(IF(LOWER(balance_sheet_annual[Company Name]) = LOWER(balance_sheet_annual_filter!$B$2), ROW(balance_sheet_annual[Company Name]) - ROW(INDEX(balance_sheet_annual[Company Name], 1, 1)) + 1), ROW(116:116)), COLUMN(F:F)), "")</f>
        <v>0</v>
      </c>
    </row>
    <row r="119" spans="2:7" ht="15.5" x14ac:dyDescent="0.35">
      <c r="B119" s="2"/>
      <c r="C119" s="12" t="str">
        <f t="array" ref="C119">IFERROR(INDEX(balance_sheet_annual[#All], SMALL(IF(LOWER(balance_sheet_annual[Company Name]) = LOWER(balance_sheet_annual_filter!$B$2), ROW(balance_sheet_annual[Company Name]) - ROW(INDEX(balance_sheet_annual[Company Name], 1, 1)) + 1), ROW(117:117)), COLUMN(B:B)), "")</f>
        <v>II. Nguồn kinh phí và quỹ khác</v>
      </c>
      <c r="D119" s="47">
        <f t="array" ref="D119">IFERROR(INDEX(balance_sheet_annual[#All], SMALL(IF(LOWER(balance_sheet_annual[Company Name]) = LOWER(balance_sheet_annual_filter!$B$2), ROW(balance_sheet_annual[Company Name]) - ROW(INDEX(balance_sheet_annual[Company Name], 1, 1)) + 1), ROW(117:117)), COLUMN(C:C)), "")</f>
        <v>0</v>
      </c>
      <c r="E119" s="11">
        <f t="array" ref="E119">IFERROR(INDEX(balance_sheet_annual[#All], SMALL(IF(LOWER(balance_sheet_annual[Company Name]) = LOWER(balance_sheet_annual_filter!$B$2), ROW(balance_sheet_annual[Company Name]) - ROW(INDEX(balance_sheet_annual[Company Name], 1, 1)) + 1), ROW(117:117)), COLUMN(D:D)), "")</f>
        <v>0</v>
      </c>
      <c r="F119" s="11">
        <f t="array" ref="F119">IFERROR(INDEX(balance_sheet_annual[#All], SMALL(IF(LOWER(balance_sheet_annual[Company Name]) = LOWER(balance_sheet_annual_filter!$B$2), ROW(balance_sheet_annual[Company Name]) - ROW(INDEX(balance_sheet_annual[Company Name], 1, 1)) + 1), ROW(117:117)), COLUMN(E:E)), "")</f>
        <v>0</v>
      </c>
      <c r="G119" s="11">
        <f t="array" ref="G119">IFERROR(INDEX(balance_sheet_annual[#All], SMALL(IF(LOWER(balance_sheet_annual[Company Name]) = LOWER(balance_sheet_annual_filter!$B$2), ROW(balance_sheet_annual[Company Name]) - ROW(INDEX(balance_sheet_annual[Company Name], 1, 1)) + 1), ROW(117:117)), COLUMN(F:F)), "")</f>
        <v>0</v>
      </c>
    </row>
    <row r="120" spans="2:7" ht="15.5" x14ac:dyDescent="0.35">
      <c r="B120" s="2"/>
      <c r="C120" s="12" t="str">
        <f t="array" ref="C120">IFERROR(INDEX(balance_sheet_annual[#All], SMALL(IF(LOWER(balance_sheet_annual[Company Name]) = LOWER(balance_sheet_annual_filter!$B$2), ROW(balance_sheet_annual[Company Name]) - ROW(INDEX(balance_sheet_annual[Company Name], 1, 1)) + 1), ROW(118:118)), COLUMN(B:B)), "")</f>
        <v>1. Nguồn kinh phí</v>
      </c>
      <c r="D120" s="47">
        <f t="array" ref="D120">IFERROR(INDEX(balance_sheet_annual[#All], SMALL(IF(LOWER(balance_sheet_annual[Company Name]) = LOWER(balance_sheet_annual_filter!$B$2), ROW(balance_sheet_annual[Company Name]) - ROW(INDEX(balance_sheet_annual[Company Name], 1, 1)) + 1), ROW(118:118)), COLUMN(C:C)), "")</f>
        <v>0</v>
      </c>
      <c r="E120" s="11">
        <f t="array" ref="E120">IFERROR(INDEX(balance_sheet_annual[#All], SMALL(IF(LOWER(balance_sheet_annual[Company Name]) = LOWER(balance_sheet_annual_filter!$B$2), ROW(balance_sheet_annual[Company Name]) - ROW(INDEX(balance_sheet_annual[Company Name], 1, 1)) + 1), ROW(118:118)), COLUMN(D:D)), "")</f>
        <v>0</v>
      </c>
      <c r="F120" s="11">
        <f t="array" ref="F120">IFERROR(INDEX(balance_sheet_annual[#All], SMALL(IF(LOWER(balance_sheet_annual[Company Name]) = LOWER(balance_sheet_annual_filter!$B$2), ROW(balance_sheet_annual[Company Name]) - ROW(INDEX(balance_sheet_annual[Company Name], 1, 1)) + 1), ROW(118:118)), COLUMN(E:E)), "")</f>
        <v>0</v>
      </c>
      <c r="G120" s="11">
        <f t="array" ref="G120">IFERROR(INDEX(balance_sheet_annual[#All], SMALL(IF(LOWER(balance_sheet_annual[Company Name]) = LOWER(balance_sheet_annual_filter!$B$2), ROW(balance_sheet_annual[Company Name]) - ROW(INDEX(balance_sheet_annual[Company Name], 1, 1)) + 1), ROW(118:118)), COLUMN(F:F)), "")</f>
        <v>0</v>
      </c>
    </row>
    <row r="121" spans="2:7" ht="15.5" x14ac:dyDescent="0.35">
      <c r="B121" s="1"/>
      <c r="C121" s="12" t="str">
        <f t="array" ref="C121">IFERROR(INDEX(balance_sheet_annual[#All], SMALL(IF(LOWER(balance_sheet_annual[Company Name]) = LOWER(balance_sheet_annual_filter!$B$2), ROW(balance_sheet_annual[Company Name]) - ROW(INDEX(balance_sheet_annual[Company Name], 1, 1)) + 1), ROW(119:119)), COLUMN(B:B)), "")</f>
        <v>2. Nguồn kinh phí đã hình thành TSCĐ</v>
      </c>
      <c r="D121" s="47">
        <f t="array" ref="D121">IFERROR(INDEX(balance_sheet_annual[#All], SMALL(IF(LOWER(balance_sheet_annual[Company Name]) = LOWER(balance_sheet_annual_filter!$B$2), ROW(balance_sheet_annual[Company Name]) - ROW(INDEX(balance_sheet_annual[Company Name], 1, 1)) + 1), ROW(119:119)), COLUMN(C:C)), "")</f>
        <v>0</v>
      </c>
      <c r="E121" s="11">
        <f t="array" ref="E121">IFERROR(INDEX(balance_sheet_annual[#All], SMALL(IF(LOWER(balance_sheet_annual[Company Name]) = LOWER(balance_sheet_annual_filter!$B$2), ROW(balance_sheet_annual[Company Name]) - ROW(INDEX(balance_sheet_annual[Company Name], 1, 1)) + 1), ROW(119:119)), COLUMN(D:D)), "")</f>
        <v>0</v>
      </c>
      <c r="F121" s="11">
        <f t="array" ref="F121">IFERROR(INDEX(balance_sheet_annual[#All], SMALL(IF(LOWER(balance_sheet_annual[Company Name]) = LOWER(balance_sheet_annual_filter!$B$2), ROW(balance_sheet_annual[Company Name]) - ROW(INDEX(balance_sheet_annual[Company Name], 1, 1)) + 1), ROW(119:119)), COLUMN(E:E)), "")</f>
        <v>0</v>
      </c>
      <c r="G121" s="11">
        <f t="array" ref="G121">IFERROR(INDEX(balance_sheet_annual[#All], SMALL(IF(LOWER(balance_sheet_annual[Company Name]) = LOWER(balance_sheet_annual_filter!$B$2), ROW(balance_sheet_annual[Company Name]) - ROW(INDEX(balance_sheet_annual[Company Name], 1, 1)) + 1), ROW(119:119)), COLUMN(F:F)), "")</f>
        <v>0</v>
      </c>
    </row>
    <row r="122" spans="2:7" ht="15.5" x14ac:dyDescent="0.35">
      <c r="B122" s="1"/>
      <c r="C122" s="12" t="s">
        <v>118</v>
      </c>
      <c r="D122" s="47">
        <f>D100+D70</f>
        <v>4723455576865</v>
      </c>
      <c r="E122" s="11">
        <f t="shared" ref="E122:G122" si="3">E100+E70</f>
        <v>4753622107818</v>
      </c>
      <c r="F122" s="11">
        <f t="shared" si="3"/>
        <v>4596623241081</v>
      </c>
      <c r="G122" s="11">
        <f t="shared" si="3"/>
        <v>4376536398281</v>
      </c>
    </row>
    <row r="123" spans="2:7" ht="15.5" x14ac:dyDescent="0.35">
      <c r="B123" s="1"/>
      <c r="C123" s="2"/>
      <c r="D123" s="48"/>
      <c r="E123" s="5"/>
      <c r="F123" s="5"/>
      <c r="G123" s="5"/>
    </row>
    <row r="124" spans="2:7" ht="15.5" x14ac:dyDescent="0.35">
      <c r="B124" s="1"/>
      <c r="C124" s="2"/>
      <c r="D124" s="48"/>
      <c r="E124" s="5"/>
      <c r="F124" s="5"/>
      <c r="G124" s="5"/>
    </row>
    <row r="125" spans="2:7" ht="15.5" x14ac:dyDescent="0.35">
      <c r="B125" s="1"/>
      <c r="C125" s="2"/>
      <c r="D125" s="48"/>
      <c r="E125" s="5"/>
      <c r="F125" s="5"/>
      <c r="G125" s="5"/>
    </row>
    <row r="126" spans="2:7" ht="15.5" x14ac:dyDescent="0.35">
      <c r="B126" s="1"/>
      <c r="C126" s="2"/>
      <c r="D126" s="48"/>
      <c r="E126" s="5"/>
      <c r="F126" s="5"/>
      <c r="G126" s="5"/>
    </row>
    <row r="127" spans="2:7" ht="15.5" x14ac:dyDescent="0.35">
      <c r="B127" s="1"/>
      <c r="C127" s="2"/>
      <c r="D127" s="48"/>
      <c r="E127" s="5"/>
      <c r="F127" s="5"/>
      <c r="G127" s="5"/>
    </row>
    <row r="128" spans="2:7" ht="15.5" x14ac:dyDescent="0.35">
      <c r="B128" s="1"/>
      <c r="C128" s="2"/>
      <c r="D128" s="48"/>
      <c r="E128" s="5"/>
      <c r="F128" s="5"/>
      <c r="G128" s="5"/>
    </row>
    <row r="129" spans="3:7" ht="15.5" x14ac:dyDescent="0.35">
      <c r="C129" s="2"/>
      <c r="D129" s="48"/>
      <c r="E129" s="5"/>
      <c r="F129" s="5"/>
      <c r="G129" s="5"/>
    </row>
    <row r="130" spans="3:7" ht="15.5" x14ac:dyDescent="0.35">
      <c r="C130" s="2"/>
      <c r="D130" s="48"/>
      <c r="E130" s="5"/>
      <c r="F130" s="5"/>
      <c r="G130" s="5"/>
    </row>
    <row r="131" spans="3:7" ht="15.5" x14ac:dyDescent="0.35">
      <c r="C131" s="2"/>
      <c r="D131" s="48"/>
      <c r="E131" s="5"/>
      <c r="F131" s="5"/>
      <c r="G131" s="5"/>
    </row>
    <row r="132" spans="3:7" ht="15.5" x14ac:dyDescent="0.35">
      <c r="C132" s="2"/>
      <c r="D132" s="48"/>
      <c r="E132" s="5"/>
      <c r="F132" s="5"/>
      <c r="G132" s="5"/>
    </row>
    <row r="133" spans="3:7" ht="15.5" x14ac:dyDescent="0.35">
      <c r="C133" s="2"/>
      <c r="D133" s="48"/>
      <c r="E133" s="5"/>
      <c r="F133" s="5"/>
      <c r="G133" s="5"/>
    </row>
    <row r="134" spans="3:7" ht="15.5" x14ac:dyDescent="0.35">
      <c r="C134" s="2"/>
      <c r="D134" s="48"/>
      <c r="E134" s="5"/>
      <c r="F134" s="5"/>
      <c r="G134" s="5"/>
    </row>
    <row r="135" spans="3:7" ht="15.5" x14ac:dyDescent="0.35">
      <c r="C135" s="2"/>
      <c r="D135" s="48"/>
      <c r="E135" s="5"/>
      <c r="F135" s="5"/>
      <c r="G135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011F-EEFD-456F-975D-D536A48224C2}">
  <dimension ref="A2:P121"/>
  <sheetViews>
    <sheetView topLeftCell="D1" workbookViewId="0">
      <selection activeCell="P5" sqref="P5"/>
    </sheetView>
  </sheetViews>
  <sheetFormatPr defaultRowHeight="14.5" x14ac:dyDescent="0.35"/>
  <cols>
    <col min="1" max="1" width="19.1796875" customWidth="1"/>
    <col min="3" max="3" width="45.26953125" bestFit="1" customWidth="1"/>
    <col min="4" max="15" width="19.36328125" bestFit="1" customWidth="1"/>
    <col min="16" max="16" width="20.36328125" customWidth="1"/>
  </cols>
  <sheetData>
    <row r="2" spans="1:16" ht="15.5" x14ac:dyDescent="0.35">
      <c r="A2" s="13" t="s">
        <v>137</v>
      </c>
      <c r="B2" s="13" t="str">
        <f>DCF!C2</f>
        <v>TTA</v>
      </c>
      <c r="C2" s="16"/>
      <c r="D2" s="17"/>
      <c r="E2" s="17"/>
      <c r="F2" s="17"/>
      <c r="G2" s="17"/>
      <c r="H2" s="16"/>
      <c r="I2" s="16"/>
      <c r="J2" s="16"/>
      <c r="K2" s="16"/>
      <c r="L2" s="16"/>
      <c r="M2" s="16"/>
      <c r="N2" s="16"/>
      <c r="O2" s="16"/>
      <c r="P2" s="16"/>
    </row>
    <row r="3" spans="1:16" ht="18.5" x14ac:dyDescent="0.45">
      <c r="A3" s="9"/>
      <c r="B3" s="10"/>
      <c r="C3" s="15" t="s">
        <v>138</v>
      </c>
      <c r="D3" s="18" t="str">
        <f>balance_sheet_quarter[[#Headers],[2020_q3]]</f>
        <v>2020_q3</v>
      </c>
      <c r="E3" s="18" t="str">
        <f>balance_sheet_quarter[[#Headers],[2020_q4]]</f>
        <v>2020_q4</v>
      </c>
      <c r="F3" s="18" t="str">
        <f>balance_sheet_quarter[[#Headers],[2021_q1]]</f>
        <v>2021_q1</v>
      </c>
      <c r="G3" s="18" t="str">
        <f>balance_sheet_quarter[[#Headers],[2021_q2]]</f>
        <v>2021_q2</v>
      </c>
      <c r="H3" s="18" t="str">
        <f>balance_sheet_quarter[[#Headers],[2021_q3]]</f>
        <v>2021_q3</v>
      </c>
      <c r="I3" s="18" t="str">
        <f>balance_sheet_quarter[[#Headers],[2021_q4]]</f>
        <v>2021_q4</v>
      </c>
      <c r="J3" s="18" t="str">
        <f>balance_sheet_quarter[[#Headers],[2022_q1]]</f>
        <v>2022_q1</v>
      </c>
      <c r="K3" s="18" t="str">
        <f>balance_sheet_quarter[[#Headers],[2022_q2]]</f>
        <v>2022_q2</v>
      </c>
      <c r="L3" s="18" t="str">
        <f>balance_sheet_quarter[[#Headers],[2022_q3]]</f>
        <v>2022_q3</v>
      </c>
      <c r="M3" s="18" t="str">
        <f>balance_sheet_quarter[[#Headers],[2022_q4]]</f>
        <v>2022_q4</v>
      </c>
      <c r="N3" s="18" t="str">
        <f>balance_sheet_quarter[[#Headers],[2023_q1]]</f>
        <v>2023_q1</v>
      </c>
      <c r="O3" s="18" t="str">
        <f>balance_sheet_quarter[[#Headers],[2023_q2]]</f>
        <v>2023_q2</v>
      </c>
      <c r="P3" s="18" t="str">
        <f>balance_sheet_quarter[[#Headers],[2023_q3]]</f>
        <v>2023_q3</v>
      </c>
    </row>
    <row r="4" spans="1:16" x14ac:dyDescent="0.35">
      <c r="C4" t="str">
        <f t="array" ref="C4">IFERROR(INDEX(balance_sheet_quarter[#All], SMALL(IF(LOWER(balance_sheet_quarter[Company Name]) = LOWER(balance_sheet_quarter_filter!$B$2), ROW(balance_sheet_quarter[Company Name]) - ROW(INDEX(balance_sheet_quarter[Company Name], 1, 1)) + 1), ROW(2:2)), COLUMN(B:B)), "")</f>
        <v>TÀI SẢN</v>
      </c>
      <c r="D4" s="14">
        <f>SUM(D5,D31)</f>
        <v>4662399572164</v>
      </c>
      <c r="E4" s="14">
        <f t="shared" ref="E4:P4" si="0">SUM(E5,E31)</f>
        <v>4717285454180</v>
      </c>
      <c r="F4" s="14">
        <f t="shared" si="0"/>
        <v>4716725151083</v>
      </c>
      <c r="G4" s="14">
        <f t="shared" si="0"/>
        <v>4737624948825</v>
      </c>
      <c r="H4" s="14">
        <f t="shared" si="0"/>
        <v>4699830748881</v>
      </c>
      <c r="I4" s="14">
        <f t="shared" si="0"/>
        <v>4746867199141</v>
      </c>
      <c r="J4" s="14">
        <f t="shared" si="0"/>
        <v>4745404690880</v>
      </c>
      <c r="K4" s="14">
        <f t="shared" si="0"/>
        <v>4706438603939</v>
      </c>
      <c r="L4" s="14">
        <f t="shared" si="0"/>
        <v>4663764293221</v>
      </c>
      <c r="M4" s="14">
        <f t="shared" si="0"/>
        <v>4605530855763</v>
      </c>
      <c r="N4" s="14">
        <f t="shared" si="0"/>
        <v>4543378042857</v>
      </c>
      <c r="O4" s="14">
        <f t="shared" si="0"/>
        <v>4461576514982</v>
      </c>
      <c r="P4" s="14">
        <f t="shared" si="0"/>
        <v>4450552403545</v>
      </c>
    </row>
    <row r="5" spans="1:16" x14ac:dyDescent="0.35">
      <c r="C5" t="str">
        <f t="array" ref="C5">IFERROR(INDEX(balance_sheet_quarter[#All], SMALL(IF(LOWER(balance_sheet_quarter[Company Name]) = LOWER(balance_sheet_quarter_filter!$B$2), ROW(balance_sheet_quarter[Company Name]) - ROW(INDEX(balance_sheet_quarter[Company Name], 1, 1)) + 1), ROW(3:3)), COLUMN(B:B)), "")</f>
        <v>A- TÀI SẢN NGẮN HẠN</v>
      </c>
      <c r="D5" s="14">
        <f>D6+D9+D13+D22+D25</f>
        <v>279932004089</v>
      </c>
      <c r="E5" s="14">
        <f t="shared" ref="E5:P5" si="1">E6+E9+E13+E22+E25</f>
        <v>104200055188</v>
      </c>
      <c r="F5" s="14">
        <f t="shared" si="1"/>
        <v>109065305331</v>
      </c>
      <c r="G5" s="14">
        <f t="shared" si="1"/>
        <v>143192086997</v>
      </c>
      <c r="H5" s="14">
        <f t="shared" si="1"/>
        <v>137508562783</v>
      </c>
      <c r="I5" s="14">
        <f t="shared" si="1"/>
        <v>159859937012</v>
      </c>
      <c r="J5" s="14">
        <f t="shared" si="1"/>
        <v>198439971004</v>
      </c>
      <c r="K5" s="14">
        <f t="shared" si="1"/>
        <v>212127805474</v>
      </c>
      <c r="L5" s="14">
        <f t="shared" si="1"/>
        <v>210197402004</v>
      </c>
      <c r="M5" s="14">
        <f t="shared" si="1"/>
        <v>202639206612</v>
      </c>
      <c r="N5" s="14">
        <f t="shared" si="1"/>
        <v>201287649833</v>
      </c>
      <c r="O5" s="14">
        <f t="shared" si="1"/>
        <v>170607437532</v>
      </c>
      <c r="P5" s="14">
        <f t="shared" si="1"/>
        <v>211037474015</v>
      </c>
    </row>
    <row r="6" spans="1:16" x14ac:dyDescent="0.35">
      <c r="C6" t="str">
        <f t="array" ref="C6">IFERROR(INDEX(balance_sheet_quarter[#All], SMALL(IF(LOWER(balance_sheet_quarter[Company Name]) = LOWER(balance_sheet_quarter_filter!$B$2), ROW(balance_sheet_quarter[Company Name]) - ROW(INDEX(balance_sheet_quarter[Company Name], 1, 1)) + 1), ROW(4:4)), COLUMN(B:B)), "")</f>
        <v>I. Tiền và các khoản tương đương tiền</v>
      </c>
      <c r="D6" s="14">
        <f t="array" ref="D6">IFERROR(INDEX(balance_sheet_quarter[#All], SMALL(IF(LOWER(balance_sheet_quarter[Company Name]) = LOWER(balance_sheet_quarter_filter!$B$2), ROW(balance_sheet_quarter[Company Name]) - ROW(INDEX(balance_sheet_quarter[Company Name], 1, 1)) + 1), ROW(4:4)), COLUMN(C:C)), "")</f>
        <v>7055058740</v>
      </c>
      <c r="E6" s="14">
        <f t="array" ref="E6">IFERROR(INDEX(balance_sheet_quarter[#All], SMALL(IF(LOWER(balance_sheet_quarter[Company Name]) = LOWER(balance_sheet_quarter_filter!$B$2), ROW(balance_sheet_quarter[Company Name]) - ROW(INDEX(balance_sheet_quarter[Company Name], 1, 1)) + 1), ROW(4:4)), COLUMN(D:D)), "")</f>
        <v>3988057552</v>
      </c>
      <c r="F6" s="14">
        <f t="array" ref="F6">IFERROR(INDEX(balance_sheet_quarter[#All], SMALL(IF(LOWER(balance_sheet_quarter[Company Name]) = LOWER(balance_sheet_quarter_filter!$B$2), ROW(balance_sheet_quarter[Company Name]) - ROW(INDEX(balance_sheet_quarter[Company Name], 1, 1)) + 1), ROW(4:4)), COLUMN(E:E)), "")</f>
        <v>17916436374</v>
      </c>
      <c r="G6" s="14">
        <f t="array" ref="G6">IFERROR(INDEX(balance_sheet_quarter[#All], SMALL(IF(LOWER(balance_sheet_quarter[Company Name]) = LOWER(balance_sheet_quarter_filter!$B$2), ROW(balance_sheet_quarter[Company Name]) - ROW(INDEX(balance_sheet_quarter[Company Name], 1, 1)) + 1), ROW(4:4)), COLUMN(F:F)), "")</f>
        <v>12756918795</v>
      </c>
      <c r="H6" s="14">
        <f t="array" ref="H6">IFERROR(INDEX(balance_sheet_quarter[#All], SMALL(IF(LOWER(balance_sheet_quarter[Company Name]) = LOWER(balance_sheet_quarter_filter!$B$2), ROW(balance_sheet_quarter[Company Name]) - ROW(INDEX(balance_sheet_quarter[Company Name], 1, 1)) + 1), ROW(4:4)), COLUMN(G:G)), "")</f>
        <v>10769698730</v>
      </c>
      <c r="I6" s="14">
        <f t="array" ref="I6">IFERROR(INDEX(balance_sheet_quarter[#All], SMALL(IF(LOWER(balance_sheet_quarter[Company Name]) = LOWER(balance_sheet_quarter_filter!$B$2), ROW(balance_sheet_quarter[Company Name]) - ROW(INDEX(balance_sheet_quarter[Company Name], 1, 1)) + 1), ROW(4:4)), COLUMN(H:H)), "")</f>
        <v>23871515820</v>
      </c>
      <c r="J6" s="14">
        <f t="array" ref="J6">IFERROR(INDEX(balance_sheet_quarter[#All], SMALL(IF(LOWER(balance_sheet_quarter[Company Name]) = LOWER(balance_sheet_quarter_filter!$B$2), ROW(balance_sheet_quarter[Company Name]) - ROW(INDEX(balance_sheet_quarter[Company Name], 1, 1)) + 1), ROW(4:4)), COLUMN(I:I)), "")</f>
        <v>8808190497</v>
      </c>
      <c r="K6" s="14">
        <f t="array" ref="K6">IFERROR(INDEX(balance_sheet_quarter[#All], SMALL(IF(LOWER(balance_sheet_quarter[Company Name]) = LOWER(balance_sheet_quarter_filter!$B$2), ROW(balance_sheet_quarter[Company Name]) - ROW(INDEX(balance_sheet_quarter[Company Name], 1, 1)) + 1), ROW(4:4)), COLUMN(J:J)), "")</f>
        <v>48330108995</v>
      </c>
      <c r="L6" s="14">
        <f t="array" ref="L6">IFERROR(INDEX(balance_sheet_quarter[#All], SMALL(IF(LOWER(balance_sheet_quarter[Company Name]) = LOWER(balance_sheet_quarter_filter!$B$2), ROW(balance_sheet_quarter[Company Name]) - ROW(INDEX(balance_sheet_quarter[Company Name], 1, 1)) + 1), ROW(4:4)), COLUMN(K:K)), "")</f>
        <v>52944264710</v>
      </c>
      <c r="M6" s="14">
        <f t="array" ref="M6">IFERROR(INDEX(balance_sheet_quarter[#All], SMALL(IF(LOWER(balance_sheet_quarter[Company Name]) = LOWER(balance_sheet_quarter_filter!$B$2), ROW(balance_sheet_quarter[Company Name]) - ROW(INDEX(balance_sheet_quarter[Company Name], 1, 1)) + 1), ROW(4:4)), COLUMN(L:L)), "")</f>
        <v>82495469622</v>
      </c>
      <c r="N6" s="14">
        <f t="array" ref="N6">IFERROR(INDEX(balance_sheet_quarter[#All], SMALL(IF(LOWER(balance_sheet_quarter[Company Name]) = LOWER(balance_sheet_quarter_filter!$B$2), ROW(balance_sheet_quarter[Company Name]) - ROW(INDEX(balance_sheet_quarter[Company Name], 1, 1)) + 1), ROW(4:4)), COLUMN(M:M)), "")</f>
        <v>29226783623</v>
      </c>
      <c r="O6" s="14">
        <f t="array" ref="O6">IFERROR(INDEX(balance_sheet_quarter[#All], SMALL(IF(LOWER(balance_sheet_quarter[Company Name]) = LOWER(balance_sheet_quarter_filter!$B$2), ROW(balance_sheet_quarter[Company Name]) - ROW(INDEX(balance_sheet_quarter[Company Name], 1, 1)) + 1), ROW(4:4)), COLUMN(N:N)), "")</f>
        <v>1140389410</v>
      </c>
      <c r="P6" s="14">
        <f t="array" ref="P6">IFERROR(INDEX(balance_sheet_quarter[#All], SMALL(IF(LOWER(balance_sheet_quarter[Company Name]) = LOWER(balance_sheet_quarter_filter!$B$2), ROW(balance_sheet_quarter[Company Name]) - ROW(INDEX(balance_sheet_quarter[Company Name], 1, 1)) + 1), ROW(4:4)), COLUMN(O:O)), "")</f>
        <v>33799594987</v>
      </c>
    </row>
    <row r="7" spans="1:16" x14ac:dyDescent="0.35">
      <c r="C7" t="str">
        <f t="array" ref="C7">IFERROR(INDEX(balance_sheet_quarter[#All], SMALL(IF(LOWER(balance_sheet_quarter[Company Name]) = LOWER(balance_sheet_quarter_filter!$B$2), ROW(balance_sheet_quarter[Company Name]) - ROW(INDEX(balance_sheet_quarter[Company Name], 1, 1)) + 1), ROW(5:5)), COLUMN(B:B)), "")</f>
        <v>1. Tiền</v>
      </c>
      <c r="D7" s="14">
        <f t="array" ref="D7">IFERROR(INDEX(balance_sheet_quarter[#All], SMALL(IF(LOWER(balance_sheet_quarter[Company Name]) = LOWER(balance_sheet_quarter_filter!$B$2), ROW(balance_sheet_quarter[Company Name]) - ROW(INDEX(balance_sheet_quarter[Company Name], 1, 1)) + 1), ROW(5:5)), COLUMN(C:C)), "")</f>
        <v>7055058740</v>
      </c>
      <c r="E7" s="14">
        <f t="array" ref="E7">IFERROR(INDEX(balance_sheet_quarter[#All], SMALL(IF(LOWER(balance_sheet_quarter[Company Name]) = LOWER(balance_sheet_quarter_filter!$B$2), ROW(balance_sheet_quarter[Company Name]) - ROW(INDEX(balance_sheet_quarter[Company Name], 1, 1)) + 1), ROW(5:5)), COLUMN(D:D)), "")</f>
        <v>3988057552</v>
      </c>
      <c r="F7" s="14">
        <f t="array" ref="F7">IFERROR(INDEX(balance_sheet_quarter[#All], SMALL(IF(LOWER(balance_sheet_quarter[Company Name]) = LOWER(balance_sheet_quarter_filter!$B$2), ROW(balance_sheet_quarter[Company Name]) - ROW(INDEX(balance_sheet_quarter[Company Name], 1, 1)) + 1), ROW(5:5)), COLUMN(E:E)), "")</f>
        <v>17916436374</v>
      </c>
      <c r="G7" s="14">
        <f t="array" ref="G7">IFERROR(INDEX(balance_sheet_quarter[#All], SMALL(IF(LOWER(balance_sheet_quarter[Company Name]) = LOWER(balance_sheet_quarter_filter!$B$2), ROW(balance_sheet_quarter[Company Name]) - ROW(INDEX(balance_sheet_quarter[Company Name], 1, 1)) + 1), ROW(5:5)), COLUMN(F:F)), "")</f>
        <v>12756918795</v>
      </c>
      <c r="H7" s="14">
        <f t="array" ref="H7">IFERROR(INDEX(balance_sheet_quarter[#All], SMALL(IF(LOWER(balance_sheet_quarter[Company Name]) = LOWER(balance_sheet_quarter_filter!$B$2), ROW(balance_sheet_quarter[Company Name]) - ROW(INDEX(balance_sheet_quarter[Company Name], 1, 1)) + 1), ROW(5:5)), COLUMN(G:G)), "")</f>
        <v>10769698730</v>
      </c>
      <c r="I7" s="14">
        <f t="array" ref="I7">IFERROR(INDEX(balance_sheet_quarter[#All], SMALL(IF(LOWER(balance_sheet_quarter[Company Name]) = LOWER(balance_sheet_quarter_filter!$B$2), ROW(balance_sheet_quarter[Company Name]) - ROW(INDEX(balance_sheet_quarter[Company Name], 1, 1)) + 1), ROW(5:5)), COLUMN(H:H)), "")</f>
        <v>23871515820</v>
      </c>
      <c r="J7" s="14">
        <f t="array" ref="J7">IFERROR(INDEX(balance_sheet_quarter[#All], SMALL(IF(LOWER(balance_sheet_quarter[Company Name]) = LOWER(balance_sheet_quarter_filter!$B$2), ROW(balance_sheet_quarter[Company Name]) - ROW(INDEX(balance_sheet_quarter[Company Name], 1, 1)) + 1), ROW(5:5)), COLUMN(I:I)), "")</f>
        <v>8808190497</v>
      </c>
      <c r="K7" s="14">
        <f t="array" ref="K7">IFERROR(INDEX(balance_sheet_quarter[#All], SMALL(IF(LOWER(balance_sheet_quarter[Company Name]) = LOWER(balance_sheet_quarter_filter!$B$2), ROW(balance_sheet_quarter[Company Name]) - ROW(INDEX(balance_sheet_quarter[Company Name], 1, 1)) + 1), ROW(5:5)), COLUMN(J:J)), "")</f>
        <v>48330108995</v>
      </c>
      <c r="L7" s="14">
        <f t="array" ref="L7">IFERROR(INDEX(balance_sheet_quarter[#All], SMALL(IF(LOWER(balance_sheet_quarter[Company Name]) = LOWER(balance_sheet_quarter_filter!$B$2), ROW(balance_sheet_quarter[Company Name]) - ROW(INDEX(balance_sheet_quarter[Company Name], 1, 1)) + 1), ROW(5:5)), COLUMN(K:K)), "")</f>
        <v>52944264710</v>
      </c>
      <c r="M7" s="14">
        <f t="array" ref="M7">IFERROR(INDEX(balance_sheet_quarter[#All], SMALL(IF(LOWER(balance_sheet_quarter[Company Name]) = LOWER(balance_sheet_quarter_filter!$B$2), ROW(balance_sheet_quarter[Company Name]) - ROW(INDEX(balance_sheet_quarter[Company Name], 1, 1)) + 1), ROW(5:5)), COLUMN(L:L)), "")</f>
        <v>82495469622</v>
      </c>
      <c r="N7" s="14">
        <f t="array" ref="N7">IFERROR(INDEX(balance_sheet_quarter[#All], SMALL(IF(LOWER(balance_sheet_quarter[Company Name]) = LOWER(balance_sheet_quarter_filter!$B$2), ROW(balance_sheet_quarter[Company Name]) - ROW(INDEX(balance_sheet_quarter[Company Name], 1, 1)) + 1), ROW(5:5)), COLUMN(M:M)), "")</f>
        <v>29226783623</v>
      </c>
      <c r="O7" s="14">
        <f t="array" ref="O7">IFERROR(INDEX(balance_sheet_quarter[#All], SMALL(IF(LOWER(balance_sheet_quarter[Company Name]) = LOWER(balance_sheet_quarter_filter!$B$2), ROW(balance_sheet_quarter[Company Name]) - ROW(INDEX(balance_sheet_quarter[Company Name], 1, 1)) + 1), ROW(5:5)), COLUMN(N:N)), "")</f>
        <v>1140389410</v>
      </c>
      <c r="P7" s="14">
        <f t="array" ref="P7">IFERROR(INDEX(balance_sheet_quarter[#All], SMALL(IF(LOWER(balance_sheet_quarter[Company Name]) = LOWER(balance_sheet_quarter_filter!$B$2), ROW(balance_sheet_quarter[Company Name]) - ROW(INDEX(balance_sheet_quarter[Company Name], 1, 1)) + 1), ROW(5:5)), COLUMN(O:O)), "")</f>
        <v>33799594987</v>
      </c>
    </row>
    <row r="8" spans="1:16" x14ac:dyDescent="0.35">
      <c r="C8" t="str">
        <f t="array" ref="C8">IFERROR(INDEX(balance_sheet_quarter[#All], SMALL(IF(LOWER(balance_sheet_quarter[Company Name]) = LOWER(balance_sheet_quarter_filter!$B$2), ROW(balance_sheet_quarter[Company Name]) - ROW(INDEX(balance_sheet_quarter[Company Name], 1, 1)) + 1), ROW(6:6)), COLUMN(B:B)), "")</f>
        <v>2. Các khoản tương đương tiền</v>
      </c>
      <c r="D8" s="14">
        <f t="array" ref="D8">IFERROR(INDEX(balance_sheet_quarter[#All], SMALL(IF(LOWER(balance_sheet_quarter[Company Name]) = LOWER(balance_sheet_quarter_filter!$B$2), ROW(balance_sheet_quarter[Company Name]) - ROW(INDEX(balance_sheet_quarter[Company Name], 1, 1)) + 1), ROW(6:6)), COLUMN(C:C)), "")</f>
        <v>0</v>
      </c>
      <c r="E8" s="14">
        <f t="array" ref="E8">IFERROR(INDEX(balance_sheet_quarter[#All], SMALL(IF(LOWER(balance_sheet_quarter[Company Name]) = LOWER(balance_sheet_quarter_filter!$B$2), ROW(balance_sheet_quarter[Company Name]) - ROW(INDEX(balance_sheet_quarter[Company Name], 1, 1)) + 1), ROW(6:6)), COLUMN(D:D)), "")</f>
        <v>0</v>
      </c>
      <c r="F8" s="14">
        <f t="array" ref="F8">IFERROR(INDEX(balance_sheet_quarter[#All], SMALL(IF(LOWER(balance_sheet_quarter[Company Name]) = LOWER(balance_sheet_quarter_filter!$B$2), ROW(balance_sheet_quarter[Company Name]) - ROW(INDEX(balance_sheet_quarter[Company Name], 1, 1)) + 1), ROW(6:6)), COLUMN(E:E)), "")</f>
        <v>0</v>
      </c>
      <c r="G8" s="14">
        <f t="array" ref="G8">IFERROR(INDEX(balance_sheet_quarter[#All], SMALL(IF(LOWER(balance_sheet_quarter[Company Name]) = LOWER(balance_sheet_quarter_filter!$B$2), ROW(balance_sheet_quarter[Company Name]) - ROW(INDEX(balance_sheet_quarter[Company Name], 1, 1)) + 1), ROW(6:6)), COLUMN(F:F)), "")</f>
        <v>0</v>
      </c>
      <c r="H8" s="14">
        <f t="array" ref="H8">IFERROR(INDEX(balance_sheet_quarter[#All], SMALL(IF(LOWER(balance_sheet_quarter[Company Name]) = LOWER(balance_sheet_quarter_filter!$B$2), ROW(balance_sheet_quarter[Company Name]) - ROW(INDEX(balance_sheet_quarter[Company Name], 1, 1)) + 1), ROW(6:6)), COLUMN(G:G)), "")</f>
        <v>0</v>
      </c>
      <c r="I8" s="14">
        <f t="array" ref="I8">IFERROR(INDEX(balance_sheet_quarter[#All], SMALL(IF(LOWER(balance_sheet_quarter[Company Name]) = LOWER(balance_sheet_quarter_filter!$B$2), ROW(balance_sheet_quarter[Company Name]) - ROW(INDEX(balance_sheet_quarter[Company Name], 1, 1)) + 1), ROW(6:6)), COLUMN(H:H)), "")</f>
        <v>0</v>
      </c>
      <c r="J8" s="14">
        <f t="array" ref="J8">IFERROR(INDEX(balance_sheet_quarter[#All], SMALL(IF(LOWER(balance_sheet_quarter[Company Name]) = LOWER(balance_sheet_quarter_filter!$B$2), ROW(balance_sheet_quarter[Company Name]) - ROW(INDEX(balance_sheet_quarter[Company Name], 1, 1)) + 1), ROW(6:6)), COLUMN(I:I)), "")</f>
        <v>0</v>
      </c>
      <c r="K8" s="14">
        <f t="array" ref="K8">IFERROR(INDEX(balance_sheet_quarter[#All], SMALL(IF(LOWER(balance_sheet_quarter[Company Name]) = LOWER(balance_sheet_quarter_filter!$B$2), ROW(balance_sheet_quarter[Company Name]) - ROW(INDEX(balance_sheet_quarter[Company Name], 1, 1)) + 1), ROW(6:6)), COLUMN(J:J)), "")</f>
        <v>0</v>
      </c>
      <c r="L8" s="14">
        <f t="array" ref="L8">IFERROR(INDEX(balance_sheet_quarter[#All], SMALL(IF(LOWER(balance_sheet_quarter[Company Name]) = LOWER(balance_sheet_quarter_filter!$B$2), ROW(balance_sheet_quarter[Company Name]) - ROW(INDEX(balance_sheet_quarter[Company Name], 1, 1)) + 1), ROW(6:6)), COLUMN(K:K)), "")</f>
        <v>0</v>
      </c>
      <c r="M8" s="14">
        <f t="array" ref="M8">IFERROR(INDEX(balance_sheet_quarter[#All], SMALL(IF(LOWER(balance_sheet_quarter[Company Name]) = LOWER(balance_sheet_quarter_filter!$B$2), ROW(balance_sheet_quarter[Company Name]) - ROW(INDEX(balance_sheet_quarter[Company Name], 1, 1)) + 1), ROW(6:6)), COLUMN(L:L)), "")</f>
        <v>0</v>
      </c>
      <c r="N8" s="14">
        <f t="array" ref="N8">IFERROR(INDEX(balance_sheet_quarter[#All], SMALL(IF(LOWER(balance_sheet_quarter[Company Name]) = LOWER(balance_sheet_quarter_filter!$B$2), ROW(balance_sheet_quarter[Company Name]) - ROW(INDEX(balance_sheet_quarter[Company Name], 1, 1)) + 1), ROW(6:6)), COLUMN(M:M)), "")</f>
        <v>0</v>
      </c>
      <c r="O8" s="14">
        <f t="array" ref="O8">IFERROR(INDEX(balance_sheet_quarter[#All], SMALL(IF(LOWER(balance_sheet_quarter[Company Name]) = LOWER(balance_sheet_quarter_filter!$B$2), ROW(balance_sheet_quarter[Company Name]) - ROW(INDEX(balance_sheet_quarter[Company Name], 1, 1)) + 1), ROW(6:6)), COLUMN(N:N)), "")</f>
        <v>0</v>
      </c>
      <c r="P8" s="14">
        <f t="array" ref="P8">IFERROR(INDEX(balance_sheet_quarter[#All], SMALL(IF(LOWER(balance_sheet_quarter[Company Name]) = LOWER(balance_sheet_quarter_filter!$B$2), ROW(balance_sheet_quarter[Company Name]) - ROW(INDEX(balance_sheet_quarter[Company Name], 1, 1)) + 1), ROW(6:6)), COLUMN(O:O)), "")</f>
        <v>0</v>
      </c>
    </row>
    <row r="9" spans="1:16" x14ac:dyDescent="0.35">
      <c r="C9" t="str">
        <f t="array" ref="C9">IFERROR(INDEX(balance_sheet_quarter[#All], SMALL(IF(LOWER(balance_sheet_quarter[Company Name]) = LOWER(balance_sheet_quarter_filter!$B$2), ROW(balance_sheet_quarter[Company Name]) - ROW(INDEX(balance_sheet_quarter[Company Name], 1, 1)) + 1), ROW(7:7)), COLUMN(B:B)), "")</f>
        <v>II. Các khoản đầu tư tài chính ngắn hạn</v>
      </c>
      <c r="D9" s="14">
        <f t="array" ref="D9">IFERROR(INDEX(balance_sheet_quarter[#All], SMALL(IF(LOWER(balance_sheet_quarter[Company Name]) = LOWER(balance_sheet_quarter_filter!$B$2), ROW(balance_sheet_quarter[Company Name]) - ROW(INDEX(balance_sheet_quarter[Company Name], 1, 1)) + 1), ROW(7:7)), COLUMN(C:C)), "")</f>
        <v>0</v>
      </c>
      <c r="E9" s="14">
        <f t="array" ref="E9">IFERROR(INDEX(balance_sheet_quarter[#All], SMALL(IF(LOWER(balance_sheet_quarter[Company Name]) = LOWER(balance_sheet_quarter_filter!$B$2), ROW(balance_sheet_quarter[Company Name]) - ROW(INDEX(balance_sheet_quarter[Company Name], 1, 1)) + 1), ROW(7:7)), COLUMN(D:D)), "")</f>
        <v>0</v>
      </c>
      <c r="F9" s="14">
        <f t="array" ref="F9">IFERROR(INDEX(balance_sheet_quarter[#All], SMALL(IF(LOWER(balance_sheet_quarter[Company Name]) = LOWER(balance_sheet_quarter_filter!$B$2), ROW(balance_sheet_quarter[Company Name]) - ROW(INDEX(balance_sheet_quarter[Company Name], 1, 1)) + 1), ROW(7:7)), COLUMN(E:E)), "")</f>
        <v>0</v>
      </c>
      <c r="G9" s="14">
        <f t="array" ref="G9">IFERROR(INDEX(balance_sheet_quarter[#All], SMALL(IF(LOWER(balance_sheet_quarter[Company Name]) = LOWER(balance_sheet_quarter_filter!$B$2), ROW(balance_sheet_quarter[Company Name]) - ROW(INDEX(balance_sheet_quarter[Company Name], 1, 1)) + 1), ROW(7:7)), COLUMN(F:F)), "")</f>
        <v>0</v>
      </c>
      <c r="H9" s="14">
        <f t="array" ref="H9">IFERROR(INDEX(balance_sheet_quarter[#All], SMALL(IF(LOWER(balance_sheet_quarter[Company Name]) = LOWER(balance_sheet_quarter_filter!$B$2), ROW(balance_sheet_quarter[Company Name]) - ROW(INDEX(balance_sheet_quarter[Company Name], 1, 1)) + 1), ROW(7:7)), COLUMN(G:G)), "")</f>
        <v>0</v>
      </c>
      <c r="I9" s="14">
        <f t="array" ref="I9">IFERROR(INDEX(balance_sheet_quarter[#All], SMALL(IF(LOWER(balance_sheet_quarter[Company Name]) = LOWER(balance_sheet_quarter_filter!$B$2), ROW(balance_sheet_quarter[Company Name]) - ROW(INDEX(balance_sheet_quarter[Company Name], 1, 1)) + 1), ROW(7:7)), COLUMN(H:H)), "")</f>
        <v>0</v>
      </c>
      <c r="J9" s="14">
        <f t="array" ref="J9">IFERROR(INDEX(balance_sheet_quarter[#All], SMALL(IF(LOWER(balance_sheet_quarter[Company Name]) = LOWER(balance_sheet_quarter_filter!$B$2), ROW(balance_sheet_quarter[Company Name]) - ROW(INDEX(balance_sheet_quarter[Company Name], 1, 1)) + 1), ROW(7:7)), COLUMN(I:I)), "")</f>
        <v>0</v>
      </c>
      <c r="K9" s="14">
        <f t="array" ref="K9">IFERROR(INDEX(balance_sheet_quarter[#All], SMALL(IF(LOWER(balance_sheet_quarter[Company Name]) = LOWER(balance_sheet_quarter_filter!$B$2), ROW(balance_sheet_quarter[Company Name]) - ROW(INDEX(balance_sheet_quarter[Company Name], 1, 1)) + 1), ROW(7:7)), COLUMN(J:J)), "")</f>
        <v>0</v>
      </c>
      <c r="L9" s="14">
        <f t="array" ref="L9">IFERROR(INDEX(balance_sheet_quarter[#All], SMALL(IF(LOWER(balance_sheet_quarter[Company Name]) = LOWER(balance_sheet_quarter_filter!$B$2), ROW(balance_sheet_quarter[Company Name]) - ROW(INDEX(balance_sheet_quarter[Company Name], 1, 1)) + 1), ROW(7:7)), COLUMN(K:K)), "")</f>
        <v>0</v>
      </c>
      <c r="M9" s="14">
        <f t="array" ref="M9">IFERROR(INDEX(balance_sheet_quarter[#All], SMALL(IF(LOWER(balance_sheet_quarter[Company Name]) = LOWER(balance_sheet_quarter_filter!$B$2), ROW(balance_sheet_quarter[Company Name]) - ROW(INDEX(balance_sheet_quarter[Company Name], 1, 1)) + 1), ROW(7:7)), COLUMN(L:L)), "")</f>
        <v>0</v>
      </c>
      <c r="N9" s="14">
        <f t="array" ref="N9">IFERROR(INDEX(balance_sheet_quarter[#All], SMALL(IF(LOWER(balance_sheet_quarter[Company Name]) = LOWER(balance_sheet_quarter_filter!$B$2), ROW(balance_sheet_quarter[Company Name]) - ROW(INDEX(balance_sheet_quarter[Company Name], 1, 1)) + 1), ROW(7:7)), COLUMN(M:M)), "")</f>
        <v>0</v>
      </c>
      <c r="O9" s="14">
        <f t="array" ref="O9">IFERROR(INDEX(balance_sheet_quarter[#All], SMALL(IF(LOWER(balance_sheet_quarter[Company Name]) = LOWER(balance_sheet_quarter_filter!$B$2), ROW(balance_sheet_quarter[Company Name]) - ROW(INDEX(balance_sheet_quarter[Company Name], 1, 1)) + 1), ROW(7:7)), COLUMN(N:N)), "")</f>
        <v>0</v>
      </c>
      <c r="P9" s="14">
        <f t="array" ref="P9">IFERROR(INDEX(balance_sheet_quarter[#All], SMALL(IF(LOWER(balance_sheet_quarter[Company Name]) = LOWER(balance_sheet_quarter_filter!$B$2), ROW(balance_sheet_quarter[Company Name]) - ROW(INDEX(balance_sheet_quarter[Company Name], 1, 1)) + 1), ROW(7:7)), COLUMN(O:O)), "")</f>
        <v>0</v>
      </c>
    </row>
    <row r="10" spans="1:16" x14ac:dyDescent="0.35">
      <c r="C10" t="str">
        <f t="array" ref="C10">IFERROR(INDEX(balance_sheet_quarter[#All], SMALL(IF(LOWER(balance_sheet_quarter[Company Name]) = LOWER(balance_sheet_quarter_filter!$B$2), ROW(balance_sheet_quarter[Company Name]) - ROW(INDEX(balance_sheet_quarter[Company Name], 1, 1)) + 1), ROW(8:8)), COLUMN(B:B)), "")</f>
        <v>1. Chứng khoán kinh doanh</v>
      </c>
      <c r="D10" s="14">
        <f t="array" ref="D10">IFERROR(INDEX(balance_sheet_quarter[#All], SMALL(IF(LOWER(balance_sheet_quarter[Company Name]) = LOWER(balance_sheet_quarter_filter!$B$2), ROW(balance_sheet_quarter[Company Name]) - ROW(INDEX(balance_sheet_quarter[Company Name], 1, 1)) + 1), ROW(8:8)), COLUMN(C:C)), "")</f>
        <v>0</v>
      </c>
      <c r="E10" s="14">
        <f t="array" ref="E10">IFERROR(INDEX(balance_sheet_quarter[#All], SMALL(IF(LOWER(balance_sheet_quarter[Company Name]) = LOWER(balance_sheet_quarter_filter!$B$2), ROW(balance_sheet_quarter[Company Name]) - ROW(INDEX(balance_sheet_quarter[Company Name], 1, 1)) + 1), ROW(8:8)), COLUMN(D:D)), "")</f>
        <v>0</v>
      </c>
      <c r="F10" s="14">
        <f t="array" ref="F10">IFERROR(INDEX(balance_sheet_quarter[#All], SMALL(IF(LOWER(balance_sheet_quarter[Company Name]) = LOWER(balance_sheet_quarter_filter!$B$2), ROW(balance_sheet_quarter[Company Name]) - ROW(INDEX(balance_sheet_quarter[Company Name], 1, 1)) + 1), ROW(8:8)), COLUMN(E:E)), "")</f>
        <v>0</v>
      </c>
      <c r="G10" s="14">
        <f t="array" ref="G10">IFERROR(INDEX(balance_sheet_quarter[#All], SMALL(IF(LOWER(balance_sheet_quarter[Company Name]) = LOWER(balance_sheet_quarter_filter!$B$2), ROW(balance_sheet_quarter[Company Name]) - ROW(INDEX(balance_sheet_quarter[Company Name], 1, 1)) + 1), ROW(8:8)), COLUMN(F:F)), "")</f>
        <v>0</v>
      </c>
      <c r="H10" s="14">
        <f t="array" ref="H10">IFERROR(INDEX(balance_sheet_quarter[#All], SMALL(IF(LOWER(balance_sheet_quarter[Company Name]) = LOWER(balance_sheet_quarter_filter!$B$2), ROW(balance_sheet_quarter[Company Name]) - ROW(INDEX(balance_sheet_quarter[Company Name], 1, 1)) + 1), ROW(8:8)), COLUMN(G:G)), "")</f>
        <v>0</v>
      </c>
      <c r="I10" s="14">
        <f t="array" ref="I10">IFERROR(INDEX(balance_sheet_quarter[#All], SMALL(IF(LOWER(balance_sheet_quarter[Company Name]) = LOWER(balance_sheet_quarter_filter!$B$2), ROW(balance_sheet_quarter[Company Name]) - ROW(INDEX(balance_sheet_quarter[Company Name], 1, 1)) + 1), ROW(8:8)), COLUMN(H:H)), "")</f>
        <v>0</v>
      </c>
      <c r="J10" s="14">
        <f t="array" ref="J10">IFERROR(INDEX(balance_sheet_quarter[#All], SMALL(IF(LOWER(balance_sheet_quarter[Company Name]) = LOWER(balance_sheet_quarter_filter!$B$2), ROW(balance_sheet_quarter[Company Name]) - ROW(INDEX(balance_sheet_quarter[Company Name], 1, 1)) + 1), ROW(8:8)), COLUMN(I:I)), "")</f>
        <v>0</v>
      </c>
      <c r="K10" s="14">
        <f t="array" ref="K10">IFERROR(INDEX(balance_sheet_quarter[#All], SMALL(IF(LOWER(balance_sheet_quarter[Company Name]) = LOWER(balance_sheet_quarter_filter!$B$2), ROW(balance_sheet_quarter[Company Name]) - ROW(INDEX(balance_sheet_quarter[Company Name], 1, 1)) + 1), ROW(8:8)), COLUMN(J:J)), "")</f>
        <v>0</v>
      </c>
      <c r="L10" s="14">
        <f t="array" ref="L10">IFERROR(INDEX(balance_sheet_quarter[#All], SMALL(IF(LOWER(balance_sheet_quarter[Company Name]) = LOWER(balance_sheet_quarter_filter!$B$2), ROW(balance_sheet_quarter[Company Name]) - ROW(INDEX(balance_sheet_quarter[Company Name], 1, 1)) + 1), ROW(8:8)), COLUMN(K:K)), "")</f>
        <v>0</v>
      </c>
      <c r="M10" s="14">
        <f t="array" ref="M10">IFERROR(INDEX(balance_sheet_quarter[#All], SMALL(IF(LOWER(balance_sheet_quarter[Company Name]) = LOWER(balance_sheet_quarter_filter!$B$2), ROW(balance_sheet_quarter[Company Name]) - ROW(INDEX(balance_sheet_quarter[Company Name], 1, 1)) + 1), ROW(8:8)), COLUMN(L:L)), "")</f>
        <v>0</v>
      </c>
      <c r="N10" s="14">
        <f t="array" ref="N10">IFERROR(INDEX(balance_sheet_quarter[#All], SMALL(IF(LOWER(balance_sheet_quarter[Company Name]) = LOWER(balance_sheet_quarter_filter!$B$2), ROW(balance_sheet_quarter[Company Name]) - ROW(INDEX(balance_sheet_quarter[Company Name], 1, 1)) + 1), ROW(8:8)), COLUMN(M:M)), "")</f>
        <v>0</v>
      </c>
      <c r="O10" s="14">
        <f t="array" ref="O10">IFERROR(INDEX(balance_sheet_quarter[#All], SMALL(IF(LOWER(balance_sheet_quarter[Company Name]) = LOWER(balance_sheet_quarter_filter!$B$2), ROW(balance_sheet_quarter[Company Name]) - ROW(INDEX(balance_sheet_quarter[Company Name], 1, 1)) + 1), ROW(8:8)), COLUMN(N:N)), "")</f>
        <v>0</v>
      </c>
      <c r="P10" s="14">
        <f t="array" ref="P10">IFERROR(INDEX(balance_sheet_quarter[#All], SMALL(IF(LOWER(balance_sheet_quarter[Company Name]) = LOWER(balance_sheet_quarter_filter!$B$2), ROW(balance_sheet_quarter[Company Name]) - ROW(INDEX(balance_sheet_quarter[Company Name], 1, 1)) + 1), ROW(8:8)), COLUMN(O:O)), "")</f>
        <v>0</v>
      </c>
    </row>
    <row r="11" spans="1:16" x14ac:dyDescent="0.35">
      <c r="C11" t="str">
        <f t="array" ref="C11">IFERROR(INDEX(balance_sheet_quarter[#All], SMALL(IF(LOWER(balance_sheet_quarter[Company Name]) = LOWER(balance_sheet_quarter_filter!$B$2), ROW(balance_sheet_quarter[Company Name]) - ROW(INDEX(balance_sheet_quarter[Company Name], 1, 1)) + 1), ROW(9:9)), COLUMN(B:B)), "")</f>
        <v>2. Dự phòng giảm giá chứng khoán kinh doanh</v>
      </c>
      <c r="D11" s="14">
        <f t="array" ref="D11">IFERROR(INDEX(balance_sheet_quarter[#All], SMALL(IF(LOWER(balance_sheet_quarter[Company Name]) = LOWER(balance_sheet_quarter_filter!$B$2), ROW(balance_sheet_quarter[Company Name]) - ROW(INDEX(balance_sheet_quarter[Company Name], 1, 1)) + 1), ROW(9:9)), COLUMN(C:C)), "")</f>
        <v>0</v>
      </c>
      <c r="E11" s="14">
        <f t="array" ref="E11">IFERROR(INDEX(balance_sheet_quarter[#All], SMALL(IF(LOWER(balance_sheet_quarter[Company Name]) = LOWER(balance_sheet_quarter_filter!$B$2), ROW(balance_sheet_quarter[Company Name]) - ROW(INDEX(balance_sheet_quarter[Company Name], 1, 1)) + 1), ROW(9:9)), COLUMN(D:D)), "")</f>
        <v>0</v>
      </c>
      <c r="F11" s="14">
        <f t="array" ref="F11">IFERROR(INDEX(balance_sheet_quarter[#All], SMALL(IF(LOWER(balance_sheet_quarter[Company Name]) = LOWER(balance_sheet_quarter_filter!$B$2), ROW(balance_sheet_quarter[Company Name]) - ROW(INDEX(balance_sheet_quarter[Company Name], 1, 1)) + 1), ROW(9:9)), COLUMN(E:E)), "")</f>
        <v>0</v>
      </c>
      <c r="G11" s="14">
        <f t="array" ref="G11">IFERROR(INDEX(balance_sheet_quarter[#All], SMALL(IF(LOWER(balance_sheet_quarter[Company Name]) = LOWER(balance_sheet_quarter_filter!$B$2), ROW(balance_sheet_quarter[Company Name]) - ROW(INDEX(balance_sheet_quarter[Company Name], 1, 1)) + 1), ROW(9:9)), COLUMN(F:F)), "")</f>
        <v>0</v>
      </c>
      <c r="H11" s="14">
        <f t="array" ref="H11">IFERROR(INDEX(balance_sheet_quarter[#All], SMALL(IF(LOWER(balance_sheet_quarter[Company Name]) = LOWER(balance_sheet_quarter_filter!$B$2), ROW(balance_sheet_quarter[Company Name]) - ROW(INDEX(balance_sheet_quarter[Company Name], 1, 1)) + 1), ROW(9:9)), COLUMN(G:G)), "")</f>
        <v>0</v>
      </c>
      <c r="I11" s="14">
        <f t="array" ref="I11">IFERROR(INDEX(balance_sheet_quarter[#All], SMALL(IF(LOWER(balance_sheet_quarter[Company Name]) = LOWER(balance_sheet_quarter_filter!$B$2), ROW(balance_sheet_quarter[Company Name]) - ROW(INDEX(balance_sheet_quarter[Company Name], 1, 1)) + 1), ROW(9:9)), COLUMN(H:H)), "")</f>
        <v>0</v>
      </c>
      <c r="J11" s="14">
        <f t="array" ref="J11">IFERROR(INDEX(balance_sheet_quarter[#All], SMALL(IF(LOWER(balance_sheet_quarter[Company Name]) = LOWER(balance_sheet_quarter_filter!$B$2), ROW(balance_sheet_quarter[Company Name]) - ROW(INDEX(balance_sheet_quarter[Company Name], 1, 1)) + 1), ROW(9:9)), COLUMN(I:I)), "")</f>
        <v>0</v>
      </c>
      <c r="K11" s="14">
        <f t="array" ref="K11">IFERROR(INDEX(balance_sheet_quarter[#All], SMALL(IF(LOWER(balance_sheet_quarter[Company Name]) = LOWER(balance_sheet_quarter_filter!$B$2), ROW(balance_sheet_quarter[Company Name]) - ROW(INDEX(balance_sheet_quarter[Company Name], 1, 1)) + 1), ROW(9:9)), COLUMN(J:J)), "")</f>
        <v>0</v>
      </c>
      <c r="L11" s="14">
        <f t="array" ref="L11">IFERROR(INDEX(balance_sheet_quarter[#All], SMALL(IF(LOWER(balance_sheet_quarter[Company Name]) = LOWER(balance_sheet_quarter_filter!$B$2), ROW(balance_sheet_quarter[Company Name]) - ROW(INDEX(balance_sheet_quarter[Company Name], 1, 1)) + 1), ROW(9:9)), COLUMN(K:K)), "")</f>
        <v>0</v>
      </c>
      <c r="M11" s="14">
        <f t="array" ref="M11">IFERROR(INDEX(balance_sheet_quarter[#All], SMALL(IF(LOWER(balance_sheet_quarter[Company Name]) = LOWER(balance_sheet_quarter_filter!$B$2), ROW(balance_sheet_quarter[Company Name]) - ROW(INDEX(balance_sheet_quarter[Company Name], 1, 1)) + 1), ROW(9:9)), COLUMN(L:L)), "")</f>
        <v>0</v>
      </c>
      <c r="N11" s="14">
        <f t="array" ref="N11">IFERROR(INDEX(balance_sheet_quarter[#All], SMALL(IF(LOWER(balance_sheet_quarter[Company Name]) = LOWER(balance_sheet_quarter_filter!$B$2), ROW(balance_sheet_quarter[Company Name]) - ROW(INDEX(balance_sheet_quarter[Company Name], 1, 1)) + 1), ROW(9:9)), COLUMN(M:M)), "")</f>
        <v>0</v>
      </c>
      <c r="O11" s="14">
        <f t="array" ref="O11">IFERROR(INDEX(balance_sheet_quarter[#All], SMALL(IF(LOWER(balance_sheet_quarter[Company Name]) = LOWER(balance_sheet_quarter_filter!$B$2), ROW(balance_sheet_quarter[Company Name]) - ROW(INDEX(balance_sheet_quarter[Company Name], 1, 1)) + 1), ROW(9:9)), COLUMN(N:N)), "")</f>
        <v>0</v>
      </c>
      <c r="P11" s="14">
        <f t="array" ref="P11">IFERROR(INDEX(balance_sheet_quarter[#All], SMALL(IF(LOWER(balance_sheet_quarter[Company Name]) = LOWER(balance_sheet_quarter_filter!$B$2), ROW(balance_sheet_quarter[Company Name]) - ROW(INDEX(balance_sheet_quarter[Company Name], 1, 1)) + 1), ROW(9:9)), COLUMN(O:O)), "")</f>
        <v>0</v>
      </c>
    </row>
    <row r="12" spans="1:16" x14ac:dyDescent="0.35">
      <c r="C12" t="str">
        <f t="array" ref="C12">IFERROR(INDEX(balance_sheet_quarter[#All], SMALL(IF(LOWER(balance_sheet_quarter[Company Name]) = LOWER(balance_sheet_quarter_filter!$B$2), ROW(balance_sheet_quarter[Company Name]) - ROW(INDEX(balance_sheet_quarter[Company Name], 1, 1)) + 1), ROW(10:10)), COLUMN(B:B)), "")</f>
        <v>3. Đầu tư nắm giữ đến ngày đáo hạn</v>
      </c>
      <c r="D12" s="14">
        <f t="array" ref="D12">IFERROR(INDEX(balance_sheet_quarter[#All], SMALL(IF(LOWER(balance_sheet_quarter[Company Name]) = LOWER(balance_sheet_quarter_filter!$B$2), ROW(balance_sheet_quarter[Company Name]) - ROW(INDEX(balance_sheet_quarter[Company Name], 1, 1)) + 1), ROW(10:10)), COLUMN(C:C)), "")</f>
        <v>0</v>
      </c>
      <c r="E12" s="14">
        <f t="array" ref="E12">IFERROR(INDEX(balance_sheet_quarter[#All], SMALL(IF(LOWER(balance_sheet_quarter[Company Name]) = LOWER(balance_sheet_quarter_filter!$B$2), ROW(balance_sheet_quarter[Company Name]) - ROW(INDEX(balance_sheet_quarter[Company Name], 1, 1)) + 1), ROW(10:10)), COLUMN(D:D)), "")</f>
        <v>0</v>
      </c>
      <c r="F12" s="14">
        <f t="array" ref="F12">IFERROR(INDEX(balance_sheet_quarter[#All], SMALL(IF(LOWER(balance_sheet_quarter[Company Name]) = LOWER(balance_sheet_quarter_filter!$B$2), ROW(balance_sheet_quarter[Company Name]) - ROW(INDEX(balance_sheet_quarter[Company Name], 1, 1)) + 1), ROW(10:10)), COLUMN(E:E)), "")</f>
        <v>0</v>
      </c>
      <c r="G12" s="14">
        <f t="array" ref="G12">IFERROR(INDEX(balance_sheet_quarter[#All], SMALL(IF(LOWER(balance_sheet_quarter[Company Name]) = LOWER(balance_sheet_quarter_filter!$B$2), ROW(balance_sheet_quarter[Company Name]) - ROW(INDEX(balance_sheet_quarter[Company Name], 1, 1)) + 1), ROW(10:10)), COLUMN(F:F)), "")</f>
        <v>0</v>
      </c>
      <c r="H12" s="14">
        <f t="array" ref="H12">IFERROR(INDEX(balance_sheet_quarter[#All], SMALL(IF(LOWER(balance_sheet_quarter[Company Name]) = LOWER(balance_sheet_quarter_filter!$B$2), ROW(balance_sheet_quarter[Company Name]) - ROW(INDEX(balance_sheet_quarter[Company Name], 1, 1)) + 1), ROW(10:10)), COLUMN(G:G)), "")</f>
        <v>0</v>
      </c>
      <c r="I12" s="14">
        <f t="array" ref="I12">IFERROR(INDEX(balance_sheet_quarter[#All], SMALL(IF(LOWER(balance_sheet_quarter[Company Name]) = LOWER(balance_sheet_quarter_filter!$B$2), ROW(balance_sheet_quarter[Company Name]) - ROW(INDEX(balance_sheet_quarter[Company Name], 1, 1)) + 1), ROW(10:10)), COLUMN(H:H)), "")</f>
        <v>0</v>
      </c>
      <c r="J12" s="14">
        <f t="array" ref="J12">IFERROR(INDEX(balance_sheet_quarter[#All], SMALL(IF(LOWER(balance_sheet_quarter[Company Name]) = LOWER(balance_sheet_quarter_filter!$B$2), ROW(balance_sheet_quarter[Company Name]) - ROW(INDEX(balance_sheet_quarter[Company Name], 1, 1)) + 1), ROW(10:10)), COLUMN(I:I)), "")</f>
        <v>0</v>
      </c>
      <c r="K12" s="14">
        <f t="array" ref="K12">IFERROR(INDEX(balance_sheet_quarter[#All], SMALL(IF(LOWER(balance_sheet_quarter[Company Name]) = LOWER(balance_sheet_quarter_filter!$B$2), ROW(balance_sheet_quarter[Company Name]) - ROW(INDEX(balance_sheet_quarter[Company Name], 1, 1)) + 1), ROW(10:10)), COLUMN(J:J)), "")</f>
        <v>0</v>
      </c>
      <c r="L12" s="14">
        <f t="array" ref="L12">IFERROR(INDEX(balance_sheet_quarter[#All], SMALL(IF(LOWER(balance_sheet_quarter[Company Name]) = LOWER(balance_sheet_quarter_filter!$B$2), ROW(balance_sheet_quarter[Company Name]) - ROW(INDEX(balance_sheet_quarter[Company Name], 1, 1)) + 1), ROW(10:10)), COLUMN(K:K)), "")</f>
        <v>0</v>
      </c>
      <c r="M12" s="14">
        <f t="array" ref="M12">IFERROR(INDEX(balance_sheet_quarter[#All], SMALL(IF(LOWER(balance_sheet_quarter[Company Name]) = LOWER(balance_sheet_quarter_filter!$B$2), ROW(balance_sheet_quarter[Company Name]) - ROW(INDEX(balance_sheet_quarter[Company Name], 1, 1)) + 1), ROW(10:10)), COLUMN(L:L)), "")</f>
        <v>0</v>
      </c>
      <c r="N12" s="14">
        <f t="array" ref="N12">IFERROR(INDEX(balance_sheet_quarter[#All], SMALL(IF(LOWER(balance_sheet_quarter[Company Name]) = LOWER(balance_sheet_quarter_filter!$B$2), ROW(balance_sheet_quarter[Company Name]) - ROW(INDEX(balance_sheet_quarter[Company Name], 1, 1)) + 1), ROW(10:10)), COLUMN(M:M)), "")</f>
        <v>0</v>
      </c>
      <c r="O12" s="14">
        <f t="array" ref="O12">IFERROR(INDEX(balance_sheet_quarter[#All], SMALL(IF(LOWER(balance_sheet_quarter[Company Name]) = LOWER(balance_sheet_quarter_filter!$B$2), ROW(balance_sheet_quarter[Company Name]) - ROW(INDEX(balance_sheet_quarter[Company Name], 1, 1)) + 1), ROW(10:10)), COLUMN(N:N)), "")</f>
        <v>0</v>
      </c>
      <c r="P12" s="14">
        <f t="array" ref="P12">IFERROR(INDEX(balance_sheet_quarter[#All], SMALL(IF(LOWER(balance_sheet_quarter[Company Name]) = LOWER(balance_sheet_quarter_filter!$B$2), ROW(balance_sheet_quarter[Company Name]) - ROW(INDEX(balance_sheet_quarter[Company Name], 1, 1)) + 1), ROW(10:10)), COLUMN(O:O)), "")</f>
        <v>0</v>
      </c>
    </row>
    <row r="13" spans="1:16" x14ac:dyDescent="0.35">
      <c r="C13" t="str">
        <f t="array" ref="C13">IFERROR(INDEX(balance_sheet_quarter[#All], SMALL(IF(LOWER(balance_sheet_quarter[Company Name]) = LOWER(balance_sheet_quarter_filter!$B$2), ROW(balance_sheet_quarter[Company Name]) - ROW(INDEX(balance_sheet_quarter[Company Name], 1, 1)) + 1), ROW(11:11)), COLUMN(B:B)), "")</f>
        <v>III. Các khoản phải thu ngắn hạn</v>
      </c>
      <c r="D13" s="14">
        <f t="array" ref="D13">IFERROR(INDEX(balance_sheet_quarter[#All], SMALL(IF(LOWER(balance_sheet_quarter[Company Name]) = LOWER(balance_sheet_quarter_filter!$B$2), ROW(balance_sheet_quarter[Company Name]) - ROW(INDEX(balance_sheet_quarter[Company Name], 1, 1)) + 1), ROW(11:11)), COLUMN(C:C)), "")</f>
        <v>219252157562</v>
      </c>
      <c r="E13" s="14">
        <f t="array" ref="E13">IFERROR(INDEX(balance_sheet_quarter[#All], SMALL(IF(LOWER(balance_sheet_quarter[Company Name]) = LOWER(balance_sheet_quarter_filter!$B$2), ROW(balance_sheet_quarter[Company Name]) - ROW(INDEX(balance_sheet_quarter[Company Name], 1, 1)) + 1), ROW(11:11)), COLUMN(D:D)), "")</f>
        <v>95706837884</v>
      </c>
      <c r="F13" s="14">
        <f t="array" ref="F13">IFERROR(INDEX(balance_sheet_quarter[#All], SMALL(IF(LOWER(balance_sheet_quarter[Company Name]) = LOWER(balance_sheet_quarter_filter!$B$2), ROW(balance_sheet_quarter[Company Name]) - ROW(INDEX(balance_sheet_quarter[Company Name], 1, 1)) + 1), ROW(11:11)), COLUMN(E:E)), "")</f>
        <v>91028640390</v>
      </c>
      <c r="G13" s="14">
        <f t="array" ref="G13">IFERROR(INDEX(balance_sheet_quarter[#All], SMALL(IF(LOWER(balance_sheet_quarter[Company Name]) = LOWER(balance_sheet_quarter_filter!$B$2), ROW(balance_sheet_quarter[Company Name]) - ROW(INDEX(balance_sheet_quarter[Company Name], 1, 1)) + 1), ROW(11:11)), COLUMN(F:F)), "")</f>
        <v>130368174078</v>
      </c>
      <c r="H13" s="14">
        <f t="array" ref="H13">IFERROR(INDEX(balance_sheet_quarter[#All], SMALL(IF(LOWER(balance_sheet_quarter[Company Name]) = LOWER(balance_sheet_quarter_filter!$B$2), ROW(balance_sheet_quarter[Company Name]) - ROW(INDEX(balance_sheet_quarter[Company Name], 1, 1)) + 1), ROW(11:11)), COLUMN(G:G)), "")</f>
        <v>126316429796</v>
      </c>
      <c r="I13" s="14">
        <f t="array" ref="I13">IFERROR(INDEX(balance_sheet_quarter[#All], SMALL(IF(LOWER(balance_sheet_quarter[Company Name]) = LOWER(balance_sheet_quarter_filter!$B$2), ROW(balance_sheet_quarter[Company Name]) - ROW(INDEX(balance_sheet_quarter[Company Name], 1, 1)) + 1), ROW(11:11)), COLUMN(H:H)), "")</f>
        <v>119052979825</v>
      </c>
      <c r="J13" s="14">
        <f t="array" ref="J13">IFERROR(INDEX(balance_sheet_quarter[#All], SMALL(IF(LOWER(balance_sheet_quarter[Company Name]) = LOWER(balance_sheet_quarter_filter!$B$2), ROW(balance_sheet_quarter[Company Name]) - ROW(INDEX(balance_sheet_quarter[Company Name], 1, 1)) + 1), ROW(11:11)), COLUMN(I:I)), "")</f>
        <v>180760993125</v>
      </c>
      <c r="K13" s="14">
        <f t="array" ref="K13">IFERROR(INDEX(balance_sheet_quarter[#All], SMALL(IF(LOWER(balance_sheet_quarter[Company Name]) = LOWER(balance_sheet_quarter_filter!$B$2), ROW(balance_sheet_quarter[Company Name]) - ROW(INDEX(balance_sheet_quarter[Company Name], 1, 1)) + 1), ROW(11:11)), COLUMN(J:J)), "")</f>
        <v>159533274512</v>
      </c>
      <c r="L13" s="14">
        <f t="array" ref="L13">IFERROR(INDEX(balance_sheet_quarter[#All], SMALL(IF(LOWER(balance_sheet_quarter[Company Name]) = LOWER(balance_sheet_quarter_filter!$B$2), ROW(balance_sheet_quarter[Company Name]) - ROW(INDEX(balance_sheet_quarter[Company Name], 1, 1)) + 1), ROW(11:11)), COLUMN(K:K)), "")</f>
        <v>150711074906</v>
      </c>
      <c r="M13" s="14">
        <f t="array" ref="M13">IFERROR(INDEX(balance_sheet_quarter[#All], SMALL(IF(LOWER(balance_sheet_quarter[Company Name]) = LOWER(balance_sheet_quarter_filter!$B$2), ROW(balance_sheet_quarter[Company Name]) - ROW(INDEX(balance_sheet_quarter[Company Name], 1, 1)) + 1), ROW(11:11)), COLUMN(L:L)), "")</f>
        <v>117771976181</v>
      </c>
      <c r="N13" s="14">
        <f t="array" ref="N13">IFERROR(INDEX(balance_sheet_quarter[#All], SMALL(IF(LOWER(balance_sheet_quarter[Company Name]) = LOWER(balance_sheet_quarter_filter!$B$2), ROW(balance_sheet_quarter[Company Name]) - ROW(INDEX(balance_sheet_quarter[Company Name], 1, 1)) + 1), ROW(11:11)), COLUMN(M:M)), "")</f>
        <v>171287758217</v>
      </c>
      <c r="O13" s="14">
        <f t="array" ref="O13">IFERROR(INDEX(balance_sheet_quarter[#All], SMALL(IF(LOWER(balance_sheet_quarter[Company Name]) = LOWER(balance_sheet_quarter_filter!$B$2), ROW(balance_sheet_quarter[Company Name]) - ROW(INDEX(balance_sheet_quarter[Company Name], 1, 1)) + 1), ROW(11:11)), COLUMN(N:N)), "")</f>
        <v>169407272743</v>
      </c>
      <c r="P13" s="14">
        <f t="array" ref="P13">IFERROR(INDEX(balance_sheet_quarter[#All], SMALL(IF(LOWER(balance_sheet_quarter[Company Name]) = LOWER(balance_sheet_quarter_filter!$B$2), ROW(balance_sheet_quarter[Company Name]) - ROW(INDEX(balance_sheet_quarter[Company Name], 1, 1)) + 1), ROW(11:11)), COLUMN(O:O)), "")</f>
        <v>176825022061</v>
      </c>
    </row>
    <row r="14" spans="1:16" x14ac:dyDescent="0.35">
      <c r="C14" t="str">
        <f t="array" ref="C14">IFERROR(INDEX(balance_sheet_quarter[#All], SMALL(IF(LOWER(balance_sheet_quarter[Company Name]) = LOWER(balance_sheet_quarter_filter!$B$2), ROW(balance_sheet_quarter[Company Name]) - ROW(INDEX(balance_sheet_quarter[Company Name], 1, 1)) + 1), ROW(12:12)), COLUMN(B:B)), "")</f>
        <v>1. Phải thu ngắn hạn của khách hàng</v>
      </c>
      <c r="D14" s="14">
        <f t="array" ref="D14">IFERROR(INDEX(balance_sheet_quarter[#All], SMALL(IF(LOWER(balance_sheet_quarter[Company Name]) = LOWER(balance_sheet_quarter_filter!$B$2), ROW(balance_sheet_quarter[Company Name]) - ROW(INDEX(balance_sheet_quarter[Company Name], 1, 1)) + 1), ROW(12:12)), COLUMN(C:C)), "")</f>
        <v>64754083392</v>
      </c>
      <c r="E14" s="14">
        <f t="array" ref="E14">IFERROR(INDEX(balance_sheet_quarter[#All], SMALL(IF(LOWER(balance_sheet_quarter[Company Name]) = LOWER(balance_sheet_quarter_filter!$B$2), ROW(balance_sheet_quarter[Company Name]) - ROW(INDEX(balance_sheet_quarter[Company Name], 1, 1)) + 1), ROW(12:12)), COLUMN(D:D)), "")</f>
        <v>49063025057</v>
      </c>
      <c r="F14" s="14">
        <f t="array" ref="F14">IFERROR(INDEX(balance_sheet_quarter[#All], SMALL(IF(LOWER(balance_sheet_quarter[Company Name]) = LOWER(balance_sheet_quarter_filter!$B$2), ROW(balance_sheet_quarter[Company Name]) - ROW(INDEX(balance_sheet_quarter[Company Name], 1, 1)) + 1), ROW(12:12)), COLUMN(E:E)), "")</f>
        <v>53827208031</v>
      </c>
      <c r="G14" s="14">
        <f t="array" ref="G14">IFERROR(INDEX(balance_sheet_quarter[#All], SMALL(IF(LOWER(balance_sheet_quarter[Company Name]) = LOWER(balance_sheet_quarter_filter!$B$2), ROW(balance_sheet_quarter[Company Name]) - ROW(INDEX(balance_sheet_quarter[Company Name], 1, 1)) + 1), ROW(12:12)), COLUMN(F:F)), "")</f>
        <v>72991289972</v>
      </c>
      <c r="H14" s="14">
        <f t="array" ref="H14">IFERROR(INDEX(balance_sheet_quarter[#All], SMALL(IF(LOWER(balance_sheet_quarter[Company Name]) = LOWER(balance_sheet_quarter_filter!$B$2), ROW(balance_sheet_quarter[Company Name]) - ROW(INDEX(balance_sheet_quarter[Company Name], 1, 1)) + 1), ROW(12:12)), COLUMN(G:G)), "")</f>
        <v>54627520978</v>
      </c>
      <c r="I14" s="14">
        <f t="array" ref="I14">IFERROR(INDEX(balance_sheet_quarter[#All], SMALL(IF(LOWER(balance_sheet_quarter[Company Name]) = LOWER(balance_sheet_quarter_filter!$B$2), ROW(balance_sheet_quarter[Company Name]) - ROW(INDEX(balance_sheet_quarter[Company Name], 1, 1)) + 1), ROW(12:12)), COLUMN(H:H)), "")</f>
        <v>59874896470</v>
      </c>
      <c r="J14" s="14">
        <f t="array" ref="J14">IFERROR(INDEX(balance_sheet_quarter[#All], SMALL(IF(LOWER(balance_sheet_quarter[Company Name]) = LOWER(balance_sheet_quarter_filter!$B$2), ROW(balance_sheet_quarter[Company Name]) - ROW(INDEX(balance_sheet_quarter[Company Name], 1, 1)) + 1), ROW(12:12)), COLUMN(I:I)), "")</f>
        <v>101038446781</v>
      </c>
      <c r="K14" s="14">
        <f t="array" ref="K14">IFERROR(INDEX(balance_sheet_quarter[#All], SMALL(IF(LOWER(balance_sheet_quarter[Company Name]) = LOWER(balance_sheet_quarter_filter!$B$2), ROW(balance_sheet_quarter[Company Name]) - ROW(INDEX(balance_sheet_quarter[Company Name], 1, 1)) + 1), ROW(12:12)), COLUMN(J:J)), "")</f>
        <v>103608421767</v>
      </c>
      <c r="L14" s="14">
        <f t="array" ref="L14">IFERROR(INDEX(balance_sheet_quarter[#All], SMALL(IF(LOWER(balance_sheet_quarter[Company Name]) = LOWER(balance_sheet_quarter_filter!$B$2), ROW(balance_sheet_quarter[Company Name]) - ROW(INDEX(balance_sheet_quarter[Company Name], 1, 1)) + 1), ROW(12:12)), COLUMN(K:K)), "")</f>
        <v>79734736210</v>
      </c>
      <c r="M14" s="14">
        <f t="array" ref="M14">IFERROR(INDEX(balance_sheet_quarter[#All], SMALL(IF(LOWER(balance_sheet_quarter[Company Name]) = LOWER(balance_sheet_quarter_filter!$B$2), ROW(balance_sheet_quarter[Company Name]) - ROW(INDEX(balance_sheet_quarter[Company Name], 1, 1)) + 1), ROW(12:12)), COLUMN(L:L)), "")</f>
        <v>68242327282</v>
      </c>
      <c r="N14" s="14">
        <f t="array" ref="N14">IFERROR(INDEX(balance_sheet_quarter[#All], SMALL(IF(LOWER(balance_sheet_quarter[Company Name]) = LOWER(balance_sheet_quarter_filter!$B$2), ROW(balance_sheet_quarter[Company Name]) - ROW(INDEX(balance_sheet_quarter[Company Name], 1, 1)) + 1), ROW(12:12)), COLUMN(M:M)), "")</f>
        <v>61469991382</v>
      </c>
      <c r="O14" s="14">
        <f t="array" ref="O14">IFERROR(INDEX(balance_sheet_quarter[#All], SMALL(IF(LOWER(balance_sheet_quarter[Company Name]) = LOWER(balance_sheet_quarter_filter!$B$2), ROW(balance_sheet_quarter[Company Name]) - ROW(INDEX(balance_sheet_quarter[Company Name], 1, 1)) + 1), ROW(12:12)), COLUMN(N:N)), "")</f>
        <v>74595514349</v>
      </c>
      <c r="P14" s="14">
        <f t="array" ref="P14">IFERROR(INDEX(balance_sheet_quarter[#All], SMALL(IF(LOWER(balance_sheet_quarter[Company Name]) = LOWER(balance_sheet_quarter_filter!$B$2), ROW(balance_sheet_quarter[Company Name]) - ROW(INDEX(balance_sheet_quarter[Company Name], 1, 1)) + 1), ROW(12:12)), COLUMN(O:O)), "")</f>
        <v>68078165667</v>
      </c>
    </row>
    <row r="15" spans="1:16" x14ac:dyDescent="0.35">
      <c r="C15" t="str">
        <f t="array" ref="C15">IFERROR(INDEX(balance_sheet_quarter[#All], SMALL(IF(LOWER(balance_sheet_quarter[Company Name]) = LOWER(balance_sheet_quarter_filter!$B$2), ROW(balance_sheet_quarter[Company Name]) - ROW(INDEX(balance_sheet_quarter[Company Name], 1, 1)) + 1), ROW(13:13)), COLUMN(B:B)), "")</f>
        <v>2. Trả trước cho người bán ngắn hạn</v>
      </c>
      <c r="D15" s="14">
        <f t="array" ref="D15">IFERROR(INDEX(balance_sheet_quarter[#All], SMALL(IF(LOWER(balance_sheet_quarter[Company Name]) = LOWER(balance_sheet_quarter_filter!$B$2), ROW(balance_sheet_quarter[Company Name]) - ROW(INDEX(balance_sheet_quarter[Company Name], 1, 1)) + 1), ROW(13:13)), COLUMN(C:C)), "")</f>
        <v>125564700552</v>
      </c>
      <c r="E15" s="14">
        <f t="array" ref="E15">IFERROR(INDEX(balance_sheet_quarter[#All], SMALL(IF(LOWER(balance_sheet_quarter[Company Name]) = LOWER(balance_sheet_quarter_filter!$B$2), ROW(balance_sheet_quarter[Company Name]) - ROW(INDEX(balance_sheet_quarter[Company Name], 1, 1)) + 1), ROW(13:13)), COLUMN(D:D)), "")</f>
        <v>45103022073</v>
      </c>
      <c r="F15" s="14">
        <f t="array" ref="F15">IFERROR(INDEX(balance_sheet_quarter[#All], SMALL(IF(LOWER(balance_sheet_quarter[Company Name]) = LOWER(balance_sheet_quarter_filter!$B$2), ROW(balance_sheet_quarter[Company Name]) - ROW(INDEX(balance_sheet_quarter[Company Name], 1, 1)) + 1), ROW(13:13)), COLUMN(E:E)), "")</f>
        <v>37098745517</v>
      </c>
      <c r="G15" s="14">
        <f t="array" ref="G15">IFERROR(INDEX(balance_sheet_quarter[#All], SMALL(IF(LOWER(balance_sheet_quarter[Company Name]) = LOWER(balance_sheet_quarter_filter!$B$2), ROW(balance_sheet_quarter[Company Name]) - ROW(INDEX(balance_sheet_quarter[Company Name], 1, 1)) + 1), ROW(13:13)), COLUMN(F:F)), "")</f>
        <v>34169885885</v>
      </c>
      <c r="H15" s="14">
        <f t="array" ref="H15">IFERROR(INDEX(balance_sheet_quarter[#All], SMALL(IF(LOWER(balance_sheet_quarter[Company Name]) = LOWER(balance_sheet_quarter_filter!$B$2), ROW(balance_sheet_quarter[Company Name]) - ROW(INDEX(balance_sheet_quarter[Company Name], 1, 1)) + 1), ROW(13:13)), COLUMN(G:G)), "")</f>
        <v>45227288939</v>
      </c>
      <c r="I15" s="14">
        <f t="array" ref="I15">IFERROR(INDEX(balance_sheet_quarter[#All], SMALL(IF(LOWER(balance_sheet_quarter[Company Name]) = LOWER(balance_sheet_quarter_filter!$B$2), ROW(balance_sheet_quarter[Company Name]) - ROW(INDEX(balance_sheet_quarter[Company Name], 1, 1)) + 1), ROW(13:13)), COLUMN(H:H)), "")</f>
        <v>55369825342</v>
      </c>
      <c r="J15" s="14">
        <f t="array" ref="J15">IFERROR(INDEX(balance_sheet_quarter[#All], SMALL(IF(LOWER(balance_sheet_quarter[Company Name]) = LOWER(balance_sheet_quarter_filter!$B$2), ROW(balance_sheet_quarter[Company Name]) - ROW(INDEX(balance_sheet_quarter[Company Name], 1, 1)) + 1), ROW(13:13)), COLUMN(I:I)), "")</f>
        <v>47166700462</v>
      </c>
      <c r="K15" s="14">
        <f t="array" ref="K15">IFERROR(INDEX(balance_sheet_quarter[#All], SMALL(IF(LOWER(balance_sheet_quarter[Company Name]) = LOWER(balance_sheet_quarter_filter!$B$2), ROW(balance_sheet_quarter[Company Name]) - ROW(INDEX(balance_sheet_quarter[Company Name], 1, 1)) + 1), ROW(13:13)), COLUMN(J:J)), "")</f>
        <v>46313495457</v>
      </c>
      <c r="L15" s="14">
        <f t="array" ref="L15">IFERROR(INDEX(balance_sheet_quarter[#All], SMALL(IF(LOWER(balance_sheet_quarter[Company Name]) = LOWER(balance_sheet_quarter_filter!$B$2), ROW(balance_sheet_quarter[Company Name]) - ROW(INDEX(balance_sheet_quarter[Company Name], 1, 1)) + 1), ROW(13:13)), COLUMN(K:K)), "")</f>
        <v>45714981408</v>
      </c>
      <c r="M15" s="14">
        <f t="array" ref="M15">IFERROR(INDEX(balance_sheet_quarter[#All], SMALL(IF(LOWER(balance_sheet_quarter[Company Name]) = LOWER(balance_sheet_quarter_filter!$B$2), ROW(balance_sheet_quarter[Company Name]) - ROW(INDEX(balance_sheet_quarter[Company Name], 1, 1)) + 1), ROW(13:13)), COLUMN(L:L)), "")</f>
        <v>45577291611</v>
      </c>
      <c r="N15" s="14">
        <f t="array" ref="N15">IFERROR(INDEX(balance_sheet_quarter[#All], SMALL(IF(LOWER(balance_sheet_quarter[Company Name]) = LOWER(balance_sheet_quarter_filter!$B$2), ROW(balance_sheet_quarter[Company Name]) - ROW(INDEX(balance_sheet_quarter[Company Name], 1, 1)) + 1), ROW(13:13)), COLUMN(M:M)), "")</f>
        <v>46267229050</v>
      </c>
      <c r="O15" s="14">
        <f t="array" ref="O15">IFERROR(INDEX(balance_sheet_quarter[#All], SMALL(IF(LOWER(balance_sheet_quarter[Company Name]) = LOWER(balance_sheet_quarter_filter!$B$2), ROW(balance_sheet_quarter[Company Name]) - ROW(INDEX(balance_sheet_quarter[Company Name], 1, 1)) + 1), ROW(13:13)), COLUMN(N:N)), "")</f>
        <v>32127960000</v>
      </c>
      <c r="P15" s="14">
        <f t="array" ref="P15">IFERROR(INDEX(balance_sheet_quarter[#All], SMALL(IF(LOWER(balance_sheet_quarter[Company Name]) = LOWER(balance_sheet_quarter_filter!$B$2), ROW(balance_sheet_quarter[Company Name]) - ROW(INDEX(balance_sheet_quarter[Company Name], 1, 1)) + 1), ROW(13:13)), COLUMN(O:O)), "")</f>
        <v>6395558000</v>
      </c>
    </row>
    <row r="16" spans="1:16" x14ac:dyDescent="0.35">
      <c r="C16" t="str">
        <f t="array" ref="C16">IFERROR(INDEX(balance_sheet_quarter[#All], SMALL(IF(LOWER(balance_sheet_quarter[Company Name]) = LOWER(balance_sheet_quarter_filter!$B$2), ROW(balance_sheet_quarter[Company Name]) - ROW(INDEX(balance_sheet_quarter[Company Name], 1, 1)) + 1), ROW(14:14)), COLUMN(B:B)), "")</f>
        <v>3. Phải thu nội bộ ngắn hạn</v>
      </c>
      <c r="D16" s="14">
        <f t="array" ref="D16">IFERROR(INDEX(balance_sheet_quarter[#All], SMALL(IF(LOWER(balance_sheet_quarter[Company Name]) = LOWER(balance_sheet_quarter_filter!$B$2), ROW(balance_sheet_quarter[Company Name]) - ROW(INDEX(balance_sheet_quarter[Company Name], 1, 1)) + 1), ROW(14:14)), COLUMN(C:C)), "")</f>
        <v>0</v>
      </c>
      <c r="E16" s="14">
        <f t="array" ref="E16">IFERROR(INDEX(balance_sheet_quarter[#All], SMALL(IF(LOWER(balance_sheet_quarter[Company Name]) = LOWER(balance_sheet_quarter_filter!$B$2), ROW(balance_sheet_quarter[Company Name]) - ROW(INDEX(balance_sheet_quarter[Company Name], 1, 1)) + 1), ROW(14:14)), COLUMN(D:D)), "")</f>
        <v>0</v>
      </c>
      <c r="F16" s="14">
        <f t="array" ref="F16">IFERROR(INDEX(balance_sheet_quarter[#All], SMALL(IF(LOWER(balance_sheet_quarter[Company Name]) = LOWER(balance_sheet_quarter_filter!$B$2), ROW(balance_sheet_quarter[Company Name]) - ROW(INDEX(balance_sheet_quarter[Company Name], 1, 1)) + 1), ROW(14:14)), COLUMN(E:E)), "")</f>
        <v>0</v>
      </c>
      <c r="G16" s="14">
        <f t="array" ref="G16">IFERROR(INDEX(balance_sheet_quarter[#All], SMALL(IF(LOWER(balance_sheet_quarter[Company Name]) = LOWER(balance_sheet_quarter_filter!$B$2), ROW(balance_sheet_quarter[Company Name]) - ROW(INDEX(balance_sheet_quarter[Company Name], 1, 1)) + 1), ROW(14:14)), COLUMN(F:F)), "")</f>
        <v>0</v>
      </c>
      <c r="H16" s="14">
        <f t="array" ref="H16">IFERROR(INDEX(balance_sheet_quarter[#All], SMALL(IF(LOWER(balance_sheet_quarter[Company Name]) = LOWER(balance_sheet_quarter_filter!$B$2), ROW(balance_sheet_quarter[Company Name]) - ROW(INDEX(balance_sheet_quarter[Company Name], 1, 1)) + 1), ROW(14:14)), COLUMN(G:G)), "")</f>
        <v>0</v>
      </c>
      <c r="I16" s="14">
        <f t="array" ref="I16">IFERROR(INDEX(balance_sheet_quarter[#All], SMALL(IF(LOWER(balance_sheet_quarter[Company Name]) = LOWER(balance_sheet_quarter_filter!$B$2), ROW(balance_sheet_quarter[Company Name]) - ROW(INDEX(balance_sheet_quarter[Company Name], 1, 1)) + 1), ROW(14:14)), COLUMN(H:H)), "")</f>
        <v>0</v>
      </c>
      <c r="J16" s="14">
        <f t="array" ref="J16">IFERROR(INDEX(balance_sheet_quarter[#All], SMALL(IF(LOWER(balance_sheet_quarter[Company Name]) = LOWER(balance_sheet_quarter_filter!$B$2), ROW(balance_sheet_quarter[Company Name]) - ROW(INDEX(balance_sheet_quarter[Company Name], 1, 1)) + 1), ROW(14:14)), COLUMN(I:I)), "")</f>
        <v>0</v>
      </c>
      <c r="K16" s="14">
        <f t="array" ref="K16">IFERROR(INDEX(balance_sheet_quarter[#All], SMALL(IF(LOWER(balance_sheet_quarter[Company Name]) = LOWER(balance_sheet_quarter_filter!$B$2), ROW(balance_sheet_quarter[Company Name]) - ROW(INDEX(balance_sheet_quarter[Company Name], 1, 1)) + 1), ROW(14:14)), COLUMN(J:J)), "")</f>
        <v>0</v>
      </c>
      <c r="L16" s="14">
        <f t="array" ref="L16">IFERROR(INDEX(balance_sheet_quarter[#All], SMALL(IF(LOWER(balance_sheet_quarter[Company Name]) = LOWER(balance_sheet_quarter_filter!$B$2), ROW(balance_sheet_quarter[Company Name]) - ROW(INDEX(balance_sheet_quarter[Company Name], 1, 1)) + 1), ROW(14:14)), COLUMN(K:K)), "")</f>
        <v>0</v>
      </c>
      <c r="M16" s="14">
        <f t="array" ref="M16">IFERROR(INDEX(balance_sheet_quarter[#All], SMALL(IF(LOWER(balance_sheet_quarter[Company Name]) = LOWER(balance_sheet_quarter_filter!$B$2), ROW(balance_sheet_quarter[Company Name]) - ROW(INDEX(balance_sheet_quarter[Company Name], 1, 1)) + 1), ROW(14:14)), COLUMN(L:L)), "")</f>
        <v>0</v>
      </c>
      <c r="N16" s="14">
        <f t="array" ref="N16">IFERROR(INDEX(balance_sheet_quarter[#All], SMALL(IF(LOWER(balance_sheet_quarter[Company Name]) = LOWER(balance_sheet_quarter_filter!$B$2), ROW(balance_sheet_quarter[Company Name]) - ROW(INDEX(balance_sheet_quarter[Company Name], 1, 1)) + 1), ROW(14:14)), COLUMN(M:M)), "")</f>
        <v>0</v>
      </c>
      <c r="O16" s="14">
        <f t="array" ref="O16">IFERROR(INDEX(balance_sheet_quarter[#All], SMALL(IF(LOWER(balance_sheet_quarter[Company Name]) = LOWER(balance_sheet_quarter_filter!$B$2), ROW(balance_sheet_quarter[Company Name]) - ROW(INDEX(balance_sheet_quarter[Company Name], 1, 1)) + 1), ROW(14:14)), COLUMN(N:N)), "")</f>
        <v>0</v>
      </c>
      <c r="P16" s="14">
        <f t="array" ref="P16">IFERROR(INDEX(balance_sheet_quarter[#All], SMALL(IF(LOWER(balance_sheet_quarter[Company Name]) = LOWER(balance_sheet_quarter_filter!$B$2), ROW(balance_sheet_quarter[Company Name]) - ROW(INDEX(balance_sheet_quarter[Company Name], 1, 1)) + 1), ROW(14:14)), COLUMN(O:O)), "")</f>
        <v>0</v>
      </c>
    </row>
    <row r="17" spans="3:16" x14ac:dyDescent="0.35">
      <c r="C17" t="str">
        <f t="array" ref="C17">IFERROR(INDEX(balance_sheet_quarter[#All], SMALL(IF(LOWER(balance_sheet_quarter[Company Name]) = LOWER(balance_sheet_quarter_filter!$B$2), ROW(balance_sheet_quarter[Company Name]) - ROW(INDEX(balance_sheet_quarter[Company Name], 1, 1)) + 1), ROW(15:15)), COLUMN(B:B)), "")</f>
        <v>4. Phải thu theo tiến độ kế hoạch hợp đồng xây dựng</v>
      </c>
      <c r="D17" s="14">
        <f t="array" ref="D17">IFERROR(INDEX(balance_sheet_quarter[#All], SMALL(IF(LOWER(balance_sheet_quarter[Company Name]) = LOWER(balance_sheet_quarter_filter!$B$2), ROW(balance_sheet_quarter[Company Name]) - ROW(INDEX(balance_sheet_quarter[Company Name], 1, 1)) + 1), ROW(15:15)), COLUMN(C:C)), "")</f>
        <v>0</v>
      </c>
      <c r="E17" s="14">
        <f t="array" ref="E17">IFERROR(INDEX(balance_sheet_quarter[#All], SMALL(IF(LOWER(balance_sheet_quarter[Company Name]) = LOWER(balance_sheet_quarter_filter!$B$2), ROW(balance_sheet_quarter[Company Name]) - ROW(INDEX(balance_sheet_quarter[Company Name], 1, 1)) + 1), ROW(15:15)), COLUMN(D:D)), "")</f>
        <v>0</v>
      </c>
      <c r="F17" s="14">
        <f t="array" ref="F17">IFERROR(INDEX(balance_sheet_quarter[#All], SMALL(IF(LOWER(balance_sheet_quarter[Company Name]) = LOWER(balance_sheet_quarter_filter!$B$2), ROW(balance_sheet_quarter[Company Name]) - ROW(INDEX(balance_sheet_quarter[Company Name], 1, 1)) + 1), ROW(15:15)), COLUMN(E:E)), "")</f>
        <v>0</v>
      </c>
      <c r="G17" s="14">
        <f t="array" ref="G17">IFERROR(INDEX(balance_sheet_quarter[#All], SMALL(IF(LOWER(balance_sheet_quarter[Company Name]) = LOWER(balance_sheet_quarter_filter!$B$2), ROW(balance_sheet_quarter[Company Name]) - ROW(INDEX(balance_sheet_quarter[Company Name], 1, 1)) + 1), ROW(15:15)), COLUMN(F:F)), "")</f>
        <v>0</v>
      </c>
      <c r="H17" s="14">
        <f t="array" ref="H17">IFERROR(INDEX(balance_sheet_quarter[#All], SMALL(IF(LOWER(balance_sheet_quarter[Company Name]) = LOWER(balance_sheet_quarter_filter!$B$2), ROW(balance_sheet_quarter[Company Name]) - ROW(INDEX(balance_sheet_quarter[Company Name], 1, 1)) + 1), ROW(15:15)), COLUMN(G:G)), "")</f>
        <v>0</v>
      </c>
      <c r="I17" s="14">
        <f t="array" ref="I17">IFERROR(INDEX(balance_sheet_quarter[#All], SMALL(IF(LOWER(balance_sheet_quarter[Company Name]) = LOWER(balance_sheet_quarter_filter!$B$2), ROW(balance_sheet_quarter[Company Name]) - ROW(INDEX(balance_sheet_quarter[Company Name], 1, 1)) + 1), ROW(15:15)), COLUMN(H:H)), "")</f>
        <v>0</v>
      </c>
      <c r="J17" s="14">
        <f t="array" ref="J17">IFERROR(INDEX(balance_sheet_quarter[#All], SMALL(IF(LOWER(balance_sheet_quarter[Company Name]) = LOWER(balance_sheet_quarter_filter!$B$2), ROW(balance_sheet_quarter[Company Name]) - ROW(INDEX(balance_sheet_quarter[Company Name], 1, 1)) + 1), ROW(15:15)), COLUMN(I:I)), "")</f>
        <v>0</v>
      </c>
      <c r="K17" s="14">
        <f t="array" ref="K17">IFERROR(INDEX(balance_sheet_quarter[#All], SMALL(IF(LOWER(balance_sheet_quarter[Company Name]) = LOWER(balance_sheet_quarter_filter!$B$2), ROW(balance_sheet_quarter[Company Name]) - ROW(INDEX(balance_sheet_quarter[Company Name], 1, 1)) + 1), ROW(15:15)), COLUMN(J:J)), "")</f>
        <v>0</v>
      </c>
      <c r="L17" s="14">
        <f t="array" ref="L17">IFERROR(INDEX(balance_sheet_quarter[#All], SMALL(IF(LOWER(balance_sheet_quarter[Company Name]) = LOWER(balance_sheet_quarter_filter!$B$2), ROW(balance_sheet_quarter[Company Name]) - ROW(INDEX(balance_sheet_quarter[Company Name], 1, 1)) + 1), ROW(15:15)), COLUMN(K:K)), "")</f>
        <v>0</v>
      </c>
      <c r="M17" s="14">
        <f t="array" ref="M17">IFERROR(INDEX(balance_sheet_quarter[#All], SMALL(IF(LOWER(balance_sheet_quarter[Company Name]) = LOWER(balance_sheet_quarter_filter!$B$2), ROW(balance_sheet_quarter[Company Name]) - ROW(INDEX(balance_sheet_quarter[Company Name], 1, 1)) + 1), ROW(15:15)), COLUMN(L:L)), "")</f>
        <v>0</v>
      </c>
      <c r="N17" s="14">
        <f t="array" ref="N17">IFERROR(INDEX(balance_sheet_quarter[#All], SMALL(IF(LOWER(balance_sheet_quarter[Company Name]) = LOWER(balance_sheet_quarter_filter!$B$2), ROW(balance_sheet_quarter[Company Name]) - ROW(INDEX(balance_sheet_quarter[Company Name], 1, 1)) + 1), ROW(15:15)), COLUMN(M:M)), "")</f>
        <v>0</v>
      </c>
      <c r="O17" s="14">
        <f t="array" ref="O17">IFERROR(INDEX(balance_sheet_quarter[#All], SMALL(IF(LOWER(balance_sheet_quarter[Company Name]) = LOWER(balance_sheet_quarter_filter!$B$2), ROW(balance_sheet_quarter[Company Name]) - ROW(INDEX(balance_sheet_quarter[Company Name], 1, 1)) + 1), ROW(15:15)), COLUMN(N:N)), "")</f>
        <v>0</v>
      </c>
      <c r="P17" s="14">
        <f t="array" ref="P17">IFERROR(INDEX(balance_sheet_quarter[#All], SMALL(IF(LOWER(balance_sheet_quarter[Company Name]) = LOWER(balance_sheet_quarter_filter!$B$2), ROW(balance_sheet_quarter[Company Name]) - ROW(INDEX(balance_sheet_quarter[Company Name], 1, 1)) + 1), ROW(15:15)), COLUMN(O:O)), "")</f>
        <v>0</v>
      </c>
    </row>
    <row r="18" spans="3:16" x14ac:dyDescent="0.35">
      <c r="C18" t="str">
        <f t="array" ref="C18">IFERROR(INDEX(balance_sheet_quarter[#All], SMALL(IF(LOWER(balance_sheet_quarter[Company Name]) = LOWER(balance_sheet_quarter_filter!$B$2), ROW(balance_sheet_quarter[Company Name]) - ROW(INDEX(balance_sheet_quarter[Company Name], 1, 1)) + 1), ROW(16:16)), COLUMN(B:B)), "")</f>
        <v>5. Phải thu về cho vay ngắn hạn</v>
      </c>
      <c r="D18" s="14">
        <f t="array" ref="D18">IFERROR(INDEX(balance_sheet_quarter[#All], SMALL(IF(LOWER(balance_sheet_quarter[Company Name]) = LOWER(balance_sheet_quarter_filter!$B$2), ROW(balance_sheet_quarter[Company Name]) - ROW(INDEX(balance_sheet_quarter[Company Name], 1, 1)) + 1), ROW(16:16)), COLUMN(C:C)), "")</f>
        <v>0</v>
      </c>
      <c r="E18" s="14">
        <f t="array" ref="E18">IFERROR(INDEX(balance_sheet_quarter[#All], SMALL(IF(LOWER(balance_sheet_quarter[Company Name]) = LOWER(balance_sheet_quarter_filter!$B$2), ROW(balance_sheet_quarter[Company Name]) - ROW(INDEX(balance_sheet_quarter[Company Name], 1, 1)) + 1), ROW(16:16)), COLUMN(D:D)), "")</f>
        <v>0</v>
      </c>
      <c r="F18" s="14">
        <f t="array" ref="F18">IFERROR(INDEX(balance_sheet_quarter[#All], SMALL(IF(LOWER(balance_sheet_quarter[Company Name]) = LOWER(balance_sheet_quarter_filter!$B$2), ROW(balance_sheet_quarter[Company Name]) - ROW(INDEX(balance_sheet_quarter[Company Name], 1, 1)) + 1), ROW(16:16)), COLUMN(E:E)), "")</f>
        <v>0</v>
      </c>
      <c r="G18" s="14">
        <f t="array" ref="G18">IFERROR(INDEX(balance_sheet_quarter[#All], SMALL(IF(LOWER(balance_sheet_quarter[Company Name]) = LOWER(balance_sheet_quarter_filter!$B$2), ROW(balance_sheet_quarter[Company Name]) - ROW(INDEX(balance_sheet_quarter[Company Name], 1, 1)) + 1), ROW(16:16)), COLUMN(F:F)), "")</f>
        <v>0</v>
      </c>
      <c r="H18" s="14">
        <f t="array" ref="H18">IFERROR(INDEX(balance_sheet_quarter[#All], SMALL(IF(LOWER(balance_sheet_quarter[Company Name]) = LOWER(balance_sheet_quarter_filter!$B$2), ROW(balance_sheet_quarter[Company Name]) - ROW(INDEX(balance_sheet_quarter[Company Name], 1, 1)) + 1), ROW(16:16)), COLUMN(G:G)), "")</f>
        <v>0</v>
      </c>
      <c r="I18" s="14">
        <f t="array" ref="I18">IFERROR(INDEX(balance_sheet_quarter[#All], SMALL(IF(LOWER(balance_sheet_quarter[Company Name]) = LOWER(balance_sheet_quarter_filter!$B$2), ROW(balance_sheet_quarter[Company Name]) - ROW(INDEX(balance_sheet_quarter[Company Name], 1, 1)) + 1), ROW(16:16)), COLUMN(H:H)), "")</f>
        <v>0</v>
      </c>
      <c r="J18" s="14">
        <f t="array" ref="J18">IFERROR(INDEX(balance_sheet_quarter[#All], SMALL(IF(LOWER(balance_sheet_quarter[Company Name]) = LOWER(balance_sheet_quarter_filter!$B$2), ROW(balance_sheet_quarter[Company Name]) - ROW(INDEX(balance_sheet_quarter[Company Name], 1, 1)) + 1), ROW(16:16)), COLUMN(I:I)), "")</f>
        <v>0</v>
      </c>
      <c r="K18" s="14">
        <f t="array" ref="K18">IFERROR(INDEX(balance_sheet_quarter[#All], SMALL(IF(LOWER(balance_sheet_quarter[Company Name]) = LOWER(balance_sheet_quarter_filter!$B$2), ROW(balance_sheet_quarter[Company Name]) - ROW(INDEX(balance_sheet_quarter[Company Name], 1, 1)) + 1), ROW(16:16)), COLUMN(J:J)), "")</f>
        <v>0</v>
      </c>
      <c r="L18" s="14">
        <f t="array" ref="L18">IFERROR(INDEX(balance_sheet_quarter[#All], SMALL(IF(LOWER(balance_sheet_quarter[Company Name]) = LOWER(balance_sheet_quarter_filter!$B$2), ROW(balance_sheet_quarter[Company Name]) - ROW(INDEX(balance_sheet_quarter[Company Name], 1, 1)) + 1), ROW(16:16)), COLUMN(K:K)), "")</f>
        <v>0</v>
      </c>
      <c r="M18" s="14">
        <f t="array" ref="M18">IFERROR(INDEX(balance_sheet_quarter[#All], SMALL(IF(LOWER(balance_sheet_quarter[Company Name]) = LOWER(balance_sheet_quarter_filter!$B$2), ROW(balance_sheet_quarter[Company Name]) - ROW(INDEX(balance_sheet_quarter[Company Name], 1, 1)) + 1), ROW(16:16)), COLUMN(L:L)), "")</f>
        <v>0</v>
      </c>
      <c r="N18" s="14">
        <f t="array" ref="N18">IFERROR(INDEX(balance_sheet_quarter[#All], SMALL(IF(LOWER(balance_sheet_quarter[Company Name]) = LOWER(balance_sheet_quarter_filter!$B$2), ROW(balance_sheet_quarter[Company Name]) - ROW(INDEX(balance_sheet_quarter[Company Name], 1, 1)) + 1), ROW(16:16)), COLUMN(M:M)), "")</f>
        <v>0</v>
      </c>
      <c r="O18" s="14">
        <f t="array" ref="O18">IFERROR(INDEX(balance_sheet_quarter[#All], SMALL(IF(LOWER(balance_sheet_quarter[Company Name]) = LOWER(balance_sheet_quarter_filter!$B$2), ROW(balance_sheet_quarter[Company Name]) - ROW(INDEX(balance_sheet_quarter[Company Name], 1, 1)) + 1), ROW(16:16)), COLUMN(N:N)), "")</f>
        <v>0</v>
      </c>
      <c r="P18" s="14">
        <f t="array" ref="P18">IFERROR(INDEX(balance_sheet_quarter[#All], SMALL(IF(LOWER(balance_sheet_quarter[Company Name]) = LOWER(balance_sheet_quarter_filter!$B$2), ROW(balance_sheet_quarter[Company Name]) - ROW(INDEX(balance_sheet_quarter[Company Name], 1, 1)) + 1), ROW(16:16)), COLUMN(O:O)), "")</f>
        <v>0</v>
      </c>
    </row>
    <row r="19" spans="3:16" x14ac:dyDescent="0.35">
      <c r="C19" t="str">
        <f t="array" ref="C19">IFERROR(INDEX(balance_sheet_quarter[#All], SMALL(IF(LOWER(balance_sheet_quarter[Company Name]) = LOWER(balance_sheet_quarter_filter!$B$2), ROW(balance_sheet_quarter[Company Name]) - ROW(INDEX(balance_sheet_quarter[Company Name], 1, 1)) + 1), ROW(17:17)), COLUMN(B:B)), "")</f>
        <v>6. Phải thu ngắn hạn khác</v>
      </c>
      <c r="D19" s="14">
        <f t="array" ref="D19">IFERROR(INDEX(balance_sheet_quarter[#All], SMALL(IF(LOWER(balance_sheet_quarter[Company Name]) = LOWER(balance_sheet_quarter_filter!$B$2), ROW(balance_sheet_quarter[Company Name]) - ROW(INDEX(balance_sheet_quarter[Company Name], 1, 1)) + 1), ROW(17:17)), COLUMN(C:C)), "")</f>
        <v>28933373618</v>
      </c>
      <c r="E19" s="14">
        <f t="array" ref="E19">IFERROR(INDEX(balance_sheet_quarter[#All], SMALL(IF(LOWER(balance_sheet_quarter[Company Name]) = LOWER(balance_sheet_quarter_filter!$B$2), ROW(balance_sheet_quarter[Company Name]) - ROW(INDEX(balance_sheet_quarter[Company Name], 1, 1)) + 1), ROW(17:17)), COLUMN(D:D)), "")</f>
        <v>1540790754</v>
      </c>
      <c r="F19" s="14">
        <f t="array" ref="F19">IFERROR(INDEX(balance_sheet_quarter[#All], SMALL(IF(LOWER(balance_sheet_quarter[Company Name]) = LOWER(balance_sheet_quarter_filter!$B$2), ROW(balance_sheet_quarter[Company Name]) - ROW(INDEX(balance_sheet_quarter[Company Name], 1, 1)) + 1), ROW(17:17)), COLUMN(E:E)), "")</f>
        <v>102686842</v>
      </c>
      <c r="G19" s="14">
        <f t="array" ref="G19">IFERROR(INDEX(balance_sheet_quarter[#All], SMALL(IF(LOWER(balance_sheet_quarter[Company Name]) = LOWER(balance_sheet_quarter_filter!$B$2), ROW(balance_sheet_quarter[Company Name]) - ROW(INDEX(balance_sheet_quarter[Company Name], 1, 1)) + 1), ROW(17:17)), COLUMN(F:F)), "")</f>
        <v>23206998221</v>
      </c>
      <c r="H19" s="14">
        <f t="array" ref="H19">IFERROR(INDEX(balance_sheet_quarter[#All], SMALL(IF(LOWER(balance_sheet_quarter[Company Name]) = LOWER(balance_sheet_quarter_filter!$B$2), ROW(balance_sheet_quarter[Company Name]) - ROW(INDEX(balance_sheet_quarter[Company Name], 1, 1)) + 1), ROW(17:17)), COLUMN(G:G)), "")</f>
        <v>26461619879</v>
      </c>
      <c r="I19" s="14">
        <f t="array" ref="I19">IFERROR(INDEX(balance_sheet_quarter[#All], SMALL(IF(LOWER(balance_sheet_quarter[Company Name]) = LOWER(balance_sheet_quarter_filter!$B$2), ROW(balance_sheet_quarter[Company Name]) - ROW(INDEX(balance_sheet_quarter[Company Name], 1, 1)) + 1), ROW(17:17)), COLUMN(H:H)), "")</f>
        <v>3808258013</v>
      </c>
      <c r="J19" s="14">
        <f t="array" ref="J19">IFERROR(INDEX(balance_sheet_quarter[#All], SMALL(IF(LOWER(balance_sheet_quarter[Company Name]) = LOWER(balance_sheet_quarter_filter!$B$2), ROW(balance_sheet_quarter[Company Name]) - ROW(INDEX(balance_sheet_quarter[Company Name], 1, 1)) + 1), ROW(17:17)), COLUMN(I:I)), "")</f>
        <v>32555845882</v>
      </c>
      <c r="K19" s="14">
        <f t="array" ref="K19">IFERROR(INDEX(balance_sheet_quarter[#All], SMALL(IF(LOWER(balance_sheet_quarter[Company Name]) = LOWER(balance_sheet_quarter_filter!$B$2), ROW(balance_sheet_quarter[Company Name]) - ROW(INDEX(balance_sheet_quarter[Company Name], 1, 1)) + 1), ROW(17:17)), COLUMN(J:J)), "")</f>
        <v>9611357288</v>
      </c>
      <c r="L19" s="14">
        <f t="array" ref="L19">IFERROR(INDEX(balance_sheet_quarter[#All], SMALL(IF(LOWER(balance_sheet_quarter[Company Name]) = LOWER(balance_sheet_quarter_filter!$B$2), ROW(balance_sheet_quarter[Company Name]) - ROW(INDEX(balance_sheet_quarter[Company Name], 1, 1)) + 1), ROW(17:17)), COLUMN(K:K)), "")</f>
        <v>25261357288</v>
      </c>
      <c r="M19" s="14">
        <f t="array" ref="M19">IFERROR(INDEX(balance_sheet_quarter[#All], SMALL(IF(LOWER(balance_sheet_quarter[Company Name]) = LOWER(balance_sheet_quarter_filter!$B$2), ROW(balance_sheet_quarter[Company Name]) - ROW(INDEX(balance_sheet_quarter[Company Name], 1, 1)) + 1), ROW(17:17)), COLUMN(L:L)), "")</f>
        <v>3952357288</v>
      </c>
      <c r="N19" s="14">
        <f t="array" ref="N19">IFERROR(INDEX(balance_sheet_quarter[#All], SMALL(IF(LOWER(balance_sheet_quarter[Company Name]) = LOWER(balance_sheet_quarter_filter!$B$2), ROW(balance_sheet_quarter[Company Name]) - ROW(INDEX(balance_sheet_quarter[Company Name], 1, 1)) + 1), ROW(17:17)), COLUMN(M:M)), "")</f>
        <v>63550537785</v>
      </c>
      <c r="O19" s="14">
        <f t="array" ref="O19">IFERROR(INDEX(balance_sheet_quarter[#All], SMALL(IF(LOWER(balance_sheet_quarter[Company Name]) = LOWER(balance_sheet_quarter_filter!$B$2), ROW(balance_sheet_quarter[Company Name]) - ROW(INDEX(balance_sheet_quarter[Company Name], 1, 1)) + 1), ROW(17:17)), COLUMN(N:N)), "")</f>
        <v>62683798394</v>
      </c>
      <c r="P19" s="14">
        <f t="array" ref="P19">IFERROR(INDEX(balance_sheet_quarter[#All], SMALL(IF(LOWER(balance_sheet_quarter[Company Name]) = LOWER(balance_sheet_quarter_filter!$B$2), ROW(balance_sheet_quarter[Company Name]) - ROW(INDEX(balance_sheet_quarter[Company Name], 1, 1)) + 1), ROW(17:17)), COLUMN(O:O)), "")</f>
        <v>102351298394</v>
      </c>
    </row>
    <row r="20" spans="3:16" x14ac:dyDescent="0.35">
      <c r="C20" t="str">
        <f t="array" ref="C20">IFERROR(INDEX(balance_sheet_quarter[#All], SMALL(IF(LOWER(balance_sheet_quarter[Company Name]) = LOWER(balance_sheet_quarter_filter!$B$2), ROW(balance_sheet_quarter[Company Name]) - ROW(INDEX(balance_sheet_quarter[Company Name], 1, 1)) + 1), ROW(18:18)), COLUMN(B:B)), "")</f>
        <v>7. Dự phòng phải thu ngắn hạn khó đòi</v>
      </c>
      <c r="D20" s="14">
        <f t="array" ref="D20">IFERROR(INDEX(balance_sheet_quarter[#All], SMALL(IF(LOWER(balance_sheet_quarter[Company Name]) = LOWER(balance_sheet_quarter_filter!$B$2), ROW(balance_sheet_quarter[Company Name]) - ROW(INDEX(balance_sheet_quarter[Company Name], 1, 1)) + 1), ROW(18:18)), COLUMN(C:C)), "")</f>
        <v>0</v>
      </c>
      <c r="E20" s="14">
        <f t="array" ref="E20">IFERROR(INDEX(balance_sheet_quarter[#All], SMALL(IF(LOWER(balance_sheet_quarter[Company Name]) = LOWER(balance_sheet_quarter_filter!$B$2), ROW(balance_sheet_quarter[Company Name]) - ROW(INDEX(balance_sheet_quarter[Company Name], 1, 1)) + 1), ROW(18:18)), COLUMN(D:D)), "")</f>
        <v>0</v>
      </c>
      <c r="F20" s="14">
        <f t="array" ref="F20">IFERROR(INDEX(balance_sheet_quarter[#All], SMALL(IF(LOWER(balance_sheet_quarter[Company Name]) = LOWER(balance_sheet_quarter_filter!$B$2), ROW(balance_sheet_quarter[Company Name]) - ROW(INDEX(balance_sheet_quarter[Company Name], 1, 1)) + 1), ROW(18:18)), COLUMN(E:E)), "")</f>
        <v>0</v>
      </c>
      <c r="G20" s="14">
        <f t="array" ref="G20">IFERROR(INDEX(balance_sheet_quarter[#All], SMALL(IF(LOWER(balance_sheet_quarter[Company Name]) = LOWER(balance_sheet_quarter_filter!$B$2), ROW(balance_sheet_quarter[Company Name]) - ROW(INDEX(balance_sheet_quarter[Company Name], 1, 1)) + 1), ROW(18:18)), COLUMN(F:F)), "")</f>
        <v>0</v>
      </c>
      <c r="H20" s="14">
        <f t="array" ref="H20">IFERROR(INDEX(balance_sheet_quarter[#All], SMALL(IF(LOWER(balance_sheet_quarter[Company Name]) = LOWER(balance_sheet_quarter_filter!$B$2), ROW(balance_sheet_quarter[Company Name]) - ROW(INDEX(balance_sheet_quarter[Company Name], 1, 1)) + 1), ROW(18:18)), COLUMN(G:G)), "")</f>
        <v>0</v>
      </c>
      <c r="I20" s="14">
        <f t="array" ref="I20">IFERROR(INDEX(balance_sheet_quarter[#All], SMALL(IF(LOWER(balance_sheet_quarter[Company Name]) = LOWER(balance_sheet_quarter_filter!$B$2), ROW(balance_sheet_quarter[Company Name]) - ROW(INDEX(balance_sheet_quarter[Company Name], 1, 1)) + 1), ROW(18:18)), COLUMN(H:H)), "")</f>
        <v>0</v>
      </c>
      <c r="J20" s="14">
        <f t="array" ref="J20">IFERROR(INDEX(balance_sheet_quarter[#All], SMALL(IF(LOWER(balance_sheet_quarter[Company Name]) = LOWER(balance_sheet_quarter_filter!$B$2), ROW(balance_sheet_quarter[Company Name]) - ROW(INDEX(balance_sheet_quarter[Company Name], 1, 1)) + 1), ROW(18:18)), COLUMN(I:I)), "")</f>
        <v>0</v>
      </c>
      <c r="K20" s="14">
        <f t="array" ref="K20">IFERROR(INDEX(balance_sheet_quarter[#All], SMALL(IF(LOWER(balance_sheet_quarter[Company Name]) = LOWER(balance_sheet_quarter_filter!$B$2), ROW(balance_sheet_quarter[Company Name]) - ROW(INDEX(balance_sheet_quarter[Company Name], 1, 1)) + 1), ROW(18:18)), COLUMN(J:J)), "")</f>
        <v>0</v>
      </c>
      <c r="L20" s="14">
        <f t="array" ref="L20">IFERROR(INDEX(balance_sheet_quarter[#All], SMALL(IF(LOWER(balance_sheet_quarter[Company Name]) = LOWER(balance_sheet_quarter_filter!$B$2), ROW(balance_sheet_quarter[Company Name]) - ROW(INDEX(balance_sheet_quarter[Company Name], 1, 1)) + 1), ROW(18:18)), COLUMN(K:K)), "")</f>
        <v>0</v>
      </c>
      <c r="M20" s="14">
        <f t="array" ref="M20">IFERROR(INDEX(balance_sheet_quarter[#All], SMALL(IF(LOWER(balance_sheet_quarter[Company Name]) = LOWER(balance_sheet_quarter_filter!$B$2), ROW(balance_sheet_quarter[Company Name]) - ROW(INDEX(balance_sheet_quarter[Company Name], 1, 1)) + 1), ROW(18:18)), COLUMN(L:L)), "")</f>
        <v>0</v>
      </c>
      <c r="N20" s="14">
        <f t="array" ref="N20">IFERROR(INDEX(balance_sheet_quarter[#All], SMALL(IF(LOWER(balance_sheet_quarter[Company Name]) = LOWER(balance_sheet_quarter_filter!$B$2), ROW(balance_sheet_quarter[Company Name]) - ROW(INDEX(balance_sheet_quarter[Company Name], 1, 1)) + 1), ROW(18:18)), COLUMN(M:M)), "")</f>
        <v>0</v>
      </c>
      <c r="O20" s="14">
        <f t="array" ref="O20">IFERROR(INDEX(balance_sheet_quarter[#All], SMALL(IF(LOWER(balance_sheet_quarter[Company Name]) = LOWER(balance_sheet_quarter_filter!$B$2), ROW(balance_sheet_quarter[Company Name]) - ROW(INDEX(balance_sheet_quarter[Company Name], 1, 1)) + 1), ROW(18:18)), COLUMN(N:N)), "")</f>
        <v>0</v>
      </c>
      <c r="P20" s="14">
        <f t="array" ref="P20">IFERROR(INDEX(balance_sheet_quarter[#All], SMALL(IF(LOWER(balance_sheet_quarter[Company Name]) = LOWER(balance_sheet_quarter_filter!$B$2), ROW(balance_sheet_quarter[Company Name]) - ROW(INDEX(balance_sheet_quarter[Company Name], 1, 1)) + 1), ROW(18:18)), COLUMN(O:O)), "")</f>
        <v>0</v>
      </c>
    </row>
    <row r="21" spans="3:16" x14ac:dyDescent="0.35">
      <c r="C21" t="str">
        <f t="array" ref="C21">IFERROR(INDEX(balance_sheet_quarter[#All], SMALL(IF(LOWER(balance_sheet_quarter[Company Name]) = LOWER(balance_sheet_quarter_filter!$B$2), ROW(balance_sheet_quarter[Company Name]) - ROW(INDEX(balance_sheet_quarter[Company Name], 1, 1)) + 1), ROW(19:19)), COLUMN(B:B)), "")</f>
        <v>8. Tài sản Thiếu chờ xử lý</v>
      </c>
      <c r="D21" s="14">
        <f t="array" ref="D21">IFERROR(INDEX(balance_sheet_quarter[#All], SMALL(IF(LOWER(balance_sheet_quarter[Company Name]) = LOWER(balance_sheet_quarter_filter!$B$2), ROW(balance_sheet_quarter[Company Name]) - ROW(INDEX(balance_sheet_quarter[Company Name], 1, 1)) + 1), ROW(19:19)), COLUMN(C:C)), "")</f>
        <v>0</v>
      </c>
      <c r="E21" s="14">
        <f t="array" ref="E21">IFERROR(INDEX(balance_sheet_quarter[#All], SMALL(IF(LOWER(balance_sheet_quarter[Company Name]) = LOWER(balance_sheet_quarter_filter!$B$2), ROW(balance_sheet_quarter[Company Name]) - ROW(INDEX(balance_sheet_quarter[Company Name], 1, 1)) + 1), ROW(19:19)), COLUMN(D:D)), "")</f>
        <v>0</v>
      </c>
      <c r="F21" s="14">
        <f t="array" ref="F21">IFERROR(INDEX(balance_sheet_quarter[#All], SMALL(IF(LOWER(balance_sheet_quarter[Company Name]) = LOWER(balance_sheet_quarter_filter!$B$2), ROW(balance_sheet_quarter[Company Name]) - ROW(INDEX(balance_sheet_quarter[Company Name], 1, 1)) + 1), ROW(19:19)), COLUMN(E:E)), "")</f>
        <v>0</v>
      </c>
      <c r="G21" s="14">
        <f t="array" ref="G21">IFERROR(INDEX(balance_sheet_quarter[#All], SMALL(IF(LOWER(balance_sheet_quarter[Company Name]) = LOWER(balance_sheet_quarter_filter!$B$2), ROW(balance_sheet_quarter[Company Name]) - ROW(INDEX(balance_sheet_quarter[Company Name], 1, 1)) + 1), ROW(19:19)), COLUMN(F:F)), "")</f>
        <v>0</v>
      </c>
      <c r="H21" s="14">
        <f t="array" ref="H21">IFERROR(INDEX(balance_sheet_quarter[#All], SMALL(IF(LOWER(balance_sheet_quarter[Company Name]) = LOWER(balance_sheet_quarter_filter!$B$2), ROW(balance_sheet_quarter[Company Name]) - ROW(INDEX(balance_sheet_quarter[Company Name], 1, 1)) + 1), ROW(19:19)), COLUMN(G:G)), "")</f>
        <v>0</v>
      </c>
      <c r="I21" s="14">
        <f t="array" ref="I21">IFERROR(INDEX(balance_sheet_quarter[#All], SMALL(IF(LOWER(balance_sheet_quarter[Company Name]) = LOWER(balance_sheet_quarter_filter!$B$2), ROW(balance_sheet_quarter[Company Name]) - ROW(INDEX(balance_sheet_quarter[Company Name], 1, 1)) + 1), ROW(19:19)), COLUMN(H:H)), "")</f>
        <v>0</v>
      </c>
      <c r="J21" s="14">
        <f t="array" ref="J21">IFERROR(INDEX(balance_sheet_quarter[#All], SMALL(IF(LOWER(balance_sheet_quarter[Company Name]) = LOWER(balance_sheet_quarter_filter!$B$2), ROW(balance_sheet_quarter[Company Name]) - ROW(INDEX(balance_sheet_quarter[Company Name], 1, 1)) + 1), ROW(19:19)), COLUMN(I:I)), "")</f>
        <v>0</v>
      </c>
      <c r="K21" s="14">
        <f t="array" ref="K21">IFERROR(INDEX(balance_sheet_quarter[#All], SMALL(IF(LOWER(balance_sheet_quarter[Company Name]) = LOWER(balance_sheet_quarter_filter!$B$2), ROW(balance_sheet_quarter[Company Name]) - ROW(INDEX(balance_sheet_quarter[Company Name], 1, 1)) + 1), ROW(19:19)), COLUMN(J:J)), "")</f>
        <v>0</v>
      </c>
      <c r="L21" s="14">
        <f t="array" ref="L21">IFERROR(INDEX(balance_sheet_quarter[#All], SMALL(IF(LOWER(balance_sheet_quarter[Company Name]) = LOWER(balance_sheet_quarter_filter!$B$2), ROW(balance_sheet_quarter[Company Name]) - ROW(INDEX(balance_sheet_quarter[Company Name], 1, 1)) + 1), ROW(19:19)), COLUMN(K:K)), "")</f>
        <v>0</v>
      </c>
      <c r="M21" s="14">
        <f t="array" ref="M21">IFERROR(INDEX(balance_sheet_quarter[#All], SMALL(IF(LOWER(balance_sheet_quarter[Company Name]) = LOWER(balance_sheet_quarter_filter!$B$2), ROW(balance_sheet_quarter[Company Name]) - ROW(INDEX(balance_sheet_quarter[Company Name], 1, 1)) + 1), ROW(19:19)), COLUMN(L:L)), "")</f>
        <v>0</v>
      </c>
      <c r="N21" s="14">
        <f t="array" ref="N21">IFERROR(INDEX(balance_sheet_quarter[#All], SMALL(IF(LOWER(balance_sheet_quarter[Company Name]) = LOWER(balance_sheet_quarter_filter!$B$2), ROW(balance_sheet_quarter[Company Name]) - ROW(INDEX(balance_sheet_quarter[Company Name], 1, 1)) + 1), ROW(19:19)), COLUMN(M:M)), "")</f>
        <v>0</v>
      </c>
      <c r="O21" s="14">
        <f t="array" ref="O21">IFERROR(INDEX(balance_sheet_quarter[#All], SMALL(IF(LOWER(balance_sheet_quarter[Company Name]) = LOWER(balance_sheet_quarter_filter!$B$2), ROW(balance_sheet_quarter[Company Name]) - ROW(INDEX(balance_sheet_quarter[Company Name], 1, 1)) + 1), ROW(19:19)), COLUMN(N:N)), "")</f>
        <v>0</v>
      </c>
      <c r="P21" s="14">
        <f t="array" ref="P21">IFERROR(INDEX(balance_sheet_quarter[#All], SMALL(IF(LOWER(balance_sheet_quarter[Company Name]) = LOWER(balance_sheet_quarter_filter!$B$2), ROW(balance_sheet_quarter[Company Name]) - ROW(INDEX(balance_sheet_quarter[Company Name], 1, 1)) + 1), ROW(19:19)), COLUMN(O:O)), "")</f>
        <v>0</v>
      </c>
    </row>
    <row r="22" spans="3:16" x14ac:dyDescent="0.35">
      <c r="C22" t="str">
        <f t="array" ref="C22">IFERROR(INDEX(balance_sheet_quarter[#All], SMALL(IF(LOWER(balance_sheet_quarter[Company Name]) = LOWER(balance_sheet_quarter_filter!$B$2), ROW(balance_sheet_quarter[Company Name]) - ROW(INDEX(balance_sheet_quarter[Company Name], 1, 1)) + 1), ROW(20:20)), COLUMN(B:B)), "")</f>
        <v>IV. Hàng tồn kho</v>
      </c>
      <c r="D22" s="14">
        <f t="array" ref="D22">IFERROR(INDEX(balance_sheet_quarter[#All], SMALL(IF(LOWER(balance_sheet_quarter[Company Name]) = LOWER(balance_sheet_quarter_filter!$B$2), ROW(balance_sheet_quarter[Company Name]) - ROW(INDEX(balance_sheet_quarter[Company Name], 1, 1)) + 1), ROW(20:20)), COLUMN(C:C)), "")</f>
        <v>394547272</v>
      </c>
      <c r="E22" s="14">
        <f t="array" ref="E22">IFERROR(INDEX(balance_sheet_quarter[#All], SMALL(IF(LOWER(balance_sheet_quarter[Company Name]) = LOWER(balance_sheet_quarter_filter!$B$2), ROW(balance_sheet_quarter[Company Name]) - ROW(INDEX(balance_sheet_quarter[Company Name], 1, 1)) + 1), ROW(20:20)), COLUMN(D:D)), "")</f>
        <v>0</v>
      </c>
      <c r="F22" s="14">
        <f t="array" ref="F22">IFERROR(INDEX(balance_sheet_quarter[#All], SMALL(IF(LOWER(balance_sheet_quarter[Company Name]) = LOWER(balance_sheet_quarter_filter!$B$2), ROW(balance_sheet_quarter[Company Name]) - ROW(INDEX(balance_sheet_quarter[Company Name], 1, 1)) + 1), ROW(20:20)), COLUMN(E:E)), "")</f>
        <v>0</v>
      </c>
      <c r="G22" s="14">
        <f t="array" ref="G22">IFERROR(INDEX(balance_sheet_quarter[#All], SMALL(IF(LOWER(balance_sheet_quarter[Company Name]) = LOWER(balance_sheet_quarter_filter!$B$2), ROW(balance_sheet_quarter[Company Name]) - ROW(INDEX(balance_sheet_quarter[Company Name], 1, 1)) + 1), ROW(20:20)), COLUMN(F:F)), "")</f>
        <v>0</v>
      </c>
      <c r="H22" s="14">
        <f t="array" ref="H22">IFERROR(INDEX(balance_sheet_quarter[#All], SMALL(IF(LOWER(balance_sheet_quarter[Company Name]) = LOWER(balance_sheet_quarter_filter!$B$2), ROW(balance_sheet_quarter[Company Name]) - ROW(INDEX(balance_sheet_quarter[Company Name], 1, 1)) + 1), ROW(20:20)), COLUMN(G:G)), "")</f>
        <v>0</v>
      </c>
      <c r="I22" s="14">
        <f t="array" ref="I22">IFERROR(INDEX(balance_sheet_quarter[#All], SMALL(IF(LOWER(balance_sheet_quarter[Company Name]) = LOWER(balance_sheet_quarter_filter!$B$2), ROW(balance_sheet_quarter[Company Name]) - ROW(INDEX(balance_sheet_quarter[Company Name], 1, 1)) + 1), ROW(20:20)), COLUMN(H:H)), "")</f>
        <v>0</v>
      </c>
      <c r="J22" s="14">
        <f t="array" ref="J22">IFERROR(INDEX(balance_sheet_quarter[#All], SMALL(IF(LOWER(balance_sheet_quarter[Company Name]) = LOWER(balance_sheet_quarter_filter!$B$2), ROW(balance_sheet_quarter[Company Name]) - ROW(INDEX(balance_sheet_quarter[Company Name], 1, 1)) + 1), ROW(20:20)), COLUMN(I:I)), "")</f>
        <v>0</v>
      </c>
      <c r="K22" s="14">
        <f t="array" ref="K22">IFERROR(INDEX(balance_sheet_quarter[#All], SMALL(IF(LOWER(balance_sheet_quarter[Company Name]) = LOWER(balance_sheet_quarter_filter!$B$2), ROW(balance_sheet_quarter[Company Name]) - ROW(INDEX(balance_sheet_quarter[Company Name], 1, 1)) + 1), ROW(20:20)), COLUMN(J:J)), "")</f>
        <v>0</v>
      </c>
      <c r="L22" s="14">
        <f t="array" ref="L22">IFERROR(INDEX(balance_sheet_quarter[#All], SMALL(IF(LOWER(balance_sheet_quarter[Company Name]) = LOWER(balance_sheet_quarter_filter!$B$2), ROW(balance_sheet_quarter[Company Name]) - ROW(INDEX(balance_sheet_quarter[Company Name], 1, 1)) + 1), ROW(20:20)), COLUMN(K:K)), "")</f>
        <v>0</v>
      </c>
      <c r="M22" s="14">
        <f t="array" ref="M22">IFERROR(INDEX(balance_sheet_quarter[#All], SMALL(IF(LOWER(balance_sheet_quarter[Company Name]) = LOWER(balance_sheet_quarter_filter!$B$2), ROW(balance_sheet_quarter[Company Name]) - ROW(INDEX(balance_sheet_quarter[Company Name], 1, 1)) + 1), ROW(20:20)), COLUMN(L:L)), "")</f>
        <v>0</v>
      </c>
      <c r="N22" s="14">
        <f t="array" ref="N22">IFERROR(INDEX(balance_sheet_quarter[#All], SMALL(IF(LOWER(balance_sheet_quarter[Company Name]) = LOWER(balance_sheet_quarter_filter!$B$2), ROW(balance_sheet_quarter[Company Name]) - ROW(INDEX(balance_sheet_quarter[Company Name], 1, 1)) + 1), ROW(20:20)), COLUMN(M:M)), "")</f>
        <v>0</v>
      </c>
      <c r="O22" s="14">
        <f t="array" ref="O22">IFERROR(INDEX(balance_sheet_quarter[#All], SMALL(IF(LOWER(balance_sheet_quarter[Company Name]) = LOWER(balance_sheet_quarter_filter!$B$2), ROW(balance_sheet_quarter[Company Name]) - ROW(INDEX(balance_sheet_quarter[Company Name], 1, 1)) + 1), ROW(20:20)), COLUMN(N:N)), "")</f>
        <v>0</v>
      </c>
      <c r="P22" s="14">
        <f t="array" ref="P22">IFERROR(INDEX(balance_sheet_quarter[#All], SMALL(IF(LOWER(balance_sheet_quarter[Company Name]) = LOWER(balance_sheet_quarter_filter!$B$2), ROW(balance_sheet_quarter[Company Name]) - ROW(INDEX(balance_sheet_quarter[Company Name], 1, 1)) + 1), ROW(20:20)), COLUMN(O:O)), "")</f>
        <v>0</v>
      </c>
    </row>
    <row r="23" spans="3:16" x14ac:dyDescent="0.35">
      <c r="C23" t="str">
        <f t="array" ref="C23">IFERROR(INDEX(balance_sheet_quarter[#All], SMALL(IF(LOWER(balance_sheet_quarter[Company Name]) = LOWER(balance_sheet_quarter_filter!$B$2), ROW(balance_sheet_quarter[Company Name]) - ROW(INDEX(balance_sheet_quarter[Company Name], 1, 1)) + 1), ROW(21:21)), COLUMN(B:B)), "")</f>
        <v>1. Hàng tồn kho</v>
      </c>
      <c r="D23" s="14">
        <f t="array" ref="D23">IFERROR(INDEX(balance_sheet_quarter[#All], SMALL(IF(LOWER(balance_sheet_quarter[Company Name]) = LOWER(balance_sheet_quarter_filter!$B$2), ROW(balance_sheet_quarter[Company Name]) - ROW(INDEX(balance_sheet_quarter[Company Name], 1, 1)) + 1), ROW(21:21)), COLUMN(C:C)), "")</f>
        <v>394547272</v>
      </c>
      <c r="E23" s="14">
        <f t="array" ref="E23">IFERROR(INDEX(balance_sheet_quarter[#All], SMALL(IF(LOWER(balance_sheet_quarter[Company Name]) = LOWER(balance_sheet_quarter_filter!$B$2), ROW(balance_sheet_quarter[Company Name]) - ROW(INDEX(balance_sheet_quarter[Company Name], 1, 1)) + 1), ROW(21:21)), COLUMN(D:D)), "")</f>
        <v>0</v>
      </c>
      <c r="F23" s="14">
        <f t="array" ref="F23">IFERROR(INDEX(balance_sheet_quarter[#All], SMALL(IF(LOWER(balance_sheet_quarter[Company Name]) = LOWER(balance_sheet_quarter_filter!$B$2), ROW(balance_sheet_quarter[Company Name]) - ROW(INDEX(balance_sheet_quarter[Company Name], 1, 1)) + 1), ROW(21:21)), COLUMN(E:E)), "")</f>
        <v>0</v>
      </c>
      <c r="G23" s="14">
        <f t="array" ref="G23">IFERROR(INDEX(balance_sheet_quarter[#All], SMALL(IF(LOWER(balance_sheet_quarter[Company Name]) = LOWER(balance_sheet_quarter_filter!$B$2), ROW(balance_sheet_quarter[Company Name]) - ROW(INDEX(balance_sheet_quarter[Company Name], 1, 1)) + 1), ROW(21:21)), COLUMN(F:F)), "")</f>
        <v>0</v>
      </c>
      <c r="H23" s="14">
        <f t="array" ref="H23">IFERROR(INDEX(balance_sheet_quarter[#All], SMALL(IF(LOWER(balance_sheet_quarter[Company Name]) = LOWER(balance_sheet_quarter_filter!$B$2), ROW(balance_sheet_quarter[Company Name]) - ROW(INDEX(balance_sheet_quarter[Company Name], 1, 1)) + 1), ROW(21:21)), COLUMN(G:G)), "")</f>
        <v>0</v>
      </c>
      <c r="I23" s="14">
        <f t="array" ref="I23">IFERROR(INDEX(balance_sheet_quarter[#All], SMALL(IF(LOWER(balance_sheet_quarter[Company Name]) = LOWER(balance_sheet_quarter_filter!$B$2), ROW(balance_sheet_quarter[Company Name]) - ROW(INDEX(balance_sheet_quarter[Company Name], 1, 1)) + 1), ROW(21:21)), COLUMN(H:H)), "")</f>
        <v>0</v>
      </c>
      <c r="J23" s="14">
        <f t="array" ref="J23">IFERROR(INDEX(balance_sheet_quarter[#All], SMALL(IF(LOWER(balance_sheet_quarter[Company Name]) = LOWER(balance_sheet_quarter_filter!$B$2), ROW(balance_sheet_quarter[Company Name]) - ROW(INDEX(balance_sheet_quarter[Company Name], 1, 1)) + 1), ROW(21:21)), COLUMN(I:I)), "")</f>
        <v>0</v>
      </c>
      <c r="K23" s="14">
        <f t="array" ref="K23">IFERROR(INDEX(balance_sheet_quarter[#All], SMALL(IF(LOWER(balance_sheet_quarter[Company Name]) = LOWER(balance_sheet_quarter_filter!$B$2), ROW(balance_sheet_quarter[Company Name]) - ROW(INDEX(balance_sheet_quarter[Company Name], 1, 1)) + 1), ROW(21:21)), COLUMN(J:J)), "")</f>
        <v>0</v>
      </c>
      <c r="L23" s="14">
        <f t="array" ref="L23">IFERROR(INDEX(balance_sheet_quarter[#All], SMALL(IF(LOWER(balance_sheet_quarter[Company Name]) = LOWER(balance_sheet_quarter_filter!$B$2), ROW(balance_sheet_quarter[Company Name]) - ROW(INDEX(balance_sheet_quarter[Company Name], 1, 1)) + 1), ROW(21:21)), COLUMN(K:K)), "")</f>
        <v>0</v>
      </c>
      <c r="M23" s="14">
        <f t="array" ref="M23">IFERROR(INDEX(balance_sheet_quarter[#All], SMALL(IF(LOWER(balance_sheet_quarter[Company Name]) = LOWER(balance_sheet_quarter_filter!$B$2), ROW(balance_sheet_quarter[Company Name]) - ROW(INDEX(balance_sheet_quarter[Company Name], 1, 1)) + 1), ROW(21:21)), COLUMN(L:L)), "")</f>
        <v>0</v>
      </c>
      <c r="N23" s="14">
        <f t="array" ref="N23">IFERROR(INDEX(balance_sheet_quarter[#All], SMALL(IF(LOWER(balance_sheet_quarter[Company Name]) = LOWER(balance_sheet_quarter_filter!$B$2), ROW(balance_sheet_quarter[Company Name]) - ROW(INDEX(balance_sheet_quarter[Company Name], 1, 1)) + 1), ROW(21:21)), COLUMN(M:M)), "")</f>
        <v>0</v>
      </c>
      <c r="O23" s="14">
        <f t="array" ref="O23">IFERROR(INDEX(balance_sheet_quarter[#All], SMALL(IF(LOWER(balance_sheet_quarter[Company Name]) = LOWER(balance_sheet_quarter_filter!$B$2), ROW(balance_sheet_quarter[Company Name]) - ROW(INDEX(balance_sheet_quarter[Company Name], 1, 1)) + 1), ROW(21:21)), COLUMN(N:N)), "")</f>
        <v>0</v>
      </c>
      <c r="P23" s="14">
        <f t="array" ref="P23">IFERROR(INDEX(balance_sheet_quarter[#All], SMALL(IF(LOWER(balance_sheet_quarter[Company Name]) = LOWER(balance_sheet_quarter_filter!$B$2), ROW(balance_sheet_quarter[Company Name]) - ROW(INDEX(balance_sheet_quarter[Company Name], 1, 1)) + 1), ROW(21:21)), COLUMN(O:O)), "")</f>
        <v>0</v>
      </c>
    </row>
    <row r="24" spans="3:16" x14ac:dyDescent="0.35">
      <c r="C24" t="str">
        <f t="array" ref="C24">IFERROR(INDEX(balance_sheet_quarter[#All], SMALL(IF(LOWER(balance_sheet_quarter[Company Name]) = LOWER(balance_sheet_quarter_filter!$B$2), ROW(balance_sheet_quarter[Company Name]) - ROW(INDEX(balance_sheet_quarter[Company Name], 1, 1)) + 1), ROW(22:22)), COLUMN(B:B)), "")</f>
        <v>2. Dự phòng giảm giá hàng tồn kho</v>
      </c>
      <c r="D24" s="14">
        <f t="array" ref="D24">IFERROR(INDEX(balance_sheet_quarter[#All], SMALL(IF(LOWER(balance_sheet_quarter[Company Name]) = LOWER(balance_sheet_quarter_filter!$B$2), ROW(balance_sheet_quarter[Company Name]) - ROW(INDEX(balance_sheet_quarter[Company Name], 1, 1)) + 1), ROW(22:22)), COLUMN(C:C)), "")</f>
        <v>0</v>
      </c>
      <c r="E24" s="14">
        <f t="array" ref="E24">IFERROR(INDEX(balance_sheet_quarter[#All], SMALL(IF(LOWER(balance_sheet_quarter[Company Name]) = LOWER(balance_sheet_quarter_filter!$B$2), ROW(balance_sheet_quarter[Company Name]) - ROW(INDEX(balance_sheet_quarter[Company Name], 1, 1)) + 1), ROW(22:22)), COLUMN(D:D)), "")</f>
        <v>0</v>
      </c>
      <c r="F24" s="14">
        <f t="array" ref="F24">IFERROR(INDEX(balance_sheet_quarter[#All], SMALL(IF(LOWER(balance_sheet_quarter[Company Name]) = LOWER(balance_sheet_quarter_filter!$B$2), ROW(balance_sheet_quarter[Company Name]) - ROW(INDEX(balance_sheet_quarter[Company Name], 1, 1)) + 1), ROW(22:22)), COLUMN(E:E)), "")</f>
        <v>0</v>
      </c>
      <c r="G24" s="14">
        <f t="array" ref="G24">IFERROR(INDEX(balance_sheet_quarter[#All], SMALL(IF(LOWER(balance_sheet_quarter[Company Name]) = LOWER(balance_sheet_quarter_filter!$B$2), ROW(balance_sheet_quarter[Company Name]) - ROW(INDEX(balance_sheet_quarter[Company Name], 1, 1)) + 1), ROW(22:22)), COLUMN(F:F)), "")</f>
        <v>0</v>
      </c>
      <c r="H24" s="14">
        <f t="array" ref="H24">IFERROR(INDEX(balance_sheet_quarter[#All], SMALL(IF(LOWER(balance_sheet_quarter[Company Name]) = LOWER(balance_sheet_quarter_filter!$B$2), ROW(balance_sheet_quarter[Company Name]) - ROW(INDEX(balance_sheet_quarter[Company Name], 1, 1)) + 1), ROW(22:22)), COLUMN(G:G)), "")</f>
        <v>0</v>
      </c>
      <c r="I24" s="14">
        <f t="array" ref="I24">IFERROR(INDEX(balance_sheet_quarter[#All], SMALL(IF(LOWER(balance_sheet_quarter[Company Name]) = LOWER(balance_sheet_quarter_filter!$B$2), ROW(balance_sheet_quarter[Company Name]) - ROW(INDEX(balance_sheet_quarter[Company Name], 1, 1)) + 1), ROW(22:22)), COLUMN(H:H)), "")</f>
        <v>0</v>
      </c>
      <c r="J24" s="14">
        <f t="array" ref="J24">IFERROR(INDEX(balance_sheet_quarter[#All], SMALL(IF(LOWER(balance_sheet_quarter[Company Name]) = LOWER(balance_sheet_quarter_filter!$B$2), ROW(balance_sheet_quarter[Company Name]) - ROW(INDEX(balance_sheet_quarter[Company Name], 1, 1)) + 1), ROW(22:22)), COLUMN(I:I)), "")</f>
        <v>0</v>
      </c>
      <c r="K24" s="14">
        <f t="array" ref="K24">IFERROR(INDEX(balance_sheet_quarter[#All], SMALL(IF(LOWER(balance_sheet_quarter[Company Name]) = LOWER(balance_sheet_quarter_filter!$B$2), ROW(balance_sheet_quarter[Company Name]) - ROW(INDEX(balance_sheet_quarter[Company Name], 1, 1)) + 1), ROW(22:22)), COLUMN(J:J)), "")</f>
        <v>0</v>
      </c>
      <c r="L24" s="14">
        <f t="array" ref="L24">IFERROR(INDEX(balance_sheet_quarter[#All], SMALL(IF(LOWER(balance_sheet_quarter[Company Name]) = LOWER(balance_sheet_quarter_filter!$B$2), ROW(balance_sheet_quarter[Company Name]) - ROW(INDEX(balance_sheet_quarter[Company Name], 1, 1)) + 1), ROW(22:22)), COLUMN(K:K)), "")</f>
        <v>0</v>
      </c>
      <c r="M24" s="14">
        <f t="array" ref="M24">IFERROR(INDEX(balance_sheet_quarter[#All], SMALL(IF(LOWER(balance_sheet_quarter[Company Name]) = LOWER(balance_sheet_quarter_filter!$B$2), ROW(balance_sheet_quarter[Company Name]) - ROW(INDEX(balance_sheet_quarter[Company Name], 1, 1)) + 1), ROW(22:22)), COLUMN(L:L)), "")</f>
        <v>0</v>
      </c>
      <c r="N24" s="14">
        <f t="array" ref="N24">IFERROR(INDEX(balance_sheet_quarter[#All], SMALL(IF(LOWER(balance_sheet_quarter[Company Name]) = LOWER(balance_sheet_quarter_filter!$B$2), ROW(balance_sheet_quarter[Company Name]) - ROW(INDEX(balance_sheet_quarter[Company Name], 1, 1)) + 1), ROW(22:22)), COLUMN(M:M)), "")</f>
        <v>0</v>
      </c>
      <c r="O24" s="14">
        <f t="array" ref="O24">IFERROR(INDEX(balance_sheet_quarter[#All], SMALL(IF(LOWER(balance_sheet_quarter[Company Name]) = LOWER(balance_sheet_quarter_filter!$B$2), ROW(balance_sheet_quarter[Company Name]) - ROW(INDEX(balance_sheet_quarter[Company Name], 1, 1)) + 1), ROW(22:22)), COLUMN(N:N)), "")</f>
        <v>0</v>
      </c>
      <c r="P24" s="14">
        <f t="array" ref="P24">IFERROR(INDEX(balance_sheet_quarter[#All], SMALL(IF(LOWER(balance_sheet_quarter[Company Name]) = LOWER(balance_sheet_quarter_filter!$B$2), ROW(balance_sheet_quarter[Company Name]) - ROW(INDEX(balance_sheet_quarter[Company Name], 1, 1)) + 1), ROW(22:22)), COLUMN(O:O)), "")</f>
        <v>0</v>
      </c>
    </row>
    <row r="25" spans="3:16" x14ac:dyDescent="0.35">
      <c r="C25" t="str">
        <f t="array" ref="C25">IFERROR(INDEX(balance_sheet_quarter[#All], SMALL(IF(LOWER(balance_sheet_quarter[Company Name]) = LOWER(balance_sheet_quarter_filter!$B$2), ROW(balance_sheet_quarter[Company Name]) - ROW(INDEX(balance_sheet_quarter[Company Name], 1, 1)) + 1), ROW(23:23)), COLUMN(B:B)), "")</f>
        <v>V.Tài sản ngắn hạn khác</v>
      </c>
      <c r="D25" s="14">
        <f t="array" ref="D25">IFERROR(INDEX(balance_sheet_quarter[#All], SMALL(IF(LOWER(balance_sheet_quarter[Company Name]) = LOWER(balance_sheet_quarter_filter!$B$2), ROW(balance_sheet_quarter[Company Name]) - ROW(INDEX(balance_sheet_quarter[Company Name], 1, 1)) + 1), ROW(23:23)), COLUMN(C:C)), "")</f>
        <v>53230240515</v>
      </c>
      <c r="E25" s="14">
        <f t="array" ref="E25">IFERROR(INDEX(balance_sheet_quarter[#All], SMALL(IF(LOWER(balance_sheet_quarter[Company Name]) = LOWER(balance_sheet_quarter_filter!$B$2), ROW(balance_sheet_quarter[Company Name]) - ROW(INDEX(balance_sheet_quarter[Company Name], 1, 1)) + 1), ROW(23:23)), COLUMN(D:D)), "")</f>
        <v>4505159752</v>
      </c>
      <c r="F25" s="14">
        <f t="array" ref="F25">IFERROR(INDEX(balance_sheet_quarter[#All], SMALL(IF(LOWER(balance_sheet_quarter[Company Name]) = LOWER(balance_sheet_quarter_filter!$B$2), ROW(balance_sheet_quarter[Company Name]) - ROW(INDEX(balance_sheet_quarter[Company Name], 1, 1)) + 1), ROW(23:23)), COLUMN(E:E)), "")</f>
        <v>120228567</v>
      </c>
      <c r="G25" s="14">
        <f t="array" ref="G25">IFERROR(INDEX(balance_sheet_quarter[#All], SMALL(IF(LOWER(balance_sheet_quarter[Company Name]) = LOWER(balance_sheet_quarter_filter!$B$2), ROW(balance_sheet_quarter[Company Name]) - ROW(INDEX(balance_sheet_quarter[Company Name], 1, 1)) + 1), ROW(23:23)), COLUMN(F:F)), "")</f>
        <v>66994124</v>
      </c>
      <c r="H25" s="14">
        <f t="array" ref="H25">IFERROR(INDEX(balance_sheet_quarter[#All], SMALL(IF(LOWER(balance_sheet_quarter[Company Name]) = LOWER(balance_sheet_quarter_filter!$B$2), ROW(balance_sheet_quarter[Company Name]) - ROW(INDEX(balance_sheet_quarter[Company Name], 1, 1)) + 1), ROW(23:23)), COLUMN(G:G)), "")</f>
        <v>422434257</v>
      </c>
      <c r="I25" s="14">
        <f t="array" ref="I25">IFERROR(INDEX(balance_sheet_quarter[#All], SMALL(IF(LOWER(balance_sheet_quarter[Company Name]) = LOWER(balance_sheet_quarter_filter!$B$2), ROW(balance_sheet_quarter[Company Name]) - ROW(INDEX(balance_sheet_quarter[Company Name], 1, 1)) + 1), ROW(23:23)), COLUMN(H:H)), "")</f>
        <v>16935441367</v>
      </c>
      <c r="J25" s="14">
        <f t="array" ref="J25">IFERROR(INDEX(balance_sheet_quarter[#All], SMALL(IF(LOWER(balance_sheet_quarter[Company Name]) = LOWER(balance_sheet_quarter_filter!$B$2), ROW(balance_sheet_quarter[Company Name]) - ROW(INDEX(balance_sheet_quarter[Company Name], 1, 1)) + 1), ROW(23:23)), COLUMN(I:I)), "")</f>
        <v>8870787382</v>
      </c>
      <c r="K25" s="14">
        <f t="array" ref="K25">IFERROR(INDEX(balance_sheet_quarter[#All], SMALL(IF(LOWER(balance_sheet_quarter[Company Name]) = LOWER(balance_sheet_quarter_filter!$B$2), ROW(balance_sheet_quarter[Company Name]) - ROW(INDEX(balance_sheet_quarter[Company Name], 1, 1)) + 1), ROW(23:23)), COLUMN(J:J)), "")</f>
        <v>4264421967</v>
      </c>
      <c r="L25" s="14">
        <f t="array" ref="L25">IFERROR(INDEX(balance_sheet_quarter[#All], SMALL(IF(LOWER(balance_sheet_quarter[Company Name]) = LOWER(balance_sheet_quarter_filter!$B$2), ROW(balance_sheet_quarter[Company Name]) - ROW(INDEX(balance_sheet_quarter[Company Name], 1, 1)) + 1), ROW(23:23)), COLUMN(K:K)), "")</f>
        <v>6542062388</v>
      </c>
      <c r="M25" s="14">
        <f t="array" ref="M25">IFERROR(INDEX(balance_sheet_quarter[#All], SMALL(IF(LOWER(balance_sheet_quarter[Company Name]) = LOWER(balance_sheet_quarter_filter!$B$2), ROW(balance_sheet_quarter[Company Name]) - ROW(INDEX(balance_sheet_quarter[Company Name], 1, 1)) + 1), ROW(23:23)), COLUMN(L:L)), "")</f>
        <v>2371760809</v>
      </c>
      <c r="N25" s="14">
        <f t="array" ref="N25">IFERROR(INDEX(balance_sheet_quarter[#All], SMALL(IF(LOWER(balance_sheet_quarter[Company Name]) = LOWER(balance_sheet_quarter_filter!$B$2), ROW(balance_sheet_quarter[Company Name]) - ROW(INDEX(balance_sheet_quarter[Company Name], 1, 1)) + 1), ROW(23:23)), COLUMN(M:M)), "")</f>
        <v>773107993</v>
      </c>
      <c r="O25" s="14">
        <f t="array" ref="O25">IFERROR(INDEX(balance_sheet_quarter[#All], SMALL(IF(LOWER(balance_sheet_quarter[Company Name]) = LOWER(balance_sheet_quarter_filter!$B$2), ROW(balance_sheet_quarter[Company Name]) - ROW(INDEX(balance_sheet_quarter[Company Name], 1, 1)) + 1), ROW(23:23)), COLUMN(N:N)), "")</f>
        <v>59775379</v>
      </c>
      <c r="P25" s="14">
        <f t="array" ref="P25">IFERROR(INDEX(balance_sheet_quarter[#All], SMALL(IF(LOWER(balance_sheet_quarter[Company Name]) = LOWER(balance_sheet_quarter_filter!$B$2), ROW(balance_sheet_quarter[Company Name]) - ROW(INDEX(balance_sheet_quarter[Company Name], 1, 1)) + 1), ROW(23:23)), COLUMN(O:O)), "")</f>
        <v>412856967</v>
      </c>
    </row>
    <row r="26" spans="3:16" x14ac:dyDescent="0.35">
      <c r="C26" t="str">
        <f t="array" ref="C26">IFERROR(INDEX(balance_sheet_quarter[#All], SMALL(IF(LOWER(balance_sheet_quarter[Company Name]) = LOWER(balance_sheet_quarter_filter!$B$2), ROW(balance_sheet_quarter[Company Name]) - ROW(INDEX(balance_sheet_quarter[Company Name], 1, 1)) + 1), ROW(24:24)), COLUMN(B:B)), "")</f>
        <v>1. Chi phí trả trước ngắn hạn</v>
      </c>
      <c r="D26" s="14">
        <f t="array" ref="D26">IFERROR(INDEX(balance_sheet_quarter[#All], SMALL(IF(LOWER(balance_sheet_quarter[Company Name]) = LOWER(balance_sheet_quarter_filter!$B$2), ROW(balance_sheet_quarter[Company Name]) - ROW(INDEX(balance_sheet_quarter[Company Name], 1, 1)) + 1), ROW(24:24)), COLUMN(C:C)), "")</f>
        <v>129730956</v>
      </c>
      <c r="E26" s="14">
        <f t="array" ref="E26">IFERROR(INDEX(balance_sheet_quarter[#All], SMALL(IF(LOWER(balance_sheet_quarter[Company Name]) = LOWER(balance_sheet_quarter_filter!$B$2), ROW(balance_sheet_quarter[Company Name]) - ROW(INDEX(balance_sheet_quarter[Company Name], 1, 1)) + 1), ROW(24:24)), COLUMN(D:D)), "")</f>
        <v>201685562</v>
      </c>
      <c r="F26" s="14">
        <f t="array" ref="F26">IFERROR(INDEX(balance_sheet_quarter[#All], SMALL(IF(LOWER(balance_sheet_quarter[Company Name]) = LOWER(balance_sheet_quarter_filter!$B$2), ROW(balance_sheet_quarter[Company Name]) - ROW(INDEX(balance_sheet_quarter[Company Name], 1, 1)) + 1), ROW(24:24)), COLUMN(E:E)), "")</f>
        <v>120228567</v>
      </c>
      <c r="G26" s="14">
        <f t="array" ref="G26">IFERROR(INDEX(balance_sheet_quarter[#All], SMALL(IF(LOWER(balance_sheet_quarter[Company Name]) = LOWER(balance_sheet_quarter_filter!$B$2), ROW(balance_sheet_quarter[Company Name]) - ROW(INDEX(balance_sheet_quarter[Company Name], 1, 1)) + 1), ROW(24:24)), COLUMN(F:F)), "")</f>
        <v>66994124</v>
      </c>
      <c r="H26" s="14">
        <f t="array" ref="H26">IFERROR(INDEX(balance_sheet_quarter[#All], SMALL(IF(LOWER(balance_sheet_quarter[Company Name]) = LOWER(balance_sheet_quarter_filter!$B$2), ROW(balance_sheet_quarter[Company Name]) - ROW(INDEX(balance_sheet_quarter[Company Name], 1, 1)) + 1), ROW(24:24)), COLUMN(G:G)), "")</f>
        <v>422434257</v>
      </c>
      <c r="I26" s="14">
        <f t="array" ref="I26">IFERROR(INDEX(balance_sheet_quarter[#All], SMALL(IF(LOWER(balance_sheet_quarter[Company Name]) = LOWER(balance_sheet_quarter_filter!$B$2), ROW(balance_sheet_quarter[Company Name]) - ROW(INDEX(balance_sheet_quarter[Company Name], 1, 1)) + 1), ROW(24:24)), COLUMN(H:H)), "")</f>
        <v>11280108782</v>
      </c>
      <c r="J26" s="14">
        <f t="array" ref="J26">IFERROR(INDEX(balance_sheet_quarter[#All], SMALL(IF(LOWER(balance_sheet_quarter[Company Name]) = LOWER(balance_sheet_quarter_filter!$B$2), ROW(balance_sheet_quarter[Company Name]) - ROW(INDEX(balance_sheet_quarter[Company Name], 1, 1)) + 1), ROW(24:24)), COLUMN(I:I)), "")</f>
        <v>8870787382</v>
      </c>
      <c r="K26" s="14">
        <f t="array" ref="K26">IFERROR(INDEX(balance_sheet_quarter[#All], SMALL(IF(LOWER(balance_sheet_quarter[Company Name]) = LOWER(balance_sheet_quarter_filter!$B$2), ROW(balance_sheet_quarter[Company Name]) - ROW(INDEX(balance_sheet_quarter[Company Name], 1, 1)) + 1), ROW(24:24)), COLUMN(J:J)), "")</f>
        <v>4264421967</v>
      </c>
      <c r="L26" s="14">
        <f t="array" ref="L26">IFERROR(INDEX(balance_sheet_quarter[#All], SMALL(IF(LOWER(balance_sheet_quarter[Company Name]) = LOWER(balance_sheet_quarter_filter!$B$2), ROW(balance_sheet_quarter[Company Name]) - ROW(INDEX(balance_sheet_quarter[Company Name], 1, 1)) + 1), ROW(24:24)), COLUMN(K:K)), "")</f>
        <v>6542062388</v>
      </c>
      <c r="M26" s="14">
        <f t="array" ref="M26">IFERROR(INDEX(balance_sheet_quarter[#All], SMALL(IF(LOWER(balance_sheet_quarter[Company Name]) = LOWER(balance_sheet_quarter_filter!$B$2), ROW(balance_sheet_quarter[Company Name]) - ROW(INDEX(balance_sheet_quarter[Company Name], 1, 1)) + 1), ROW(24:24)), COLUMN(L:L)), "")</f>
        <v>1643426690</v>
      </c>
      <c r="N26" s="14">
        <f t="array" ref="N26">IFERROR(INDEX(balance_sheet_quarter[#All], SMALL(IF(LOWER(balance_sheet_quarter[Company Name]) = LOWER(balance_sheet_quarter_filter!$B$2), ROW(balance_sheet_quarter[Company Name]) - ROW(INDEX(balance_sheet_quarter[Company Name], 1, 1)) + 1), ROW(24:24)), COLUMN(M:M)), "")</f>
        <v>688970953</v>
      </c>
      <c r="O26" s="14">
        <f t="array" ref="O26">IFERROR(INDEX(balance_sheet_quarter[#All], SMALL(IF(LOWER(balance_sheet_quarter[Company Name]) = LOWER(balance_sheet_quarter_filter!$B$2), ROW(balance_sheet_quarter[Company Name]) - ROW(INDEX(balance_sheet_quarter[Company Name], 1, 1)) + 1), ROW(24:24)), COLUMN(N:N)), "")</f>
        <v>59775379</v>
      </c>
      <c r="P26" s="14">
        <f t="array" ref="P26">IFERROR(INDEX(balance_sheet_quarter[#All], SMALL(IF(LOWER(balance_sheet_quarter[Company Name]) = LOWER(balance_sheet_quarter_filter!$B$2), ROW(balance_sheet_quarter[Company Name]) - ROW(INDEX(balance_sheet_quarter[Company Name], 1, 1)) + 1), ROW(24:24)), COLUMN(O:O)), "")</f>
        <v>412856967</v>
      </c>
    </row>
    <row r="27" spans="3:16" x14ac:dyDescent="0.35">
      <c r="C27" t="str">
        <f t="array" ref="C27">IFERROR(INDEX(balance_sheet_quarter[#All], SMALL(IF(LOWER(balance_sheet_quarter[Company Name]) = LOWER(balance_sheet_quarter_filter!$B$2), ROW(balance_sheet_quarter[Company Name]) - ROW(INDEX(balance_sheet_quarter[Company Name], 1, 1)) + 1), ROW(25:25)), COLUMN(B:B)), "")</f>
        <v>2. Thuế GTGT được khấu trừ</v>
      </c>
      <c r="D27" s="14">
        <f t="array" ref="D27">IFERROR(INDEX(balance_sheet_quarter[#All], SMALL(IF(LOWER(balance_sheet_quarter[Company Name]) = LOWER(balance_sheet_quarter_filter!$B$2), ROW(balance_sheet_quarter[Company Name]) - ROW(INDEX(balance_sheet_quarter[Company Name], 1, 1)) + 1), ROW(25:25)), COLUMN(C:C)), "")</f>
        <v>53100509559</v>
      </c>
      <c r="E27" s="14">
        <f t="array" ref="E27">IFERROR(INDEX(balance_sheet_quarter[#All], SMALL(IF(LOWER(balance_sheet_quarter[Company Name]) = LOWER(balance_sheet_quarter_filter!$B$2), ROW(balance_sheet_quarter[Company Name]) - ROW(INDEX(balance_sheet_quarter[Company Name], 1, 1)) + 1), ROW(25:25)), COLUMN(D:D)), "")</f>
        <v>4303474190</v>
      </c>
      <c r="F27" s="14">
        <f t="array" ref="F27">IFERROR(INDEX(balance_sheet_quarter[#All], SMALL(IF(LOWER(balance_sheet_quarter[Company Name]) = LOWER(balance_sheet_quarter_filter!$B$2), ROW(balance_sheet_quarter[Company Name]) - ROW(INDEX(balance_sheet_quarter[Company Name], 1, 1)) + 1), ROW(25:25)), COLUMN(E:E)), "")</f>
        <v>0</v>
      </c>
      <c r="G27" s="14">
        <f t="array" ref="G27">IFERROR(INDEX(balance_sheet_quarter[#All], SMALL(IF(LOWER(balance_sheet_quarter[Company Name]) = LOWER(balance_sheet_quarter_filter!$B$2), ROW(balance_sheet_quarter[Company Name]) - ROW(INDEX(balance_sheet_quarter[Company Name], 1, 1)) + 1), ROW(25:25)), COLUMN(F:F)), "")</f>
        <v>0</v>
      </c>
      <c r="H27" s="14">
        <f t="array" ref="H27">IFERROR(INDEX(balance_sheet_quarter[#All], SMALL(IF(LOWER(balance_sheet_quarter[Company Name]) = LOWER(balance_sheet_quarter_filter!$B$2), ROW(balance_sheet_quarter[Company Name]) - ROW(INDEX(balance_sheet_quarter[Company Name], 1, 1)) + 1), ROW(25:25)), COLUMN(G:G)), "")</f>
        <v>0</v>
      </c>
      <c r="I27" s="14">
        <f t="array" ref="I27">IFERROR(INDEX(balance_sheet_quarter[#All], SMALL(IF(LOWER(balance_sheet_quarter[Company Name]) = LOWER(balance_sheet_quarter_filter!$B$2), ROW(balance_sheet_quarter[Company Name]) - ROW(INDEX(balance_sheet_quarter[Company Name], 1, 1)) + 1), ROW(25:25)), COLUMN(H:H)), "")</f>
        <v>5655332585</v>
      </c>
      <c r="J27" s="14">
        <f t="array" ref="J27">IFERROR(INDEX(balance_sheet_quarter[#All], SMALL(IF(LOWER(balance_sheet_quarter[Company Name]) = LOWER(balance_sheet_quarter_filter!$B$2), ROW(balance_sheet_quarter[Company Name]) - ROW(INDEX(balance_sheet_quarter[Company Name], 1, 1)) + 1), ROW(25:25)), COLUMN(I:I)), "")</f>
        <v>0</v>
      </c>
      <c r="K27" s="14">
        <f t="array" ref="K27">IFERROR(INDEX(balance_sheet_quarter[#All], SMALL(IF(LOWER(balance_sheet_quarter[Company Name]) = LOWER(balance_sheet_quarter_filter!$B$2), ROW(balance_sheet_quarter[Company Name]) - ROW(INDEX(balance_sheet_quarter[Company Name], 1, 1)) + 1), ROW(25:25)), COLUMN(J:J)), "")</f>
        <v>0</v>
      </c>
      <c r="L27" s="14">
        <f t="array" ref="L27">IFERROR(INDEX(balance_sheet_quarter[#All], SMALL(IF(LOWER(balance_sheet_quarter[Company Name]) = LOWER(balance_sheet_quarter_filter!$B$2), ROW(balance_sheet_quarter[Company Name]) - ROW(INDEX(balance_sheet_quarter[Company Name], 1, 1)) + 1), ROW(25:25)), COLUMN(K:K)), "")</f>
        <v>0</v>
      </c>
      <c r="M27" s="14">
        <f t="array" ref="M27">IFERROR(INDEX(balance_sheet_quarter[#All], SMALL(IF(LOWER(balance_sheet_quarter[Company Name]) = LOWER(balance_sheet_quarter_filter!$B$2), ROW(balance_sheet_quarter[Company Name]) - ROW(INDEX(balance_sheet_quarter[Company Name], 1, 1)) + 1), ROW(25:25)), COLUMN(L:L)), "")</f>
        <v>728334119</v>
      </c>
      <c r="N27" s="14">
        <f t="array" ref="N27">IFERROR(INDEX(balance_sheet_quarter[#All], SMALL(IF(LOWER(balance_sheet_quarter[Company Name]) = LOWER(balance_sheet_quarter_filter!$B$2), ROW(balance_sheet_quarter[Company Name]) - ROW(INDEX(balance_sheet_quarter[Company Name], 1, 1)) + 1), ROW(25:25)), COLUMN(M:M)), "")</f>
        <v>84137040</v>
      </c>
      <c r="O27" s="14">
        <f t="array" ref="O27">IFERROR(INDEX(balance_sheet_quarter[#All], SMALL(IF(LOWER(balance_sheet_quarter[Company Name]) = LOWER(balance_sheet_quarter_filter!$B$2), ROW(balance_sheet_quarter[Company Name]) - ROW(INDEX(balance_sheet_quarter[Company Name], 1, 1)) + 1), ROW(25:25)), COLUMN(N:N)), "")</f>
        <v>0</v>
      </c>
      <c r="P27" s="14">
        <f t="array" ref="P27">IFERROR(INDEX(balance_sheet_quarter[#All], SMALL(IF(LOWER(balance_sheet_quarter[Company Name]) = LOWER(balance_sheet_quarter_filter!$B$2), ROW(balance_sheet_quarter[Company Name]) - ROW(INDEX(balance_sheet_quarter[Company Name], 1, 1)) + 1), ROW(25:25)), COLUMN(O:O)), "")</f>
        <v>0</v>
      </c>
    </row>
    <row r="28" spans="3:16" x14ac:dyDescent="0.35">
      <c r="C28" t="str">
        <f t="array" ref="C28">IFERROR(INDEX(balance_sheet_quarter[#All], SMALL(IF(LOWER(balance_sheet_quarter[Company Name]) = LOWER(balance_sheet_quarter_filter!$B$2), ROW(balance_sheet_quarter[Company Name]) - ROW(INDEX(balance_sheet_quarter[Company Name], 1, 1)) + 1), ROW(26:26)), COLUMN(B:B)), "")</f>
        <v>3. Thuế và các khoản khác phải thu Nhà nước</v>
      </c>
      <c r="D28" s="14">
        <f t="array" ref="D28">IFERROR(INDEX(balance_sheet_quarter[#All], SMALL(IF(LOWER(balance_sheet_quarter[Company Name]) = LOWER(balance_sheet_quarter_filter!$B$2), ROW(balance_sheet_quarter[Company Name]) - ROW(INDEX(balance_sheet_quarter[Company Name], 1, 1)) + 1), ROW(26:26)), COLUMN(C:C)), "")</f>
        <v>0</v>
      </c>
      <c r="E28" s="14">
        <f t="array" ref="E28">IFERROR(INDEX(balance_sheet_quarter[#All], SMALL(IF(LOWER(balance_sheet_quarter[Company Name]) = LOWER(balance_sheet_quarter_filter!$B$2), ROW(balance_sheet_quarter[Company Name]) - ROW(INDEX(balance_sheet_quarter[Company Name], 1, 1)) + 1), ROW(26:26)), COLUMN(D:D)), "")</f>
        <v>0</v>
      </c>
      <c r="F28" s="14">
        <f t="array" ref="F28">IFERROR(INDEX(balance_sheet_quarter[#All], SMALL(IF(LOWER(balance_sheet_quarter[Company Name]) = LOWER(balance_sheet_quarter_filter!$B$2), ROW(balance_sheet_quarter[Company Name]) - ROW(INDEX(balance_sheet_quarter[Company Name], 1, 1)) + 1), ROW(26:26)), COLUMN(E:E)), "")</f>
        <v>0</v>
      </c>
      <c r="G28" s="14">
        <f t="array" ref="G28">IFERROR(INDEX(balance_sheet_quarter[#All], SMALL(IF(LOWER(balance_sheet_quarter[Company Name]) = LOWER(balance_sheet_quarter_filter!$B$2), ROW(balance_sheet_quarter[Company Name]) - ROW(INDEX(balance_sheet_quarter[Company Name], 1, 1)) + 1), ROW(26:26)), COLUMN(F:F)), "")</f>
        <v>0</v>
      </c>
      <c r="H28" s="14">
        <f t="array" ref="H28">IFERROR(INDEX(balance_sheet_quarter[#All], SMALL(IF(LOWER(balance_sheet_quarter[Company Name]) = LOWER(balance_sheet_quarter_filter!$B$2), ROW(balance_sheet_quarter[Company Name]) - ROW(INDEX(balance_sheet_quarter[Company Name], 1, 1)) + 1), ROW(26:26)), COLUMN(G:G)), "")</f>
        <v>0</v>
      </c>
      <c r="I28" s="14">
        <f t="array" ref="I28">IFERROR(INDEX(balance_sheet_quarter[#All], SMALL(IF(LOWER(balance_sheet_quarter[Company Name]) = LOWER(balance_sheet_quarter_filter!$B$2), ROW(balance_sheet_quarter[Company Name]) - ROW(INDEX(balance_sheet_quarter[Company Name], 1, 1)) + 1), ROW(26:26)), COLUMN(H:H)), "")</f>
        <v>0</v>
      </c>
      <c r="J28" s="14">
        <f t="array" ref="J28">IFERROR(INDEX(balance_sheet_quarter[#All], SMALL(IF(LOWER(balance_sheet_quarter[Company Name]) = LOWER(balance_sheet_quarter_filter!$B$2), ROW(balance_sheet_quarter[Company Name]) - ROW(INDEX(balance_sheet_quarter[Company Name], 1, 1)) + 1), ROW(26:26)), COLUMN(I:I)), "")</f>
        <v>0</v>
      </c>
      <c r="K28" s="14">
        <f t="array" ref="K28">IFERROR(INDEX(balance_sheet_quarter[#All], SMALL(IF(LOWER(balance_sheet_quarter[Company Name]) = LOWER(balance_sheet_quarter_filter!$B$2), ROW(balance_sheet_quarter[Company Name]) - ROW(INDEX(balance_sheet_quarter[Company Name], 1, 1)) + 1), ROW(26:26)), COLUMN(J:J)), "")</f>
        <v>0</v>
      </c>
      <c r="L28" s="14">
        <f t="array" ref="L28">IFERROR(INDEX(balance_sheet_quarter[#All], SMALL(IF(LOWER(balance_sheet_quarter[Company Name]) = LOWER(balance_sheet_quarter_filter!$B$2), ROW(balance_sheet_quarter[Company Name]) - ROW(INDEX(balance_sheet_quarter[Company Name], 1, 1)) + 1), ROW(26:26)), COLUMN(K:K)), "")</f>
        <v>0</v>
      </c>
      <c r="M28" s="14">
        <f t="array" ref="M28">IFERROR(INDEX(balance_sheet_quarter[#All], SMALL(IF(LOWER(balance_sheet_quarter[Company Name]) = LOWER(balance_sheet_quarter_filter!$B$2), ROW(balance_sheet_quarter[Company Name]) - ROW(INDEX(balance_sheet_quarter[Company Name], 1, 1)) + 1), ROW(26:26)), COLUMN(L:L)), "")</f>
        <v>0</v>
      </c>
      <c r="N28" s="14">
        <f t="array" ref="N28">IFERROR(INDEX(balance_sheet_quarter[#All], SMALL(IF(LOWER(balance_sheet_quarter[Company Name]) = LOWER(balance_sheet_quarter_filter!$B$2), ROW(balance_sheet_quarter[Company Name]) - ROW(INDEX(balance_sheet_quarter[Company Name], 1, 1)) + 1), ROW(26:26)), COLUMN(M:M)), "")</f>
        <v>0</v>
      </c>
      <c r="O28" s="14">
        <f t="array" ref="O28">IFERROR(INDEX(balance_sheet_quarter[#All], SMALL(IF(LOWER(balance_sheet_quarter[Company Name]) = LOWER(balance_sheet_quarter_filter!$B$2), ROW(balance_sheet_quarter[Company Name]) - ROW(INDEX(balance_sheet_quarter[Company Name], 1, 1)) + 1), ROW(26:26)), COLUMN(N:N)), "")</f>
        <v>0</v>
      </c>
      <c r="P28" s="14">
        <f t="array" ref="P28">IFERROR(INDEX(balance_sheet_quarter[#All], SMALL(IF(LOWER(balance_sheet_quarter[Company Name]) = LOWER(balance_sheet_quarter_filter!$B$2), ROW(balance_sheet_quarter[Company Name]) - ROW(INDEX(balance_sheet_quarter[Company Name], 1, 1)) + 1), ROW(26:26)), COLUMN(O:O)), "")</f>
        <v>0</v>
      </c>
    </row>
    <row r="29" spans="3:16" x14ac:dyDescent="0.35">
      <c r="C29" t="str">
        <f t="array" ref="C29">IFERROR(INDEX(balance_sheet_quarter[#All], SMALL(IF(LOWER(balance_sheet_quarter[Company Name]) = LOWER(balance_sheet_quarter_filter!$B$2), ROW(balance_sheet_quarter[Company Name]) - ROW(INDEX(balance_sheet_quarter[Company Name], 1, 1)) + 1), ROW(27:27)), COLUMN(B:B)), "")</f>
        <v>4. Giao dịch mua bán lại trái phiếu Chính phủ</v>
      </c>
      <c r="D29" s="14">
        <f t="array" ref="D29">IFERROR(INDEX(balance_sheet_quarter[#All], SMALL(IF(LOWER(balance_sheet_quarter[Company Name]) = LOWER(balance_sheet_quarter_filter!$B$2), ROW(balance_sheet_quarter[Company Name]) - ROW(INDEX(balance_sheet_quarter[Company Name], 1, 1)) + 1), ROW(27:27)), COLUMN(C:C)), "")</f>
        <v>0</v>
      </c>
      <c r="E29" s="14">
        <f t="array" ref="E29">IFERROR(INDEX(balance_sheet_quarter[#All], SMALL(IF(LOWER(balance_sheet_quarter[Company Name]) = LOWER(balance_sheet_quarter_filter!$B$2), ROW(balance_sheet_quarter[Company Name]) - ROW(INDEX(balance_sheet_quarter[Company Name], 1, 1)) + 1), ROW(27:27)), COLUMN(D:D)), "")</f>
        <v>0</v>
      </c>
      <c r="F29" s="14">
        <f t="array" ref="F29">IFERROR(INDEX(balance_sheet_quarter[#All], SMALL(IF(LOWER(balance_sheet_quarter[Company Name]) = LOWER(balance_sheet_quarter_filter!$B$2), ROW(balance_sheet_quarter[Company Name]) - ROW(INDEX(balance_sheet_quarter[Company Name], 1, 1)) + 1), ROW(27:27)), COLUMN(E:E)), "")</f>
        <v>0</v>
      </c>
      <c r="G29" s="14">
        <f t="array" ref="G29">IFERROR(INDEX(balance_sheet_quarter[#All], SMALL(IF(LOWER(balance_sheet_quarter[Company Name]) = LOWER(balance_sheet_quarter_filter!$B$2), ROW(balance_sheet_quarter[Company Name]) - ROW(INDEX(balance_sheet_quarter[Company Name], 1, 1)) + 1), ROW(27:27)), COLUMN(F:F)), "")</f>
        <v>0</v>
      </c>
      <c r="H29" s="14">
        <f t="array" ref="H29">IFERROR(INDEX(balance_sheet_quarter[#All], SMALL(IF(LOWER(balance_sheet_quarter[Company Name]) = LOWER(balance_sheet_quarter_filter!$B$2), ROW(balance_sheet_quarter[Company Name]) - ROW(INDEX(balance_sheet_quarter[Company Name], 1, 1)) + 1), ROW(27:27)), COLUMN(G:G)), "")</f>
        <v>0</v>
      </c>
      <c r="I29" s="14">
        <f t="array" ref="I29">IFERROR(INDEX(balance_sheet_quarter[#All], SMALL(IF(LOWER(balance_sheet_quarter[Company Name]) = LOWER(balance_sheet_quarter_filter!$B$2), ROW(balance_sheet_quarter[Company Name]) - ROW(INDEX(balance_sheet_quarter[Company Name], 1, 1)) + 1), ROW(27:27)), COLUMN(H:H)), "")</f>
        <v>0</v>
      </c>
      <c r="J29" s="14">
        <f t="array" ref="J29">IFERROR(INDEX(balance_sheet_quarter[#All], SMALL(IF(LOWER(balance_sheet_quarter[Company Name]) = LOWER(balance_sheet_quarter_filter!$B$2), ROW(balance_sheet_quarter[Company Name]) - ROW(INDEX(balance_sheet_quarter[Company Name], 1, 1)) + 1), ROW(27:27)), COLUMN(I:I)), "")</f>
        <v>0</v>
      </c>
      <c r="K29" s="14">
        <f t="array" ref="K29">IFERROR(INDEX(balance_sheet_quarter[#All], SMALL(IF(LOWER(balance_sheet_quarter[Company Name]) = LOWER(balance_sheet_quarter_filter!$B$2), ROW(balance_sheet_quarter[Company Name]) - ROW(INDEX(balance_sheet_quarter[Company Name], 1, 1)) + 1), ROW(27:27)), COLUMN(J:J)), "")</f>
        <v>0</v>
      </c>
      <c r="L29" s="14">
        <f t="array" ref="L29">IFERROR(INDEX(balance_sheet_quarter[#All], SMALL(IF(LOWER(balance_sheet_quarter[Company Name]) = LOWER(balance_sheet_quarter_filter!$B$2), ROW(balance_sheet_quarter[Company Name]) - ROW(INDEX(balance_sheet_quarter[Company Name], 1, 1)) + 1), ROW(27:27)), COLUMN(K:K)), "")</f>
        <v>0</v>
      </c>
      <c r="M29" s="14">
        <f t="array" ref="M29">IFERROR(INDEX(balance_sheet_quarter[#All], SMALL(IF(LOWER(balance_sheet_quarter[Company Name]) = LOWER(balance_sheet_quarter_filter!$B$2), ROW(balance_sheet_quarter[Company Name]) - ROW(INDEX(balance_sheet_quarter[Company Name], 1, 1)) + 1), ROW(27:27)), COLUMN(L:L)), "")</f>
        <v>0</v>
      </c>
      <c r="N29" s="14">
        <f t="array" ref="N29">IFERROR(INDEX(balance_sheet_quarter[#All], SMALL(IF(LOWER(balance_sheet_quarter[Company Name]) = LOWER(balance_sheet_quarter_filter!$B$2), ROW(balance_sheet_quarter[Company Name]) - ROW(INDEX(balance_sheet_quarter[Company Name], 1, 1)) + 1), ROW(27:27)), COLUMN(M:M)), "")</f>
        <v>0</v>
      </c>
      <c r="O29" s="14">
        <f t="array" ref="O29">IFERROR(INDEX(balance_sheet_quarter[#All], SMALL(IF(LOWER(balance_sheet_quarter[Company Name]) = LOWER(balance_sheet_quarter_filter!$B$2), ROW(balance_sheet_quarter[Company Name]) - ROW(INDEX(balance_sheet_quarter[Company Name], 1, 1)) + 1), ROW(27:27)), COLUMN(N:N)), "")</f>
        <v>0</v>
      </c>
      <c r="P29" s="14">
        <f t="array" ref="P29">IFERROR(INDEX(balance_sheet_quarter[#All], SMALL(IF(LOWER(balance_sheet_quarter[Company Name]) = LOWER(balance_sheet_quarter_filter!$B$2), ROW(balance_sheet_quarter[Company Name]) - ROW(INDEX(balance_sheet_quarter[Company Name], 1, 1)) + 1), ROW(27:27)), COLUMN(O:O)), "")</f>
        <v>0</v>
      </c>
    </row>
    <row r="30" spans="3:16" x14ac:dyDescent="0.35">
      <c r="C30" t="str">
        <f t="array" ref="C30">IFERROR(INDEX(balance_sheet_quarter[#All], SMALL(IF(LOWER(balance_sheet_quarter[Company Name]) = LOWER(balance_sheet_quarter_filter!$B$2), ROW(balance_sheet_quarter[Company Name]) - ROW(INDEX(balance_sheet_quarter[Company Name], 1, 1)) + 1), ROW(28:28)), COLUMN(B:B)), "")</f>
        <v>5. Tài sản ngắn hạn khác</v>
      </c>
      <c r="D30" s="14">
        <f t="array" ref="D30">IFERROR(INDEX(balance_sheet_quarter[#All], SMALL(IF(LOWER(balance_sheet_quarter[Company Name]) = LOWER(balance_sheet_quarter_filter!$B$2), ROW(balance_sheet_quarter[Company Name]) - ROW(INDEX(balance_sheet_quarter[Company Name], 1, 1)) + 1), ROW(28:28)), COLUMN(C:C)), "")</f>
        <v>0</v>
      </c>
      <c r="E30" s="14">
        <f t="array" ref="E30">IFERROR(INDEX(balance_sheet_quarter[#All], SMALL(IF(LOWER(balance_sheet_quarter[Company Name]) = LOWER(balance_sheet_quarter_filter!$B$2), ROW(balance_sheet_quarter[Company Name]) - ROW(INDEX(balance_sheet_quarter[Company Name], 1, 1)) + 1), ROW(28:28)), COLUMN(D:D)), "")</f>
        <v>0</v>
      </c>
      <c r="F30" s="14">
        <f t="array" ref="F30">IFERROR(INDEX(balance_sheet_quarter[#All], SMALL(IF(LOWER(balance_sheet_quarter[Company Name]) = LOWER(balance_sheet_quarter_filter!$B$2), ROW(balance_sheet_quarter[Company Name]) - ROW(INDEX(balance_sheet_quarter[Company Name], 1, 1)) + 1), ROW(28:28)), COLUMN(E:E)), "")</f>
        <v>0</v>
      </c>
      <c r="G30" s="14">
        <f t="array" ref="G30">IFERROR(INDEX(balance_sheet_quarter[#All], SMALL(IF(LOWER(balance_sheet_quarter[Company Name]) = LOWER(balance_sheet_quarter_filter!$B$2), ROW(balance_sheet_quarter[Company Name]) - ROW(INDEX(balance_sheet_quarter[Company Name], 1, 1)) + 1), ROW(28:28)), COLUMN(F:F)), "")</f>
        <v>0</v>
      </c>
      <c r="H30" s="14">
        <f t="array" ref="H30">IFERROR(INDEX(balance_sheet_quarter[#All], SMALL(IF(LOWER(balance_sheet_quarter[Company Name]) = LOWER(balance_sheet_quarter_filter!$B$2), ROW(balance_sheet_quarter[Company Name]) - ROW(INDEX(balance_sheet_quarter[Company Name], 1, 1)) + 1), ROW(28:28)), COLUMN(G:G)), "")</f>
        <v>0</v>
      </c>
      <c r="I30" s="14">
        <f t="array" ref="I30">IFERROR(INDEX(balance_sheet_quarter[#All], SMALL(IF(LOWER(balance_sheet_quarter[Company Name]) = LOWER(balance_sheet_quarter_filter!$B$2), ROW(balance_sheet_quarter[Company Name]) - ROW(INDEX(balance_sheet_quarter[Company Name], 1, 1)) + 1), ROW(28:28)), COLUMN(H:H)), "")</f>
        <v>0</v>
      </c>
      <c r="J30" s="14">
        <f t="array" ref="J30">IFERROR(INDEX(balance_sheet_quarter[#All], SMALL(IF(LOWER(balance_sheet_quarter[Company Name]) = LOWER(balance_sheet_quarter_filter!$B$2), ROW(balance_sheet_quarter[Company Name]) - ROW(INDEX(balance_sheet_quarter[Company Name], 1, 1)) + 1), ROW(28:28)), COLUMN(I:I)), "")</f>
        <v>0</v>
      </c>
      <c r="K30" s="14">
        <f t="array" ref="K30">IFERROR(INDEX(balance_sheet_quarter[#All], SMALL(IF(LOWER(balance_sheet_quarter[Company Name]) = LOWER(balance_sheet_quarter_filter!$B$2), ROW(balance_sheet_quarter[Company Name]) - ROW(INDEX(balance_sheet_quarter[Company Name], 1, 1)) + 1), ROW(28:28)), COLUMN(J:J)), "")</f>
        <v>0</v>
      </c>
      <c r="L30" s="14">
        <f t="array" ref="L30">IFERROR(INDEX(balance_sheet_quarter[#All], SMALL(IF(LOWER(balance_sheet_quarter[Company Name]) = LOWER(balance_sheet_quarter_filter!$B$2), ROW(balance_sheet_quarter[Company Name]) - ROW(INDEX(balance_sheet_quarter[Company Name], 1, 1)) + 1), ROW(28:28)), COLUMN(K:K)), "")</f>
        <v>0</v>
      </c>
      <c r="M30" s="14">
        <f t="array" ref="M30">IFERROR(INDEX(balance_sheet_quarter[#All], SMALL(IF(LOWER(balance_sheet_quarter[Company Name]) = LOWER(balance_sheet_quarter_filter!$B$2), ROW(balance_sheet_quarter[Company Name]) - ROW(INDEX(balance_sheet_quarter[Company Name], 1, 1)) + 1), ROW(28:28)), COLUMN(L:L)), "")</f>
        <v>0</v>
      </c>
      <c r="N30" s="14">
        <f t="array" ref="N30">IFERROR(INDEX(balance_sheet_quarter[#All], SMALL(IF(LOWER(balance_sheet_quarter[Company Name]) = LOWER(balance_sheet_quarter_filter!$B$2), ROW(balance_sheet_quarter[Company Name]) - ROW(INDEX(balance_sheet_quarter[Company Name], 1, 1)) + 1), ROW(28:28)), COLUMN(M:M)), "")</f>
        <v>0</v>
      </c>
      <c r="O30" s="14">
        <f t="array" ref="O30">IFERROR(INDEX(balance_sheet_quarter[#All], SMALL(IF(LOWER(balance_sheet_quarter[Company Name]) = LOWER(balance_sheet_quarter_filter!$B$2), ROW(balance_sheet_quarter[Company Name]) - ROW(INDEX(balance_sheet_quarter[Company Name], 1, 1)) + 1), ROW(28:28)), COLUMN(N:N)), "")</f>
        <v>0</v>
      </c>
      <c r="P30" s="14">
        <f t="array" ref="P30">IFERROR(INDEX(balance_sheet_quarter[#All], SMALL(IF(LOWER(balance_sheet_quarter[Company Name]) = LOWER(balance_sheet_quarter_filter!$B$2), ROW(balance_sheet_quarter[Company Name]) - ROW(INDEX(balance_sheet_quarter[Company Name], 1, 1)) + 1), ROW(28:28)), COLUMN(O:O)), "")</f>
        <v>0</v>
      </c>
    </row>
    <row r="31" spans="3:16" x14ac:dyDescent="0.35">
      <c r="C31" t="str">
        <f t="array" ref="C31">IFERROR(INDEX(balance_sheet_quarter[#All], SMALL(IF(LOWER(balance_sheet_quarter[Company Name]) = LOWER(balance_sheet_quarter_filter!$B$2), ROW(balance_sheet_quarter[Company Name]) - ROW(INDEX(balance_sheet_quarter[Company Name], 1, 1)) + 1), ROW(29:29)), COLUMN(B:B)), "")</f>
        <v>B. TÀI SẢN DÀI HẠN</v>
      </c>
      <c r="D31" s="14">
        <f>D32+D40+D50+D53+D56+D62</f>
        <v>4382467568075</v>
      </c>
      <c r="E31" s="14">
        <f t="shared" ref="E31:P31" si="2">E32+E40+E50+E53+E56+E62</f>
        <v>4613085398992</v>
      </c>
      <c r="F31" s="14">
        <f t="shared" si="2"/>
        <v>4607659845752</v>
      </c>
      <c r="G31" s="14">
        <f t="shared" si="2"/>
        <v>4594432861828</v>
      </c>
      <c r="H31" s="14">
        <f t="shared" si="2"/>
        <v>4562322186098</v>
      </c>
      <c r="I31" s="14">
        <f t="shared" si="2"/>
        <v>4587007262129</v>
      </c>
      <c r="J31" s="14">
        <f t="shared" si="2"/>
        <v>4546964719876</v>
      </c>
      <c r="K31" s="14">
        <f t="shared" si="2"/>
        <v>4494310798465</v>
      </c>
      <c r="L31" s="14">
        <f t="shared" si="2"/>
        <v>4453566891217</v>
      </c>
      <c r="M31" s="14">
        <f t="shared" si="2"/>
        <v>4402891649151</v>
      </c>
      <c r="N31" s="14">
        <f t="shared" si="2"/>
        <v>4342090393024</v>
      </c>
      <c r="O31" s="14">
        <f t="shared" si="2"/>
        <v>4290969077450</v>
      </c>
      <c r="P31" s="14">
        <f t="shared" si="2"/>
        <v>4239514929530</v>
      </c>
    </row>
    <row r="32" spans="3:16" x14ac:dyDescent="0.35">
      <c r="C32" t="str">
        <f t="array" ref="C32">IFERROR(INDEX(balance_sheet_quarter[#All], SMALL(IF(LOWER(balance_sheet_quarter[Company Name]) = LOWER(balance_sheet_quarter_filter!$B$2), ROW(balance_sheet_quarter[Company Name]) - ROW(INDEX(balance_sheet_quarter[Company Name], 1, 1)) + 1), ROW(30:30)), COLUMN(B:B)), "")</f>
        <v>I. Các khoản phải thu dài hạn</v>
      </c>
      <c r="D32" s="14">
        <f t="array" ref="D32">IFERROR(INDEX(balance_sheet_quarter[#All], SMALL(IF(LOWER(balance_sheet_quarter[Company Name]) = LOWER(balance_sheet_quarter_filter!$B$2), ROW(balance_sheet_quarter[Company Name]) - ROW(INDEX(balance_sheet_quarter[Company Name], 1, 1)) + 1), ROW(30:30)), COLUMN(C:C)), "")</f>
        <v>0</v>
      </c>
      <c r="E32" s="14">
        <f t="array" ref="E32">IFERROR(INDEX(balance_sheet_quarter[#All], SMALL(IF(LOWER(balance_sheet_quarter[Company Name]) = LOWER(balance_sheet_quarter_filter!$B$2), ROW(balance_sheet_quarter[Company Name]) - ROW(INDEX(balance_sheet_quarter[Company Name], 1, 1)) + 1), ROW(30:30)), COLUMN(D:D)), "")</f>
        <v>0</v>
      </c>
      <c r="F32" s="14">
        <f t="array" ref="F32">IFERROR(INDEX(balance_sheet_quarter[#All], SMALL(IF(LOWER(balance_sheet_quarter[Company Name]) = LOWER(balance_sheet_quarter_filter!$B$2), ROW(balance_sheet_quarter[Company Name]) - ROW(INDEX(balance_sheet_quarter[Company Name], 1, 1)) + 1), ROW(30:30)), COLUMN(E:E)), "")</f>
        <v>0</v>
      </c>
      <c r="G32" s="14">
        <f t="array" ref="G32">IFERROR(INDEX(balance_sheet_quarter[#All], SMALL(IF(LOWER(balance_sheet_quarter[Company Name]) = LOWER(balance_sheet_quarter_filter!$B$2), ROW(balance_sheet_quarter[Company Name]) - ROW(INDEX(balance_sheet_quarter[Company Name], 1, 1)) + 1), ROW(30:30)), COLUMN(F:F)), "")</f>
        <v>0</v>
      </c>
      <c r="H32" s="14">
        <f t="array" ref="H32">IFERROR(INDEX(balance_sheet_quarter[#All], SMALL(IF(LOWER(balance_sheet_quarter[Company Name]) = LOWER(balance_sheet_quarter_filter!$B$2), ROW(balance_sheet_quarter[Company Name]) - ROW(INDEX(balance_sheet_quarter[Company Name], 1, 1)) + 1), ROW(30:30)), COLUMN(G:G)), "")</f>
        <v>0</v>
      </c>
      <c r="I32" s="14">
        <f t="array" ref="I32">IFERROR(INDEX(balance_sheet_quarter[#All], SMALL(IF(LOWER(balance_sheet_quarter[Company Name]) = LOWER(balance_sheet_quarter_filter!$B$2), ROW(balance_sheet_quarter[Company Name]) - ROW(INDEX(balance_sheet_quarter[Company Name], 1, 1)) + 1), ROW(30:30)), COLUMN(H:H)), "")</f>
        <v>0</v>
      </c>
      <c r="J32" s="14">
        <f t="array" ref="J32">IFERROR(INDEX(balance_sheet_quarter[#All], SMALL(IF(LOWER(balance_sheet_quarter[Company Name]) = LOWER(balance_sheet_quarter_filter!$B$2), ROW(balance_sheet_quarter[Company Name]) - ROW(INDEX(balance_sheet_quarter[Company Name], 1, 1)) + 1), ROW(30:30)), COLUMN(I:I)), "")</f>
        <v>0</v>
      </c>
      <c r="K32" s="14">
        <f t="array" ref="K32">IFERROR(INDEX(balance_sheet_quarter[#All], SMALL(IF(LOWER(balance_sheet_quarter[Company Name]) = LOWER(balance_sheet_quarter_filter!$B$2), ROW(balance_sheet_quarter[Company Name]) - ROW(INDEX(balance_sheet_quarter[Company Name], 1, 1)) + 1), ROW(30:30)), COLUMN(J:J)), "")</f>
        <v>0</v>
      </c>
      <c r="L32" s="14">
        <f t="array" ref="L32">IFERROR(INDEX(balance_sheet_quarter[#All], SMALL(IF(LOWER(balance_sheet_quarter[Company Name]) = LOWER(balance_sheet_quarter_filter!$B$2), ROW(balance_sheet_quarter[Company Name]) - ROW(INDEX(balance_sheet_quarter[Company Name], 1, 1)) + 1), ROW(30:30)), COLUMN(K:K)), "")</f>
        <v>0</v>
      </c>
      <c r="M32" s="14">
        <f t="array" ref="M32">IFERROR(INDEX(balance_sheet_quarter[#All], SMALL(IF(LOWER(balance_sheet_quarter[Company Name]) = LOWER(balance_sheet_quarter_filter!$B$2), ROW(balance_sheet_quarter[Company Name]) - ROW(INDEX(balance_sheet_quarter[Company Name], 1, 1)) + 1), ROW(30:30)), COLUMN(L:L)), "")</f>
        <v>0</v>
      </c>
      <c r="N32" s="14">
        <f t="array" ref="N32">IFERROR(INDEX(balance_sheet_quarter[#All], SMALL(IF(LOWER(balance_sheet_quarter[Company Name]) = LOWER(balance_sheet_quarter_filter!$B$2), ROW(balance_sheet_quarter[Company Name]) - ROW(INDEX(balance_sheet_quarter[Company Name], 1, 1)) + 1), ROW(30:30)), COLUMN(M:M)), "")</f>
        <v>0</v>
      </c>
      <c r="O32" s="14">
        <f t="array" ref="O32">IFERROR(INDEX(balance_sheet_quarter[#All], SMALL(IF(LOWER(balance_sheet_quarter[Company Name]) = LOWER(balance_sheet_quarter_filter!$B$2), ROW(balance_sheet_quarter[Company Name]) - ROW(INDEX(balance_sheet_quarter[Company Name], 1, 1)) + 1), ROW(30:30)), COLUMN(N:N)), "")</f>
        <v>0</v>
      </c>
      <c r="P32" s="14">
        <f t="array" ref="P32">IFERROR(INDEX(balance_sheet_quarter[#All], SMALL(IF(LOWER(balance_sheet_quarter[Company Name]) = LOWER(balance_sheet_quarter_filter!$B$2), ROW(balance_sheet_quarter[Company Name]) - ROW(INDEX(balance_sheet_quarter[Company Name], 1, 1)) + 1), ROW(30:30)), COLUMN(O:O)), "")</f>
        <v>0</v>
      </c>
    </row>
    <row r="33" spans="3:16" x14ac:dyDescent="0.35">
      <c r="C33" t="str">
        <f t="array" ref="C33">IFERROR(INDEX(balance_sheet_quarter[#All], SMALL(IF(LOWER(balance_sheet_quarter[Company Name]) = LOWER(balance_sheet_quarter_filter!$B$2), ROW(balance_sheet_quarter[Company Name]) - ROW(INDEX(balance_sheet_quarter[Company Name], 1, 1)) + 1), ROW(31:31)), COLUMN(B:B)), "")</f>
        <v>1. Phải thu dài hạn của khách hàng</v>
      </c>
      <c r="D33" s="14">
        <f t="array" ref="D33">IFERROR(INDEX(balance_sheet_quarter[#All], SMALL(IF(LOWER(balance_sheet_quarter[Company Name]) = LOWER(balance_sheet_quarter_filter!$B$2), ROW(balance_sheet_quarter[Company Name]) - ROW(INDEX(balance_sheet_quarter[Company Name], 1, 1)) + 1), ROW(31:31)), COLUMN(C:C)), "")</f>
        <v>0</v>
      </c>
      <c r="E33" s="14">
        <f t="array" ref="E33">IFERROR(INDEX(balance_sheet_quarter[#All], SMALL(IF(LOWER(balance_sheet_quarter[Company Name]) = LOWER(balance_sheet_quarter_filter!$B$2), ROW(balance_sheet_quarter[Company Name]) - ROW(INDEX(balance_sheet_quarter[Company Name], 1, 1)) + 1), ROW(31:31)), COLUMN(D:D)), "")</f>
        <v>0</v>
      </c>
      <c r="F33" s="14">
        <f t="array" ref="F33">IFERROR(INDEX(balance_sheet_quarter[#All], SMALL(IF(LOWER(balance_sheet_quarter[Company Name]) = LOWER(balance_sheet_quarter_filter!$B$2), ROW(balance_sheet_quarter[Company Name]) - ROW(INDEX(balance_sheet_quarter[Company Name], 1, 1)) + 1), ROW(31:31)), COLUMN(E:E)), "")</f>
        <v>0</v>
      </c>
      <c r="G33" s="14">
        <f t="array" ref="G33">IFERROR(INDEX(balance_sheet_quarter[#All], SMALL(IF(LOWER(balance_sheet_quarter[Company Name]) = LOWER(balance_sheet_quarter_filter!$B$2), ROW(balance_sheet_quarter[Company Name]) - ROW(INDEX(balance_sheet_quarter[Company Name], 1, 1)) + 1), ROW(31:31)), COLUMN(F:F)), "")</f>
        <v>0</v>
      </c>
      <c r="H33" s="14">
        <f t="array" ref="H33">IFERROR(INDEX(balance_sheet_quarter[#All], SMALL(IF(LOWER(balance_sheet_quarter[Company Name]) = LOWER(balance_sheet_quarter_filter!$B$2), ROW(balance_sheet_quarter[Company Name]) - ROW(INDEX(balance_sheet_quarter[Company Name], 1, 1)) + 1), ROW(31:31)), COLUMN(G:G)), "")</f>
        <v>0</v>
      </c>
      <c r="I33" s="14">
        <f t="array" ref="I33">IFERROR(INDEX(balance_sheet_quarter[#All], SMALL(IF(LOWER(balance_sheet_quarter[Company Name]) = LOWER(balance_sheet_quarter_filter!$B$2), ROW(balance_sheet_quarter[Company Name]) - ROW(INDEX(balance_sheet_quarter[Company Name], 1, 1)) + 1), ROW(31:31)), COLUMN(H:H)), "")</f>
        <v>0</v>
      </c>
      <c r="J33" s="14">
        <f t="array" ref="J33">IFERROR(INDEX(balance_sheet_quarter[#All], SMALL(IF(LOWER(balance_sheet_quarter[Company Name]) = LOWER(balance_sheet_quarter_filter!$B$2), ROW(balance_sheet_quarter[Company Name]) - ROW(INDEX(balance_sheet_quarter[Company Name], 1, 1)) + 1), ROW(31:31)), COLUMN(I:I)), "")</f>
        <v>0</v>
      </c>
      <c r="K33" s="14">
        <f t="array" ref="K33">IFERROR(INDEX(balance_sheet_quarter[#All], SMALL(IF(LOWER(balance_sheet_quarter[Company Name]) = LOWER(balance_sheet_quarter_filter!$B$2), ROW(balance_sheet_quarter[Company Name]) - ROW(INDEX(balance_sheet_quarter[Company Name], 1, 1)) + 1), ROW(31:31)), COLUMN(J:J)), "")</f>
        <v>0</v>
      </c>
      <c r="L33" s="14">
        <f t="array" ref="L33">IFERROR(INDEX(balance_sheet_quarter[#All], SMALL(IF(LOWER(balance_sheet_quarter[Company Name]) = LOWER(balance_sheet_quarter_filter!$B$2), ROW(balance_sheet_quarter[Company Name]) - ROW(INDEX(balance_sheet_quarter[Company Name], 1, 1)) + 1), ROW(31:31)), COLUMN(K:K)), "")</f>
        <v>0</v>
      </c>
      <c r="M33" s="14">
        <f t="array" ref="M33">IFERROR(INDEX(balance_sheet_quarter[#All], SMALL(IF(LOWER(balance_sheet_quarter[Company Name]) = LOWER(balance_sheet_quarter_filter!$B$2), ROW(balance_sheet_quarter[Company Name]) - ROW(INDEX(balance_sheet_quarter[Company Name], 1, 1)) + 1), ROW(31:31)), COLUMN(L:L)), "")</f>
        <v>0</v>
      </c>
      <c r="N33" s="14">
        <f t="array" ref="N33">IFERROR(INDEX(balance_sheet_quarter[#All], SMALL(IF(LOWER(balance_sheet_quarter[Company Name]) = LOWER(balance_sheet_quarter_filter!$B$2), ROW(balance_sheet_quarter[Company Name]) - ROW(INDEX(balance_sheet_quarter[Company Name], 1, 1)) + 1), ROW(31:31)), COLUMN(M:M)), "")</f>
        <v>0</v>
      </c>
      <c r="O33" s="14">
        <f t="array" ref="O33">IFERROR(INDEX(balance_sheet_quarter[#All], SMALL(IF(LOWER(balance_sheet_quarter[Company Name]) = LOWER(balance_sheet_quarter_filter!$B$2), ROW(balance_sheet_quarter[Company Name]) - ROW(INDEX(balance_sheet_quarter[Company Name], 1, 1)) + 1), ROW(31:31)), COLUMN(N:N)), "")</f>
        <v>0</v>
      </c>
      <c r="P33" s="14">
        <f t="array" ref="P33">IFERROR(INDEX(balance_sheet_quarter[#All], SMALL(IF(LOWER(balance_sheet_quarter[Company Name]) = LOWER(balance_sheet_quarter_filter!$B$2), ROW(balance_sheet_quarter[Company Name]) - ROW(INDEX(balance_sheet_quarter[Company Name], 1, 1)) + 1), ROW(31:31)), COLUMN(O:O)), "")</f>
        <v>0</v>
      </c>
    </row>
    <row r="34" spans="3:16" x14ac:dyDescent="0.35">
      <c r="C34" t="str">
        <f t="array" ref="C34">IFERROR(INDEX(balance_sheet_quarter[#All], SMALL(IF(LOWER(balance_sheet_quarter[Company Name]) = LOWER(balance_sheet_quarter_filter!$B$2), ROW(balance_sheet_quarter[Company Name]) - ROW(INDEX(balance_sheet_quarter[Company Name], 1, 1)) + 1), ROW(32:32)), COLUMN(B:B)), "")</f>
        <v>2. Trả trước cho người bán dài hạn</v>
      </c>
      <c r="D34" s="14">
        <f t="array" ref="D34">IFERROR(INDEX(balance_sheet_quarter[#All], SMALL(IF(LOWER(balance_sheet_quarter[Company Name]) = LOWER(balance_sheet_quarter_filter!$B$2), ROW(balance_sheet_quarter[Company Name]) - ROW(INDEX(balance_sheet_quarter[Company Name], 1, 1)) + 1), ROW(32:32)), COLUMN(C:C)), "")</f>
        <v>0</v>
      </c>
      <c r="E34" s="14">
        <f t="array" ref="E34">IFERROR(INDEX(balance_sheet_quarter[#All], SMALL(IF(LOWER(balance_sheet_quarter[Company Name]) = LOWER(balance_sheet_quarter_filter!$B$2), ROW(balance_sheet_quarter[Company Name]) - ROW(INDEX(balance_sheet_quarter[Company Name], 1, 1)) + 1), ROW(32:32)), COLUMN(D:D)), "")</f>
        <v>0</v>
      </c>
      <c r="F34" s="14">
        <f t="array" ref="F34">IFERROR(INDEX(balance_sheet_quarter[#All], SMALL(IF(LOWER(balance_sheet_quarter[Company Name]) = LOWER(balance_sheet_quarter_filter!$B$2), ROW(balance_sheet_quarter[Company Name]) - ROW(INDEX(balance_sheet_quarter[Company Name], 1, 1)) + 1), ROW(32:32)), COLUMN(E:E)), "")</f>
        <v>0</v>
      </c>
      <c r="G34" s="14">
        <f t="array" ref="G34">IFERROR(INDEX(balance_sheet_quarter[#All], SMALL(IF(LOWER(balance_sheet_quarter[Company Name]) = LOWER(balance_sheet_quarter_filter!$B$2), ROW(balance_sheet_quarter[Company Name]) - ROW(INDEX(balance_sheet_quarter[Company Name], 1, 1)) + 1), ROW(32:32)), COLUMN(F:F)), "")</f>
        <v>0</v>
      </c>
      <c r="H34" s="14">
        <f t="array" ref="H34">IFERROR(INDEX(balance_sheet_quarter[#All], SMALL(IF(LOWER(balance_sheet_quarter[Company Name]) = LOWER(balance_sheet_quarter_filter!$B$2), ROW(balance_sheet_quarter[Company Name]) - ROW(INDEX(balance_sheet_quarter[Company Name], 1, 1)) + 1), ROW(32:32)), COLUMN(G:G)), "")</f>
        <v>0</v>
      </c>
      <c r="I34" s="14">
        <f t="array" ref="I34">IFERROR(INDEX(balance_sheet_quarter[#All], SMALL(IF(LOWER(balance_sheet_quarter[Company Name]) = LOWER(balance_sheet_quarter_filter!$B$2), ROW(balance_sheet_quarter[Company Name]) - ROW(INDEX(balance_sheet_quarter[Company Name], 1, 1)) + 1), ROW(32:32)), COLUMN(H:H)), "")</f>
        <v>0</v>
      </c>
      <c r="J34" s="14">
        <f t="array" ref="J34">IFERROR(INDEX(balance_sheet_quarter[#All], SMALL(IF(LOWER(balance_sheet_quarter[Company Name]) = LOWER(balance_sheet_quarter_filter!$B$2), ROW(balance_sheet_quarter[Company Name]) - ROW(INDEX(balance_sheet_quarter[Company Name], 1, 1)) + 1), ROW(32:32)), COLUMN(I:I)), "")</f>
        <v>0</v>
      </c>
      <c r="K34" s="14">
        <f t="array" ref="K34">IFERROR(INDEX(balance_sheet_quarter[#All], SMALL(IF(LOWER(balance_sheet_quarter[Company Name]) = LOWER(balance_sheet_quarter_filter!$B$2), ROW(balance_sheet_quarter[Company Name]) - ROW(INDEX(balance_sheet_quarter[Company Name], 1, 1)) + 1), ROW(32:32)), COLUMN(J:J)), "")</f>
        <v>0</v>
      </c>
      <c r="L34" s="14">
        <f t="array" ref="L34">IFERROR(INDEX(balance_sheet_quarter[#All], SMALL(IF(LOWER(balance_sheet_quarter[Company Name]) = LOWER(balance_sheet_quarter_filter!$B$2), ROW(balance_sheet_quarter[Company Name]) - ROW(INDEX(balance_sheet_quarter[Company Name], 1, 1)) + 1), ROW(32:32)), COLUMN(K:K)), "")</f>
        <v>0</v>
      </c>
      <c r="M34" s="14">
        <f t="array" ref="M34">IFERROR(INDEX(balance_sheet_quarter[#All], SMALL(IF(LOWER(balance_sheet_quarter[Company Name]) = LOWER(balance_sheet_quarter_filter!$B$2), ROW(balance_sheet_quarter[Company Name]) - ROW(INDEX(balance_sheet_quarter[Company Name], 1, 1)) + 1), ROW(32:32)), COLUMN(L:L)), "")</f>
        <v>0</v>
      </c>
      <c r="N34" s="14">
        <f t="array" ref="N34">IFERROR(INDEX(balance_sheet_quarter[#All], SMALL(IF(LOWER(balance_sheet_quarter[Company Name]) = LOWER(balance_sheet_quarter_filter!$B$2), ROW(balance_sheet_quarter[Company Name]) - ROW(INDEX(balance_sheet_quarter[Company Name], 1, 1)) + 1), ROW(32:32)), COLUMN(M:M)), "")</f>
        <v>0</v>
      </c>
      <c r="O34" s="14">
        <f t="array" ref="O34">IFERROR(INDEX(balance_sheet_quarter[#All], SMALL(IF(LOWER(balance_sheet_quarter[Company Name]) = LOWER(balance_sheet_quarter_filter!$B$2), ROW(balance_sheet_quarter[Company Name]) - ROW(INDEX(balance_sheet_quarter[Company Name], 1, 1)) + 1), ROW(32:32)), COLUMN(N:N)), "")</f>
        <v>0</v>
      </c>
      <c r="P34" s="14">
        <f t="array" ref="P34">IFERROR(INDEX(balance_sheet_quarter[#All], SMALL(IF(LOWER(balance_sheet_quarter[Company Name]) = LOWER(balance_sheet_quarter_filter!$B$2), ROW(balance_sheet_quarter[Company Name]) - ROW(INDEX(balance_sheet_quarter[Company Name], 1, 1)) + 1), ROW(32:32)), COLUMN(O:O)), "")</f>
        <v>0</v>
      </c>
    </row>
    <row r="35" spans="3:16" x14ac:dyDescent="0.35">
      <c r="C35" t="str">
        <f t="array" ref="C35">IFERROR(INDEX(balance_sheet_quarter[#All], SMALL(IF(LOWER(balance_sheet_quarter[Company Name]) = LOWER(balance_sheet_quarter_filter!$B$2), ROW(balance_sheet_quarter[Company Name]) - ROW(INDEX(balance_sheet_quarter[Company Name], 1, 1)) + 1), ROW(33:33)), COLUMN(B:B)), "")</f>
        <v>3. Vốn kinh doanh ở đơn vị trực thuộc</v>
      </c>
      <c r="D35" s="14">
        <f t="array" ref="D35">IFERROR(INDEX(balance_sheet_quarter[#All], SMALL(IF(LOWER(balance_sheet_quarter[Company Name]) = LOWER(balance_sheet_quarter_filter!$B$2), ROW(balance_sheet_quarter[Company Name]) - ROW(INDEX(balance_sheet_quarter[Company Name], 1, 1)) + 1), ROW(33:33)), COLUMN(C:C)), "")</f>
        <v>0</v>
      </c>
      <c r="E35" s="14">
        <f t="array" ref="E35">IFERROR(INDEX(balance_sheet_quarter[#All], SMALL(IF(LOWER(balance_sheet_quarter[Company Name]) = LOWER(balance_sheet_quarter_filter!$B$2), ROW(balance_sheet_quarter[Company Name]) - ROW(INDEX(balance_sheet_quarter[Company Name], 1, 1)) + 1), ROW(33:33)), COLUMN(D:D)), "")</f>
        <v>0</v>
      </c>
      <c r="F35" s="14">
        <f t="array" ref="F35">IFERROR(INDEX(balance_sheet_quarter[#All], SMALL(IF(LOWER(balance_sheet_quarter[Company Name]) = LOWER(balance_sheet_quarter_filter!$B$2), ROW(balance_sheet_quarter[Company Name]) - ROW(INDEX(balance_sheet_quarter[Company Name], 1, 1)) + 1), ROW(33:33)), COLUMN(E:E)), "")</f>
        <v>0</v>
      </c>
      <c r="G35" s="14">
        <f t="array" ref="G35">IFERROR(INDEX(balance_sheet_quarter[#All], SMALL(IF(LOWER(balance_sheet_quarter[Company Name]) = LOWER(balance_sheet_quarter_filter!$B$2), ROW(balance_sheet_quarter[Company Name]) - ROW(INDEX(balance_sheet_quarter[Company Name], 1, 1)) + 1), ROW(33:33)), COLUMN(F:F)), "")</f>
        <v>0</v>
      </c>
      <c r="H35" s="14">
        <f t="array" ref="H35">IFERROR(INDEX(balance_sheet_quarter[#All], SMALL(IF(LOWER(balance_sheet_quarter[Company Name]) = LOWER(balance_sheet_quarter_filter!$B$2), ROW(balance_sheet_quarter[Company Name]) - ROW(INDEX(balance_sheet_quarter[Company Name], 1, 1)) + 1), ROW(33:33)), COLUMN(G:G)), "")</f>
        <v>0</v>
      </c>
      <c r="I35" s="14">
        <f t="array" ref="I35">IFERROR(INDEX(balance_sheet_quarter[#All], SMALL(IF(LOWER(balance_sheet_quarter[Company Name]) = LOWER(balance_sheet_quarter_filter!$B$2), ROW(balance_sheet_quarter[Company Name]) - ROW(INDEX(balance_sheet_quarter[Company Name], 1, 1)) + 1), ROW(33:33)), COLUMN(H:H)), "")</f>
        <v>0</v>
      </c>
      <c r="J35" s="14">
        <f t="array" ref="J35">IFERROR(INDEX(balance_sheet_quarter[#All], SMALL(IF(LOWER(balance_sheet_quarter[Company Name]) = LOWER(balance_sheet_quarter_filter!$B$2), ROW(balance_sheet_quarter[Company Name]) - ROW(INDEX(balance_sheet_quarter[Company Name], 1, 1)) + 1), ROW(33:33)), COLUMN(I:I)), "")</f>
        <v>0</v>
      </c>
      <c r="K35" s="14">
        <f t="array" ref="K35">IFERROR(INDEX(balance_sheet_quarter[#All], SMALL(IF(LOWER(balance_sheet_quarter[Company Name]) = LOWER(balance_sheet_quarter_filter!$B$2), ROW(balance_sheet_quarter[Company Name]) - ROW(INDEX(balance_sheet_quarter[Company Name], 1, 1)) + 1), ROW(33:33)), COLUMN(J:J)), "")</f>
        <v>0</v>
      </c>
      <c r="L35" s="14">
        <f t="array" ref="L35">IFERROR(INDEX(balance_sheet_quarter[#All], SMALL(IF(LOWER(balance_sheet_quarter[Company Name]) = LOWER(balance_sheet_quarter_filter!$B$2), ROW(balance_sheet_quarter[Company Name]) - ROW(INDEX(balance_sheet_quarter[Company Name], 1, 1)) + 1), ROW(33:33)), COLUMN(K:K)), "")</f>
        <v>0</v>
      </c>
      <c r="M35" s="14">
        <f t="array" ref="M35">IFERROR(INDEX(balance_sheet_quarter[#All], SMALL(IF(LOWER(balance_sheet_quarter[Company Name]) = LOWER(balance_sheet_quarter_filter!$B$2), ROW(balance_sheet_quarter[Company Name]) - ROW(INDEX(balance_sheet_quarter[Company Name], 1, 1)) + 1), ROW(33:33)), COLUMN(L:L)), "")</f>
        <v>0</v>
      </c>
      <c r="N35" s="14">
        <f t="array" ref="N35">IFERROR(INDEX(balance_sheet_quarter[#All], SMALL(IF(LOWER(balance_sheet_quarter[Company Name]) = LOWER(balance_sheet_quarter_filter!$B$2), ROW(balance_sheet_quarter[Company Name]) - ROW(INDEX(balance_sheet_quarter[Company Name], 1, 1)) + 1), ROW(33:33)), COLUMN(M:M)), "")</f>
        <v>0</v>
      </c>
      <c r="O35" s="14">
        <f t="array" ref="O35">IFERROR(INDEX(balance_sheet_quarter[#All], SMALL(IF(LOWER(balance_sheet_quarter[Company Name]) = LOWER(balance_sheet_quarter_filter!$B$2), ROW(balance_sheet_quarter[Company Name]) - ROW(INDEX(balance_sheet_quarter[Company Name], 1, 1)) + 1), ROW(33:33)), COLUMN(N:N)), "")</f>
        <v>0</v>
      </c>
      <c r="P35" s="14">
        <f t="array" ref="P35">IFERROR(INDEX(balance_sheet_quarter[#All], SMALL(IF(LOWER(balance_sheet_quarter[Company Name]) = LOWER(balance_sheet_quarter_filter!$B$2), ROW(balance_sheet_quarter[Company Name]) - ROW(INDEX(balance_sheet_quarter[Company Name], 1, 1)) + 1), ROW(33:33)), COLUMN(O:O)), "")</f>
        <v>0</v>
      </c>
    </row>
    <row r="36" spans="3:16" x14ac:dyDescent="0.35">
      <c r="C36" t="str">
        <f t="array" ref="C36">IFERROR(INDEX(balance_sheet_quarter[#All], SMALL(IF(LOWER(balance_sheet_quarter[Company Name]) = LOWER(balance_sheet_quarter_filter!$B$2), ROW(balance_sheet_quarter[Company Name]) - ROW(INDEX(balance_sheet_quarter[Company Name], 1, 1)) + 1), ROW(34:34)), COLUMN(B:B)), "")</f>
        <v>4. Phải thu nội bộ dài hạn</v>
      </c>
      <c r="D36" s="14">
        <f t="array" ref="D36">IFERROR(INDEX(balance_sheet_quarter[#All], SMALL(IF(LOWER(balance_sheet_quarter[Company Name]) = LOWER(balance_sheet_quarter_filter!$B$2), ROW(balance_sheet_quarter[Company Name]) - ROW(INDEX(balance_sheet_quarter[Company Name], 1, 1)) + 1), ROW(34:34)), COLUMN(C:C)), "")</f>
        <v>0</v>
      </c>
      <c r="E36" s="14">
        <f t="array" ref="E36">IFERROR(INDEX(balance_sheet_quarter[#All], SMALL(IF(LOWER(balance_sheet_quarter[Company Name]) = LOWER(balance_sheet_quarter_filter!$B$2), ROW(balance_sheet_quarter[Company Name]) - ROW(INDEX(balance_sheet_quarter[Company Name], 1, 1)) + 1), ROW(34:34)), COLUMN(D:D)), "")</f>
        <v>0</v>
      </c>
      <c r="F36" s="14">
        <f t="array" ref="F36">IFERROR(INDEX(balance_sheet_quarter[#All], SMALL(IF(LOWER(balance_sheet_quarter[Company Name]) = LOWER(balance_sheet_quarter_filter!$B$2), ROW(balance_sheet_quarter[Company Name]) - ROW(INDEX(balance_sheet_quarter[Company Name], 1, 1)) + 1), ROW(34:34)), COLUMN(E:E)), "")</f>
        <v>0</v>
      </c>
      <c r="G36" s="14">
        <f t="array" ref="G36">IFERROR(INDEX(balance_sheet_quarter[#All], SMALL(IF(LOWER(balance_sheet_quarter[Company Name]) = LOWER(balance_sheet_quarter_filter!$B$2), ROW(balance_sheet_quarter[Company Name]) - ROW(INDEX(balance_sheet_quarter[Company Name], 1, 1)) + 1), ROW(34:34)), COLUMN(F:F)), "")</f>
        <v>0</v>
      </c>
      <c r="H36" s="14">
        <f t="array" ref="H36">IFERROR(INDEX(balance_sheet_quarter[#All], SMALL(IF(LOWER(balance_sheet_quarter[Company Name]) = LOWER(balance_sheet_quarter_filter!$B$2), ROW(balance_sheet_quarter[Company Name]) - ROW(INDEX(balance_sheet_quarter[Company Name], 1, 1)) + 1), ROW(34:34)), COLUMN(G:G)), "")</f>
        <v>0</v>
      </c>
      <c r="I36" s="14">
        <f t="array" ref="I36">IFERROR(INDEX(balance_sheet_quarter[#All], SMALL(IF(LOWER(balance_sheet_quarter[Company Name]) = LOWER(balance_sheet_quarter_filter!$B$2), ROW(balance_sheet_quarter[Company Name]) - ROW(INDEX(balance_sheet_quarter[Company Name], 1, 1)) + 1), ROW(34:34)), COLUMN(H:H)), "")</f>
        <v>0</v>
      </c>
      <c r="J36" s="14">
        <f t="array" ref="J36">IFERROR(INDEX(balance_sheet_quarter[#All], SMALL(IF(LOWER(balance_sheet_quarter[Company Name]) = LOWER(balance_sheet_quarter_filter!$B$2), ROW(balance_sheet_quarter[Company Name]) - ROW(INDEX(balance_sheet_quarter[Company Name], 1, 1)) + 1), ROW(34:34)), COLUMN(I:I)), "")</f>
        <v>0</v>
      </c>
      <c r="K36" s="14">
        <f t="array" ref="K36">IFERROR(INDEX(balance_sheet_quarter[#All], SMALL(IF(LOWER(balance_sheet_quarter[Company Name]) = LOWER(balance_sheet_quarter_filter!$B$2), ROW(balance_sheet_quarter[Company Name]) - ROW(INDEX(balance_sheet_quarter[Company Name], 1, 1)) + 1), ROW(34:34)), COLUMN(J:J)), "")</f>
        <v>0</v>
      </c>
      <c r="L36" s="14">
        <f t="array" ref="L36">IFERROR(INDEX(balance_sheet_quarter[#All], SMALL(IF(LOWER(balance_sheet_quarter[Company Name]) = LOWER(balance_sheet_quarter_filter!$B$2), ROW(balance_sheet_quarter[Company Name]) - ROW(INDEX(balance_sheet_quarter[Company Name], 1, 1)) + 1), ROW(34:34)), COLUMN(K:K)), "")</f>
        <v>0</v>
      </c>
      <c r="M36" s="14">
        <f t="array" ref="M36">IFERROR(INDEX(balance_sheet_quarter[#All], SMALL(IF(LOWER(balance_sheet_quarter[Company Name]) = LOWER(balance_sheet_quarter_filter!$B$2), ROW(balance_sheet_quarter[Company Name]) - ROW(INDEX(balance_sheet_quarter[Company Name], 1, 1)) + 1), ROW(34:34)), COLUMN(L:L)), "")</f>
        <v>0</v>
      </c>
      <c r="N36" s="14">
        <f t="array" ref="N36">IFERROR(INDEX(balance_sheet_quarter[#All], SMALL(IF(LOWER(balance_sheet_quarter[Company Name]) = LOWER(balance_sheet_quarter_filter!$B$2), ROW(balance_sheet_quarter[Company Name]) - ROW(INDEX(balance_sheet_quarter[Company Name], 1, 1)) + 1), ROW(34:34)), COLUMN(M:M)), "")</f>
        <v>0</v>
      </c>
      <c r="O36" s="14">
        <f t="array" ref="O36">IFERROR(INDEX(balance_sheet_quarter[#All], SMALL(IF(LOWER(balance_sheet_quarter[Company Name]) = LOWER(balance_sheet_quarter_filter!$B$2), ROW(balance_sheet_quarter[Company Name]) - ROW(INDEX(balance_sheet_quarter[Company Name], 1, 1)) + 1), ROW(34:34)), COLUMN(N:N)), "")</f>
        <v>0</v>
      </c>
      <c r="P36" s="14">
        <f t="array" ref="P36">IFERROR(INDEX(balance_sheet_quarter[#All], SMALL(IF(LOWER(balance_sheet_quarter[Company Name]) = LOWER(balance_sheet_quarter_filter!$B$2), ROW(balance_sheet_quarter[Company Name]) - ROW(INDEX(balance_sheet_quarter[Company Name], 1, 1)) + 1), ROW(34:34)), COLUMN(O:O)), "")</f>
        <v>0</v>
      </c>
    </row>
    <row r="37" spans="3:16" x14ac:dyDescent="0.35">
      <c r="C37" t="str">
        <f t="array" ref="C37">IFERROR(INDEX(balance_sheet_quarter[#All], SMALL(IF(LOWER(balance_sheet_quarter[Company Name]) = LOWER(balance_sheet_quarter_filter!$B$2), ROW(balance_sheet_quarter[Company Name]) - ROW(INDEX(balance_sheet_quarter[Company Name], 1, 1)) + 1), ROW(35:35)), COLUMN(B:B)), "")</f>
        <v>5. Phải thu về cho vay dài hạn</v>
      </c>
      <c r="D37" s="14">
        <f t="array" ref="D37">IFERROR(INDEX(balance_sheet_quarter[#All], SMALL(IF(LOWER(balance_sheet_quarter[Company Name]) = LOWER(balance_sheet_quarter_filter!$B$2), ROW(balance_sheet_quarter[Company Name]) - ROW(INDEX(balance_sheet_quarter[Company Name], 1, 1)) + 1), ROW(35:35)), COLUMN(C:C)), "")</f>
        <v>0</v>
      </c>
      <c r="E37" s="14">
        <f t="array" ref="E37">IFERROR(INDEX(balance_sheet_quarter[#All], SMALL(IF(LOWER(balance_sheet_quarter[Company Name]) = LOWER(balance_sheet_quarter_filter!$B$2), ROW(balance_sheet_quarter[Company Name]) - ROW(INDEX(balance_sheet_quarter[Company Name], 1, 1)) + 1), ROW(35:35)), COLUMN(D:D)), "")</f>
        <v>0</v>
      </c>
      <c r="F37" s="14">
        <f t="array" ref="F37">IFERROR(INDEX(balance_sheet_quarter[#All], SMALL(IF(LOWER(balance_sheet_quarter[Company Name]) = LOWER(balance_sheet_quarter_filter!$B$2), ROW(balance_sheet_quarter[Company Name]) - ROW(INDEX(balance_sheet_quarter[Company Name], 1, 1)) + 1), ROW(35:35)), COLUMN(E:E)), "")</f>
        <v>0</v>
      </c>
      <c r="G37" s="14">
        <f t="array" ref="G37">IFERROR(INDEX(balance_sheet_quarter[#All], SMALL(IF(LOWER(balance_sheet_quarter[Company Name]) = LOWER(balance_sheet_quarter_filter!$B$2), ROW(balance_sheet_quarter[Company Name]) - ROW(INDEX(balance_sheet_quarter[Company Name], 1, 1)) + 1), ROW(35:35)), COLUMN(F:F)), "")</f>
        <v>0</v>
      </c>
      <c r="H37" s="14">
        <f t="array" ref="H37">IFERROR(INDEX(balance_sheet_quarter[#All], SMALL(IF(LOWER(balance_sheet_quarter[Company Name]) = LOWER(balance_sheet_quarter_filter!$B$2), ROW(balance_sheet_quarter[Company Name]) - ROW(INDEX(balance_sheet_quarter[Company Name], 1, 1)) + 1), ROW(35:35)), COLUMN(G:G)), "")</f>
        <v>0</v>
      </c>
      <c r="I37" s="14">
        <f t="array" ref="I37">IFERROR(INDEX(balance_sheet_quarter[#All], SMALL(IF(LOWER(balance_sheet_quarter[Company Name]) = LOWER(balance_sheet_quarter_filter!$B$2), ROW(balance_sheet_quarter[Company Name]) - ROW(INDEX(balance_sheet_quarter[Company Name], 1, 1)) + 1), ROW(35:35)), COLUMN(H:H)), "")</f>
        <v>0</v>
      </c>
      <c r="J37" s="14">
        <f t="array" ref="J37">IFERROR(INDEX(balance_sheet_quarter[#All], SMALL(IF(LOWER(balance_sheet_quarter[Company Name]) = LOWER(balance_sheet_quarter_filter!$B$2), ROW(balance_sheet_quarter[Company Name]) - ROW(INDEX(balance_sheet_quarter[Company Name], 1, 1)) + 1), ROW(35:35)), COLUMN(I:I)), "")</f>
        <v>0</v>
      </c>
      <c r="K37" s="14">
        <f t="array" ref="K37">IFERROR(INDEX(balance_sheet_quarter[#All], SMALL(IF(LOWER(balance_sheet_quarter[Company Name]) = LOWER(balance_sheet_quarter_filter!$B$2), ROW(balance_sheet_quarter[Company Name]) - ROW(INDEX(balance_sheet_quarter[Company Name], 1, 1)) + 1), ROW(35:35)), COLUMN(J:J)), "")</f>
        <v>0</v>
      </c>
      <c r="L37" s="14">
        <f t="array" ref="L37">IFERROR(INDEX(balance_sheet_quarter[#All], SMALL(IF(LOWER(balance_sheet_quarter[Company Name]) = LOWER(balance_sheet_quarter_filter!$B$2), ROW(balance_sheet_quarter[Company Name]) - ROW(INDEX(balance_sheet_quarter[Company Name], 1, 1)) + 1), ROW(35:35)), COLUMN(K:K)), "")</f>
        <v>0</v>
      </c>
      <c r="M37" s="14">
        <f t="array" ref="M37">IFERROR(INDEX(balance_sheet_quarter[#All], SMALL(IF(LOWER(balance_sheet_quarter[Company Name]) = LOWER(balance_sheet_quarter_filter!$B$2), ROW(balance_sheet_quarter[Company Name]) - ROW(INDEX(balance_sheet_quarter[Company Name], 1, 1)) + 1), ROW(35:35)), COLUMN(L:L)), "")</f>
        <v>0</v>
      </c>
      <c r="N37" s="14">
        <f t="array" ref="N37">IFERROR(INDEX(balance_sheet_quarter[#All], SMALL(IF(LOWER(balance_sheet_quarter[Company Name]) = LOWER(balance_sheet_quarter_filter!$B$2), ROW(balance_sheet_quarter[Company Name]) - ROW(INDEX(balance_sheet_quarter[Company Name], 1, 1)) + 1), ROW(35:35)), COLUMN(M:M)), "")</f>
        <v>0</v>
      </c>
      <c r="O37" s="14">
        <f t="array" ref="O37">IFERROR(INDEX(balance_sheet_quarter[#All], SMALL(IF(LOWER(balance_sheet_quarter[Company Name]) = LOWER(balance_sheet_quarter_filter!$B$2), ROW(balance_sheet_quarter[Company Name]) - ROW(INDEX(balance_sheet_quarter[Company Name], 1, 1)) + 1), ROW(35:35)), COLUMN(N:N)), "")</f>
        <v>0</v>
      </c>
      <c r="P37" s="14">
        <f t="array" ref="P37">IFERROR(INDEX(balance_sheet_quarter[#All], SMALL(IF(LOWER(balance_sheet_quarter[Company Name]) = LOWER(balance_sheet_quarter_filter!$B$2), ROW(balance_sheet_quarter[Company Name]) - ROW(INDEX(balance_sheet_quarter[Company Name], 1, 1)) + 1), ROW(35:35)), COLUMN(O:O)), "")</f>
        <v>0</v>
      </c>
    </row>
    <row r="38" spans="3:16" x14ac:dyDescent="0.35">
      <c r="C38" t="str">
        <f t="array" ref="C38">IFERROR(INDEX(balance_sheet_quarter[#All], SMALL(IF(LOWER(balance_sheet_quarter[Company Name]) = LOWER(balance_sheet_quarter_filter!$B$2), ROW(balance_sheet_quarter[Company Name]) - ROW(INDEX(balance_sheet_quarter[Company Name], 1, 1)) + 1), ROW(36:36)), COLUMN(B:B)), "")</f>
        <v>6. Phải thu dài hạn khác</v>
      </c>
      <c r="D38" s="14">
        <f t="array" ref="D38">IFERROR(INDEX(balance_sheet_quarter[#All], SMALL(IF(LOWER(balance_sheet_quarter[Company Name]) = LOWER(balance_sheet_quarter_filter!$B$2), ROW(balance_sheet_quarter[Company Name]) - ROW(INDEX(balance_sheet_quarter[Company Name], 1, 1)) + 1), ROW(36:36)), COLUMN(C:C)), "")</f>
        <v>0</v>
      </c>
      <c r="E38" s="14">
        <f t="array" ref="E38">IFERROR(INDEX(balance_sheet_quarter[#All], SMALL(IF(LOWER(balance_sheet_quarter[Company Name]) = LOWER(balance_sheet_quarter_filter!$B$2), ROW(balance_sheet_quarter[Company Name]) - ROW(INDEX(balance_sheet_quarter[Company Name], 1, 1)) + 1), ROW(36:36)), COLUMN(D:D)), "")</f>
        <v>0</v>
      </c>
      <c r="F38" s="14">
        <f t="array" ref="F38">IFERROR(INDEX(balance_sheet_quarter[#All], SMALL(IF(LOWER(balance_sheet_quarter[Company Name]) = LOWER(balance_sheet_quarter_filter!$B$2), ROW(balance_sheet_quarter[Company Name]) - ROW(INDEX(balance_sheet_quarter[Company Name], 1, 1)) + 1), ROW(36:36)), COLUMN(E:E)), "")</f>
        <v>0</v>
      </c>
      <c r="G38" s="14">
        <f t="array" ref="G38">IFERROR(INDEX(balance_sheet_quarter[#All], SMALL(IF(LOWER(balance_sheet_quarter[Company Name]) = LOWER(balance_sheet_quarter_filter!$B$2), ROW(balance_sheet_quarter[Company Name]) - ROW(INDEX(balance_sheet_quarter[Company Name], 1, 1)) + 1), ROW(36:36)), COLUMN(F:F)), "")</f>
        <v>0</v>
      </c>
      <c r="H38" s="14">
        <f t="array" ref="H38">IFERROR(INDEX(balance_sheet_quarter[#All], SMALL(IF(LOWER(balance_sheet_quarter[Company Name]) = LOWER(balance_sheet_quarter_filter!$B$2), ROW(balance_sheet_quarter[Company Name]) - ROW(INDEX(balance_sheet_quarter[Company Name], 1, 1)) + 1), ROW(36:36)), COLUMN(G:G)), "")</f>
        <v>0</v>
      </c>
      <c r="I38" s="14">
        <f t="array" ref="I38">IFERROR(INDEX(balance_sheet_quarter[#All], SMALL(IF(LOWER(balance_sheet_quarter[Company Name]) = LOWER(balance_sheet_quarter_filter!$B$2), ROW(balance_sheet_quarter[Company Name]) - ROW(INDEX(balance_sheet_quarter[Company Name], 1, 1)) + 1), ROW(36:36)), COLUMN(H:H)), "")</f>
        <v>0</v>
      </c>
      <c r="J38" s="14">
        <f t="array" ref="J38">IFERROR(INDEX(balance_sheet_quarter[#All], SMALL(IF(LOWER(balance_sheet_quarter[Company Name]) = LOWER(balance_sheet_quarter_filter!$B$2), ROW(balance_sheet_quarter[Company Name]) - ROW(INDEX(balance_sheet_quarter[Company Name], 1, 1)) + 1), ROW(36:36)), COLUMN(I:I)), "")</f>
        <v>0</v>
      </c>
      <c r="K38" s="14">
        <f t="array" ref="K38">IFERROR(INDEX(balance_sheet_quarter[#All], SMALL(IF(LOWER(balance_sheet_quarter[Company Name]) = LOWER(balance_sheet_quarter_filter!$B$2), ROW(balance_sheet_quarter[Company Name]) - ROW(INDEX(balance_sheet_quarter[Company Name], 1, 1)) + 1), ROW(36:36)), COLUMN(J:J)), "")</f>
        <v>0</v>
      </c>
      <c r="L38" s="14">
        <f t="array" ref="L38">IFERROR(INDEX(balance_sheet_quarter[#All], SMALL(IF(LOWER(balance_sheet_quarter[Company Name]) = LOWER(balance_sheet_quarter_filter!$B$2), ROW(balance_sheet_quarter[Company Name]) - ROW(INDEX(balance_sheet_quarter[Company Name], 1, 1)) + 1), ROW(36:36)), COLUMN(K:K)), "")</f>
        <v>0</v>
      </c>
      <c r="M38" s="14">
        <f t="array" ref="M38">IFERROR(INDEX(balance_sheet_quarter[#All], SMALL(IF(LOWER(balance_sheet_quarter[Company Name]) = LOWER(balance_sheet_quarter_filter!$B$2), ROW(balance_sheet_quarter[Company Name]) - ROW(INDEX(balance_sheet_quarter[Company Name], 1, 1)) + 1), ROW(36:36)), COLUMN(L:L)), "")</f>
        <v>0</v>
      </c>
      <c r="N38" s="14">
        <f t="array" ref="N38">IFERROR(INDEX(balance_sheet_quarter[#All], SMALL(IF(LOWER(balance_sheet_quarter[Company Name]) = LOWER(balance_sheet_quarter_filter!$B$2), ROW(balance_sheet_quarter[Company Name]) - ROW(INDEX(balance_sheet_quarter[Company Name], 1, 1)) + 1), ROW(36:36)), COLUMN(M:M)), "")</f>
        <v>0</v>
      </c>
      <c r="O38" s="14">
        <f t="array" ref="O38">IFERROR(INDEX(balance_sheet_quarter[#All], SMALL(IF(LOWER(balance_sheet_quarter[Company Name]) = LOWER(balance_sheet_quarter_filter!$B$2), ROW(balance_sheet_quarter[Company Name]) - ROW(INDEX(balance_sheet_quarter[Company Name], 1, 1)) + 1), ROW(36:36)), COLUMN(N:N)), "")</f>
        <v>0</v>
      </c>
      <c r="P38" s="14">
        <f t="array" ref="P38">IFERROR(INDEX(balance_sheet_quarter[#All], SMALL(IF(LOWER(balance_sheet_quarter[Company Name]) = LOWER(balance_sheet_quarter_filter!$B$2), ROW(balance_sheet_quarter[Company Name]) - ROW(INDEX(balance_sheet_quarter[Company Name], 1, 1)) + 1), ROW(36:36)), COLUMN(O:O)), "")</f>
        <v>0</v>
      </c>
    </row>
    <row r="39" spans="3:16" x14ac:dyDescent="0.35">
      <c r="C39" t="str">
        <f t="array" ref="C39">IFERROR(INDEX(balance_sheet_quarter[#All], SMALL(IF(LOWER(balance_sheet_quarter[Company Name]) = LOWER(balance_sheet_quarter_filter!$B$2), ROW(balance_sheet_quarter[Company Name]) - ROW(INDEX(balance_sheet_quarter[Company Name], 1, 1)) + 1), ROW(37:37)), COLUMN(B:B)), "")</f>
        <v>7. Dự phòng phải thu dài hạn khó đòi</v>
      </c>
      <c r="D39" s="14">
        <f t="array" ref="D39">IFERROR(INDEX(balance_sheet_quarter[#All], SMALL(IF(LOWER(balance_sheet_quarter[Company Name]) = LOWER(balance_sheet_quarter_filter!$B$2), ROW(balance_sheet_quarter[Company Name]) - ROW(INDEX(balance_sheet_quarter[Company Name], 1, 1)) + 1), ROW(37:37)), COLUMN(C:C)), "")</f>
        <v>0</v>
      </c>
      <c r="E39" s="14">
        <f t="array" ref="E39">IFERROR(INDEX(balance_sheet_quarter[#All], SMALL(IF(LOWER(balance_sheet_quarter[Company Name]) = LOWER(balance_sheet_quarter_filter!$B$2), ROW(balance_sheet_quarter[Company Name]) - ROW(INDEX(balance_sheet_quarter[Company Name], 1, 1)) + 1), ROW(37:37)), COLUMN(D:D)), "")</f>
        <v>0</v>
      </c>
      <c r="F39" s="14">
        <f t="array" ref="F39">IFERROR(INDEX(balance_sheet_quarter[#All], SMALL(IF(LOWER(balance_sheet_quarter[Company Name]) = LOWER(balance_sheet_quarter_filter!$B$2), ROW(balance_sheet_quarter[Company Name]) - ROW(INDEX(balance_sheet_quarter[Company Name], 1, 1)) + 1), ROW(37:37)), COLUMN(E:E)), "")</f>
        <v>0</v>
      </c>
      <c r="G39" s="14">
        <f t="array" ref="G39">IFERROR(INDEX(balance_sheet_quarter[#All], SMALL(IF(LOWER(balance_sheet_quarter[Company Name]) = LOWER(balance_sheet_quarter_filter!$B$2), ROW(balance_sheet_quarter[Company Name]) - ROW(INDEX(balance_sheet_quarter[Company Name], 1, 1)) + 1), ROW(37:37)), COLUMN(F:F)), "")</f>
        <v>0</v>
      </c>
      <c r="H39" s="14">
        <f t="array" ref="H39">IFERROR(INDEX(balance_sheet_quarter[#All], SMALL(IF(LOWER(balance_sheet_quarter[Company Name]) = LOWER(balance_sheet_quarter_filter!$B$2), ROW(balance_sheet_quarter[Company Name]) - ROW(INDEX(balance_sheet_quarter[Company Name], 1, 1)) + 1), ROW(37:37)), COLUMN(G:G)), "")</f>
        <v>0</v>
      </c>
      <c r="I39" s="14">
        <f t="array" ref="I39">IFERROR(INDEX(balance_sheet_quarter[#All], SMALL(IF(LOWER(balance_sheet_quarter[Company Name]) = LOWER(balance_sheet_quarter_filter!$B$2), ROW(balance_sheet_quarter[Company Name]) - ROW(INDEX(balance_sheet_quarter[Company Name], 1, 1)) + 1), ROW(37:37)), COLUMN(H:H)), "")</f>
        <v>0</v>
      </c>
      <c r="J39" s="14">
        <f t="array" ref="J39">IFERROR(INDEX(balance_sheet_quarter[#All], SMALL(IF(LOWER(balance_sheet_quarter[Company Name]) = LOWER(balance_sheet_quarter_filter!$B$2), ROW(balance_sheet_quarter[Company Name]) - ROW(INDEX(balance_sheet_quarter[Company Name], 1, 1)) + 1), ROW(37:37)), COLUMN(I:I)), "")</f>
        <v>0</v>
      </c>
      <c r="K39" s="14">
        <f t="array" ref="K39">IFERROR(INDEX(balance_sheet_quarter[#All], SMALL(IF(LOWER(balance_sheet_quarter[Company Name]) = LOWER(balance_sheet_quarter_filter!$B$2), ROW(balance_sheet_quarter[Company Name]) - ROW(INDEX(balance_sheet_quarter[Company Name], 1, 1)) + 1), ROW(37:37)), COLUMN(J:J)), "")</f>
        <v>0</v>
      </c>
      <c r="L39" s="14">
        <f t="array" ref="L39">IFERROR(INDEX(balance_sheet_quarter[#All], SMALL(IF(LOWER(balance_sheet_quarter[Company Name]) = LOWER(balance_sheet_quarter_filter!$B$2), ROW(balance_sheet_quarter[Company Name]) - ROW(INDEX(balance_sheet_quarter[Company Name], 1, 1)) + 1), ROW(37:37)), COLUMN(K:K)), "")</f>
        <v>0</v>
      </c>
      <c r="M39" s="14">
        <f t="array" ref="M39">IFERROR(INDEX(balance_sheet_quarter[#All], SMALL(IF(LOWER(balance_sheet_quarter[Company Name]) = LOWER(balance_sheet_quarter_filter!$B$2), ROW(balance_sheet_quarter[Company Name]) - ROW(INDEX(balance_sheet_quarter[Company Name], 1, 1)) + 1), ROW(37:37)), COLUMN(L:L)), "")</f>
        <v>0</v>
      </c>
      <c r="N39" s="14">
        <f t="array" ref="N39">IFERROR(INDEX(balance_sheet_quarter[#All], SMALL(IF(LOWER(balance_sheet_quarter[Company Name]) = LOWER(balance_sheet_quarter_filter!$B$2), ROW(balance_sheet_quarter[Company Name]) - ROW(INDEX(balance_sheet_quarter[Company Name], 1, 1)) + 1), ROW(37:37)), COLUMN(M:M)), "")</f>
        <v>0</v>
      </c>
      <c r="O39" s="14">
        <f t="array" ref="O39">IFERROR(INDEX(balance_sheet_quarter[#All], SMALL(IF(LOWER(balance_sheet_quarter[Company Name]) = LOWER(balance_sheet_quarter_filter!$B$2), ROW(balance_sheet_quarter[Company Name]) - ROW(INDEX(balance_sheet_quarter[Company Name], 1, 1)) + 1), ROW(37:37)), COLUMN(N:N)), "")</f>
        <v>0</v>
      </c>
      <c r="P39" s="14">
        <f t="array" ref="P39">IFERROR(INDEX(balance_sheet_quarter[#All], SMALL(IF(LOWER(balance_sheet_quarter[Company Name]) = LOWER(balance_sheet_quarter_filter!$B$2), ROW(balance_sheet_quarter[Company Name]) - ROW(INDEX(balance_sheet_quarter[Company Name], 1, 1)) + 1), ROW(37:37)), COLUMN(O:O)), "")</f>
        <v>0</v>
      </c>
    </row>
    <row r="40" spans="3:16" x14ac:dyDescent="0.35">
      <c r="C40" t="str">
        <f t="array" ref="C40">IFERROR(INDEX(balance_sheet_quarter[#All], SMALL(IF(LOWER(balance_sheet_quarter[Company Name]) = LOWER(balance_sheet_quarter_filter!$B$2), ROW(balance_sheet_quarter[Company Name]) - ROW(INDEX(balance_sheet_quarter[Company Name], 1, 1)) + 1), ROW(38:38)), COLUMN(B:B)), "")</f>
        <v>II.Tài sản cố định</v>
      </c>
      <c r="D40" s="14">
        <f t="array" ref="D40">IFERROR(INDEX(balance_sheet_quarter[#All], SMALL(IF(LOWER(balance_sheet_quarter[Company Name]) = LOWER(balance_sheet_quarter_filter!$B$2), ROW(balance_sheet_quarter[Company Name]) - ROW(INDEX(balance_sheet_quarter[Company Name], 1, 1)) + 1), ROW(38:38)), COLUMN(C:C)), "")</f>
        <v>2715638135764</v>
      </c>
      <c r="E40" s="14">
        <f t="array" ref="E40">IFERROR(INDEX(balance_sheet_quarter[#All], SMALL(IF(LOWER(balance_sheet_quarter[Company Name]) = LOWER(balance_sheet_quarter_filter!$B$2), ROW(balance_sheet_quarter[Company Name]) - ROW(INDEX(balance_sheet_quarter[Company Name], 1, 1)) + 1), ROW(38:38)), COLUMN(D:D)), "")</f>
        <v>3656929177860</v>
      </c>
      <c r="F40" s="14">
        <f t="array" ref="F40">IFERROR(INDEX(balance_sheet_quarter[#All], SMALL(IF(LOWER(balance_sheet_quarter[Company Name]) = LOWER(balance_sheet_quarter_filter!$B$2), ROW(balance_sheet_quarter[Company Name]) - ROW(INDEX(balance_sheet_quarter[Company Name], 1, 1)) + 1), ROW(38:38)), COLUMN(E:E)), "")</f>
        <v>4486116660214</v>
      </c>
      <c r="G40" s="14">
        <f t="array" ref="G40">IFERROR(INDEX(balance_sheet_quarter[#All], SMALL(IF(LOWER(balance_sheet_quarter[Company Name]) = LOWER(balance_sheet_quarter_filter!$B$2), ROW(balance_sheet_quarter[Company Name]) - ROW(INDEX(balance_sheet_quarter[Company Name], 1, 1)) + 1), ROW(38:38)), COLUMN(F:F)), "")</f>
        <v>4434323236755</v>
      </c>
      <c r="H40" s="14">
        <f t="array" ref="H40">IFERROR(INDEX(balance_sheet_quarter[#All], SMALL(IF(LOWER(balance_sheet_quarter[Company Name]) = LOWER(balance_sheet_quarter_filter!$B$2), ROW(balance_sheet_quarter[Company Name]) - ROW(INDEX(balance_sheet_quarter[Company Name], 1, 1)) + 1), ROW(38:38)), COLUMN(G:G)), "")</f>
        <v>4382608968297</v>
      </c>
      <c r="I40" s="14">
        <f t="array" ref="I40">IFERROR(INDEX(balance_sheet_quarter[#All], SMALL(IF(LOWER(balance_sheet_quarter[Company Name]) = LOWER(balance_sheet_quarter_filter!$B$2), ROW(balance_sheet_quarter[Company Name]) - ROW(INDEX(balance_sheet_quarter[Company Name], 1, 1)) + 1), ROW(38:38)), COLUMN(H:H)), "")</f>
        <v>4429842012439</v>
      </c>
      <c r="J40" s="14">
        <f t="array" ref="J40">IFERROR(INDEX(balance_sheet_quarter[#All], SMALL(IF(LOWER(balance_sheet_quarter[Company Name]) = LOWER(balance_sheet_quarter_filter!$B$2), ROW(balance_sheet_quarter[Company Name]) - ROW(INDEX(balance_sheet_quarter[Company Name], 1, 1)) + 1), ROW(38:38)), COLUMN(I:I)), "")</f>
        <v>4383497393430</v>
      </c>
      <c r="K40" s="14">
        <f t="array" ref="K40">IFERROR(INDEX(balance_sheet_quarter[#All], SMALL(IF(LOWER(balance_sheet_quarter[Company Name]) = LOWER(balance_sheet_quarter_filter!$B$2), ROW(balance_sheet_quarter[Company Name]) - ROW(INDEX(balance_sheet_quarter[Company Name], 1, 1)) + 1), ROW(38:38)), COLUMN(J:J)), "")</f>
        <v>4331758737782</v>
      </c>
      <c r="L40" s="14">
        <f t="array" ref="L40">IFERROR(INDEX(balance_sheet_quarter[#All], SMALL(IF(LOWER(balance_sheet_quarter[Company Name]) = LOWER(balance_sheet_quarter_filter!$B$2), ROW(balance_sheet_quarter[Company Name]) - ROW(INDEX(balance_sheet_quarter[Company Name], 1, 1)) + 1), ROW(38:38)), COLUMN(K:K)), "")</f>
        <v>4290975138843</v>
      </c>
      <c r="M40" s="14">
        <f t="array" ref="M40">IFERROR(INDEX(balance_sheet_quarter[#All], SMALL(IF(LOWER(balance_sheet_quarter[Company Name]) = LOWER(balance_sheet_quarter_filter!$B$2), ROW(balance_sheet_quarter[Company Name]) - ROW(INDEX(balance_sheet_quarter[Company Name], 1, 1)) + 1), ROW(38:38)), COLUMN(L:L)), "")</f>
        <v>4240290844108</v>
      </c>
      <c r="N40" s="14">
        <f t="array" ref="N40">IFERROR(INDEX(balance_sheet_quarter[#All], SMALL(IF(LOWER(balance_sheet_quarter[Company Name]) = LOWER(balance_sheet_quarter_filter!$B$2), ROW(balance_sheet_quarter[Company Name]) - ROW(INDEX(balance_sheet_quarter[Company Name], 1, 1)) + 1), ROW(38:38)), COLUMN(M:M)), "")</f>
        <v>4188854592942</v>
      </c>
      <c r="O40" s="14">
        <f t="array" ref="O40">IFERROR(INDEX(balance_sheet_quarter[#All], SMALL(IF(LOWER(balance_sheet_quarter[Company Name]) = LOWER(balance_sheet_quarter_filter!$B$2), ROW(balance_sheet_quarter[Company Name]) - ROW(INDEX(balance_sheet_quarter[Company Name], 1, 1)) + 1), ROW(38:38)), COLUMN(N:N)), "")</f>
        <v>4137418341776</v>
      </c>
      <c r="P40" s="14">
        <f t="array" ref="P40">IFERROR(INDEX(balance_sheet_quarter[#All], SMALL(IF(LOWER(balance_sheet_quarter[Company Name]) = LOWER(balance_sheet_quarter_filter!$B$2), ROW(balance_sheet_quarter[Company Name]) - ROW(INDEX(balance_sheet_quarter[Company Name], 1, 1)) + 1), ROW(38:38)), COLUMN(O:O)), "")</f>
        <v>4085982090610</v>
      </c>
    </row>
    <row r="41" spans="3:16" x14ac:dyDescent="0.35">
      <c r="C41" t="str">
        <f t="array" ref="C41">IFERROR(INDEX(balance_sheet_quarter[#All], SMALL(IF(LOWER(balance_sheet_quarter[Company Name]) = LOWER(balance_sheet_quarter_filter!$B$2), ROW(balance_sheet_quarter[Company Name]) - ROW(INDEX(balance_sheet_quarter[Company Name], 1, 1)) + 1), ROW(39:39)), COLUMN(B:B)), "")</f>
        <v>1. Tài sản cố định hữu hình</v>
      </c>
      <c r="D41" s="14">
        <f t="array" ref="D41">IFERROR(INDEX(balance_sheet_quarter[#All], SMALL(IF(LOWER(balance_sheet_quarter[Company Name]) = LOWER(balance_sheet_quarter_filter!$B$2), ROW(balance_sheet_quarter[Company Name]) - ROW(INDEX(balance_sheet_quarter[Company Name], 1, 1)) + 1), ROW(39:39)), COLUMN(C:C)), "")</f>
        <v>2715490408864</v>
      </c>
      <c r="E41" s="14">
        <f t="array" ref="E41">IFERROR(INDEX(balance_sheet_quarter[#All], SMALL(IF(LOWER(balance_sheet_quarter[Company Name]) = LOWER(balance_sheet_quarter_filter!$B$2), ROW(balance_sheet_quarter[Company Name]) - ROW(INDEX(balance_sheet_quarter[Company Name], 1, 1)) + 1), ROW(39:39)), COLUMN(D:D)), "")</f>
        <v>3656781450960</v>
      </c>
      <c r="F41" s="14">
        <f t="array" ref="F41">IFERROR(INDEX(balance_sheet_quarter[#All], SMALL(IF(LOWER(balance_sheet_quarter[Company Name]) = LOWER(balance_sheet_quarter_filter!$B$2), ROW(balance_sheet_quarter[Company Name]) - ROW(INDEX(balance_sheet_quarter[Company Name], 1, 1)) + 1), ROW(39:39)), COLUMN(E:E)), "")</f>
        <v>4485968933314</v>
      </c>
      <c r="G41" s="14">
        <f t="array" ref="G41">IFERROR(INDEX(balance_sheet_quarter[#All], SMALL(IF(LOWER(balance_sheet_quarter[Company Name]) = LOWER(balance_sheet_quarter_filter!$B$2), ROW(balance_sheet_quarter[Company Name]) - ROW(INDEX(balance_sheet_quarter[Company Name], 1, 1)) + 1), ROW(39:39)), COLUMN(F:F)), "")</f>
        <v>4434175509855</v>
      </c>
      <c r="H41" s="14">
        <f t="array" ref="H41">IFERROR(INDEX(balance_sheet_quarter[#All], SMALL(IF(LOWER(balance_sheet_quarter[Company Name]) = LOWER(balance_sheet_quarter_filter!$B$2), ROW(balance_sheet_quarter[Company Name]) - ROW(INDEX(balance_sheet_quarter[Company Name], 1, 1)) + 1), ROW(39:39)), COLUMN(G:G)), "")</f>
        <v>4382461241397</v>
      </c>
      <c r="I41" s="14">
        <f t="array" ref="I41">IFERROR(INDEX(balance_sheet_quarter[#All], SMALL(IF(LOWER(balance_sheet_quarter[Company Name]) = LOWER(balance_sheet_quarter_filter!$B$2), ROW(balance_sheet_quarter[Company Name]) - ROW(INDEX(balance_sheet_quarter[Company Name], 1, 1)) + 1), ROW(39:39)), COLUMN(H:H)), "")</f>
        <v>4429694285539</v>
      </c>
      <c r="J41" s="14">
        <f t="array" ref="J41">IFERROR(INDEX(balance_sheet_quarter[#All], SMALL(IF(LOWER(balance_sheet_quarter[Company Name]) = LOWER(balance_sheet_quarter_filter!$B$2), ROW(balance_sheet_quarter[Company Name]) - ROW(INDEX(balance_sheet_quarter[Company Name], 1, 1)) + 1), ROW(39:39)), COLUMN(I:I)), "")</f>
        <v>4383349666530</v>
      </c>
      <c r="K41" s="14">
        <f t="array" ref="K41">IFERROR(INDEX(balance_sheet_quarter[#All], SMALL(IF(LOWER(balance_sheet_quarter[Company Name]) = LOWER(balance_sheet_quarter_filter!$B$2), ROW(balance_sheet_quarter[Company Name]) - ROW(INDEX(balance_sheet_quarter[Company Name], 1, 1)) + 1), ROW(39:39)), COLUMN(J:J)), "")</f>
        <v>4331611010882</v>
      </c>
      <c r="L41" s="14">
        <f t="array" ref="L41">IFERROR(INDEX(balance_sheet_quarter[#All], SMALL(IF(LOWER(balance_sheet_quarter[Company Name]) = LOWER(balance_sheet_quarter_filter!$B$2), ROW(balance_sheet_quarter[Company Name]) - ROW(INDEX(balance_sheet_quarter[Company Name], 1, 1)) + 1), ROW(39:39)), COLUMN(K:K)), "")</f>
        <v>4290827411943</v>
      </c>
      <c r="M41" s="14">
        <f t="array" ref="M41">IFERROR(INDEX(balance_sheet_quarter[#All], SMALL(IF(LOWER(balance_sheet_quarter[Company Name]) = LOWER(balance_sheet_quarter_filter!$B$2), ROW(balance_sheet_quarter[Company Name]) - ROW(INDEX(balance_sheet_quarter[Company Name], 1, 1)) + 1), ROW(39:39)), COLUMN(L:L)), "")</f>
        <v>4240143117208</v>
      </c>
      <c r="N41" s="14">
        <f t="array" ref="N41">IFERROR(INDEX(balance_sheet_quarter[#All], SMALL(IF(LOWER(balance_sheet_quarter[Company Name]) = LOWER(balance_sheet_quarter_filter!$B$2), ROW(balance_sheet_quarter[Company Name]) - ROW(INDEX(balance_sheet_quarter[Company Name], 1, 1)) + 1), ROW(39:39)), COLUMN(M:M)), "")</f>
        <v>4188706866042</v>
      </c>
      <c r="O41" s="14">
        <f t="array" ref="O41">IFERROR(INDEX(balance_sheet_quarter[#All], SMALL(IF(LOWER(balance_sheet_quarter[Company Name]) = LOWER(balance_sheet_quarter_filter!$B$2), ROW(balance_sheet_quarter[Company Name]) - ROW(INDEX(balance_sheet_quarter[Company Name], 1, 1)) + 1), ROW(39:39)), COLUMN(N:N)), "")</f>
        <v>4137270614876</v>
      </c>
      <c r="P41" s="14">
        <f t="array" ref="P41">IFERROR(INDEX(balance_sheet_quarter[#All], SMALL(IF(LOWER(balance_sheet_quarter[Company Name]) = LOWER(balance_sheet_quarter_filter!$B$2), ROW(balance_sheet_quarter[Company Name]) - ROW(INDEX(balance_sheet_quarter[Company Name], 1, 1)) + 1), ROW(39:39)), COLUMN(O:O)), "")</f>
        <v>4085834363710</v>
      </c>
    </row>
    <row r="42" spans="3:16" x14ac:dyDescent="0.35">
      <c r="C42" t="str">
        <f t="array" ref="C42">IFERROR(INDEX(balance_sheet_quarter[#All], SMALL(IF(LOWER(balance_sheet_quarter[Company Name]) = LOWER(balance_sheet_quarter_filter!$B$2), ROW(balance_sheet_quarter[Company Name]) - ROW(INDEX(balance_sheet_quarter[Company Name], 1, 1)) + 1), ROW(40:40)), COLUMN(B:B)), "")</f>
        <v>- Nguyên giá</v>
      </c>
      <c r="D42" s="14">
        <f t="array" ref="D42">IFERROR(INDEX(balance_sheet_quarter[#All], SMALL(IF(LOWER(balance_sheet_quarter[Company Name]) = LOWER(balance_sheet_quarter_filter!$B$2), ROW(balance_sheet_quarter[Company Name]) - ROW(INDEX(balance_sheet_quarter[Company Name], 1, 1)) + 1), ROW(40:40)), COLUMN(C:C)), "")</f>
        <v>3080707815357</v>
      </c>
      <c r="E42" s="14">
        <f t="array" ref="E42">IFERROR(INDEX(balance_sheet_quarter[#All], SMALL(IF(LOWER(balance_sheet_quarter[Company Name]) = LOWER(balance_sheet_quarter_filter!$B$2), ROW(balance_sheet_quarter[Company Name]) - ROW(INDEX(balance_sheet_quarter[Company Name], 1, 1)) + 1), ROW(40:40)), COLUMN(D:D)), "")</f>
        <v>4060490880354</v>
      </c>
      <c r="F42" s="14">
        <f t="array" ref="F42">IFERROR(INDEX(balance_sheet_quarter[#All], SMALL(IF(LOWER(balance_sheet_quarter[Company Name]) = LOWER(balance_sheet_quarter_filter!$B$2), ROW(balance_sheet_quarter[Company Name]) - ROW(INDEX(balance_sheet_quarter[Company Name], 1, 1)) + 1), ROW(40:40)), COLUMN(E:E)), "")</f>
        <v>4940971786165</v>
      </c>
      <c r="G42" s="14">
        <f t="array" ref="G42">IFERROR(INDEX(balance_sheet_quarter[#All], SMALL(IF(LOWER(balance_sheet_quarter[Company Name]) = LOWER(balance_sheet_quarter_filter!$B$2), ROW(balance_sheet_quarter[Company Name]) - ROW(INDEX(balance_sheet_quarter[Company Name], 1, 1)) + 1), ROW(40:40)), COLUMN(F:F)), "")</f>
        <v>4940971786165</v>
      </c>
      <c r="H42" s="14">
        <f t="array" ref="H42">IFERROR(INDEX(balance_sheet_quarter[#All], SMALL(IF(LOWER(balance_sheet_quarter[Company Name]) = LOWER(balance_sheet_quarter_filter!$B$2), ROW(balance_sheet_quarter[Company Name]) - ROW(INDEX(balance_sheet_quarter[Company Name], 1, 1)) + 1), ROW(40:40)), COLUMN(G:G)), "")</f>
        <v>4941050941165</v>
      </c>
      <c r="I42" s="14">
        <f t="array" ref="I42">IFERROR(INDEX(balance_sheet_quarter[#All], SMALL(IF(LOWER(balance_sheet_quarter[Company Name]) = LOWER(balance_sheet_quarter_filter!$B$2), ROW(balance_sheet_quarter[Company Name]) - ROW(INDEX(balance_sheet_quarter[Company Name], 1, 1)) + 1), ROW(40:40)), COLUMN(H:H)), "")</f>
        <v>5040130161485</v>
      </c>
      <c r="J42" s="14">
        <f t="array" ref="J42">IFERROR(INDEX(balance_sheet_quarter[#All], SMALL(IF(LOWER(balance_sheet_quarter[Company Name]) = LOWER(balance_sheet_quarter_filter!$B$2), ROW(balance_sheet_quarter[Company Name]) - ROW(INDEX(balance_sheet_quarter[Company Name], 1, 1)) + 1), ROW(40:40)), COLUMN(I:I)), "")</f>
        <v>5044663343303</v>
      </c>
      <c r="K42" s="14">
        <f t="array" ref="K42">IFERROR(INDEX(balance_sheet_quarter[#All], SMALL(IF(LOWER(balance_sheet_quarter[Company Name]) = LOWER(balance_sheet_quarter_filter!$B$2), ROW(balance_sheet_quarter[Company Name]) - ROW(INDEX(balance_sheet_quarter[Company Name], 1, 1)) + 1), ROW(40:40)), COLUMN(J:J)), "")</f>
        <v>5044663343303</v>
      </c>
      <c r="L42" s="14">
        <f t="array" ref="L42">IFERROR(INDEX(balance_sheet_quarter[#All], SMALL(IF(LOWER(balance_sheet_quarter[Company Name]) = LOWER(balance_sheet_quarter_filter!$B$2), ROW(balance_sheet_quarter[Company Name]) - ROW(INDEX(balance_sheet_quarter[Company Name], 1, 1)) + 1), ROW(40:40)), COLUMN(K:K)), "")</f>
        <v>5055993519998</v>
      </c>
      <c r="M42" s="14">
        <f t="array" ref="M42">IFERROR(INDEX(balance_sheet_quarter[#All], SMALL(IF(LOWER(balance_sheet_quarter[Company Name]) = LOWER(balance_sheet_quarter_filter!$B$2), ROW(balance_sheet_quarter[Company Name]) - ROW(INDEX(balance_sheet_quarter[Company Name], 1, 1)) + 1), ROW(40:40)), COLUMN(L:L)), "")</f>
        <v>5055677710378</v>
      </c>
      <c r="N42" s="14">
        <f t="array" ref="N42">IFERROR(INDEX(balance_sheet_quarter[#All], SMALL(IF(LOWER(balance_sheet_quarter[Company Name]) = LOWER(balance_sheet_quarter_filter!$B$2), ROW(balance_sheet_quarter[Company Name]) - ROW(INDEX(balance_sheet_quarter[Company Name], 1, 1)) + 1), ROW(40:40)), COLUMN(M:M)), "")</f>
        <v>5055677710378</v>
      </c>
      <c r="O42" s="14">
        <f t="array" ref="O42">IFERROR(INDEX(balance_sheet_quarter[#All], SMALL(IF(LOWER(balance_sheet_quarter[Company Name]) = LOWER(balance_sheet_quarter_filter!$B$2), ROW(balance_sheet_quarter[Company Name]) - ROW(INDEX(balance_sheet_quarter[Company Name], 1, 1)) + 1), ROW(40:40)), COLUMN(N:N)), "")</f>
        <v>5055677710378</v>
      </c>
      <c r="P42" s="14">
        <f t="array" ref="P42">IFERROR(INDEX(balance_sheet_quarter[#All], SMALL(IF(LOWER(balance_sheet_quarter[Company Name]) = LOWER(balance_sheet_quarter_filter!$B$2), ROW(balance_sheet_quarter[Company Name]) - ROW(INDEX(balance_sheet_quarter[Company Name], 1, 1)) + 1), ROW(40:40)), COLUMN(O:O)), "")</f>
        <v>5055677710378</v>
      </c>
    </row>
    <row r="43" spans="3:16" x14ac:dyDescent="0.35">
      <c r="C43" t="str">
        <f t="array" ref="C43">IFERROR(INDEX(balance_sheet_quarter[#All], SMALL(IF(LOWER(balance_sheet_quarter[Company Name]) = LOWER(balance_sheet_quarter_filter!$B$2), ROW(balance_sheet_quarter[Company Name]) - ROW(INDEX(balance_sheet_quarter[Company Name], 1, 1)) + 1), ROW(41:41)), COLUMN(B:B)), "")</f>
        <v>- Giá trị hao mòn lũy kế</v>
      </c>
      <c r="D43" s="14">
        <f t="array" ref="D43">IFERROR(INDEX(balance_sheet_quarter[#All], SMALL(IF(LOWER(balance_sheet_quarter[Company Name]) = LOWER(balance_sheet_quarter_filter!$B$2), ROW(balance_sheet_quarter[Company Name]) - ROW(INDEX(balance_sheet_quarter[Company Name], 1, 1)) + 1), ROW(41:41)), COLUMN(C:C)), "")</f>
        <v>-365217406493</v>
      </c>
      <c r="E43" s="14">
        <f t="array" ref="E43">IFERROR(INDEX(balance_sheet_quarter[#All], SMALL(IF(LOWER(balance_sheet_quarter[Company Name]) = LOWER(balance_sheet_quarter_filter!$B$2), ROW(balance_sheet_quarter[Company Name]) - ROW(INDEX(balance_sheet_quarter[Company Name], 1, 1)) + 1), ROW(41:41)), COLUMN(D:D)), "")</f>
        <v>-403709429394</v>
      </c>
      <c r="F43" s="14">
        <f t="array" ref="F43">IFERROR(INDEX(balance_sheet_quarter[#All], SMALL(IF(LOWER(balance_sheet_quarter[Company Name]) = LOWER(balance_sheet_quarter_filter!$B$2), ROW(balance_sheet_quarter[Company Name]) - ROW(INDEX(balance_sheet_quarter[Company Name], 1, 1)) + 1), ROW(41:41)), COLUMN(E:E)), "")</f>
        <v>-455002852851</v>
      </c>
      <c r="G43" s="14">
        <f t="array" ref="G43">IFERROR(INDEX(balance_sheet_quarter[#All], SMALL(IF(LOWER(balance_sheet_quarter[Company Name]) = LOWER(balance_sheet_quarter_filter!$B$2), ROW(balance_sheet_quarter[Company Name]) - ROW(INDEX(balance_sheet_quarter[Company Name], 1, 1)) + 1), ROW(41:41)), COLUMN(F:F)), "")</f>
        <v>-506796276310</v>
      </c>
      <c r="H43" s="14">
        <f t="array" ref="H43">IFERROR(INDEX(balance_sheet_quarter[#All], SMALL(IF(LOWER(balance_sheet_quarter[Company Name]) = LOWER(balance_sheet_quarter_filter!$B$2), ROW(balance_sheet_quarter[Company Name]) - ROW(INDEX(balance_sheet_quarter[Company Name], 1, 1)) + 1), ROW(41:41)), COLUMN(G:G)), "")</f>
        <v>-558589699768</v>
      </c>
      <c r="I43" s="14">
        <f t="array" ref="I43">IFERROR(INDEX(balance_sheet_quarter[#All], SMALL(IF(LOWER(balance_sheet_quarter[Company Name]) = LOWER(balance_sheet_quarter_filter!$B$2), ROW(balance_sheet_quarter[Company Name]) - ROW(INDEX(balance_sheet_quarter[Company Name], 1, 1)) + 1), ROW(41:41)), COLUMN(H:H)), "")</f>
        <v>-610435875946</v>
      </c>
      <c r="J43" s="14">
        <f t="array" ref="J43">IFERROR(INDEX(balance_sheet_quarter[#All], SMALL(IF(LOWER(balance_sheet_quarter[Company Name]) = LOWER(balance_sheet_quarter_filter!$B$2), ROW(balance_sheet_quarter[Company Name]) - ROW(INDEX(balance_sheet_quarter[Company Name], 1, 1)) + 1), ROW(41:41)), COLUMN(I:I)), "")</f>
        <v>-661313676773</v>
      </c>
      <c r="K43" s="14">
        <f t="array" ref="K43">IFERROR(INDEX(balance_sheet_quarter[#All], SMALL(IF(LOWER(balance_sheet_quarter[Company Name]) = LOWER(balance_sheet_quarter_filter!$B$2), ROW(balance_sheet_quarter[Company Name]) - ROW(INDEX(balance_sheet_quarter[Company Name], 1, 1)) + 1), ROW(41:41)), COLUMN(J:J)), "")</f>
        <v>-713052332421</v>
      </c>
      <c r="L43" s="14">
        <f t="array" ref="L43">IFERROR(INDEX(balance_sheet_quarter[#All], SMALL(IF(LOWER(balance_sheet_quarter[Company Name]) = LOWER(balance_sheet_quarter_filter!$B$2), ROW(balance_sheet_quarter[Company Name]) - ROW(INDEX(balance_sheet_quarter[Company Name], 1, 1)) + 1), ROW(41:41)), COLUMN(K:K)), "")</f>
        <v>-765166108055</v>
      </c>
      <c r="M43" s="14">
        <f t="array" ref="M43">IFERROR(INDEX(balance_sheet_quarter[#All], SMALL(IF(LOWER(balance_sheet_quarter[Company Name]) = LOWER(balance_sheet_quarter_filter!$B$2), ROW(balance_sheet_quarter[Company Name]) - ROW(INDEX(balance_sheet_quarter[Company Name], 1, 1)) + 1), ROW(41:41)), COLUMN(L:L)), "")</f>
        <v>-815534593170</v>
      </c>
      <c r="N43" s="14">
        <f t="array" ref="N43">IFERROR(INDEX(balance_sheet_quarter[#All], SMALL(IF(LOWER(balance_sheet_quarter[Company Name]) = LOWER(balance_sheet_quarter_filter!$B$2), ROW(balance_sheet_quarter[Company Name]) - ROW(INDEX(balance_sheet_quarter[Company Name], 1, 1)) + 1), ROW(41:41)), COLUMN(M:M)), "")</f>
        <v>-866970844336</v>
      </c>
      <c r="O43" s="14">
        <f t="array" ref="O43">IFERROR(INDEX(balance_sheet_quarter[#All], SMALL(IF(LOWER(balance_sheet_quarter[Company Name]) = LOWER(balance_sheet_quarter_filter!$B$2), ROW(balance_sheet_quarter[Company Name]) - ROW(INDEX(balance_sheet_quarter[Company Name], 1, 1)) + 1), ROW(41:41)), COLUMN(N:N)), "")</f>
        <v>-918407095502</v>
      </c>
      <c r="P43" s="14">
        <f t="array" ref="P43">IFERROR(INDEX(balance_sheet_quarter[#All], SMALL(IF(LOWER(balance_sheet_quarter[Company Name]) = LOWER(balance_sheet_quarter_filter!$B$2), ROW(balance_sheet_quarter[Company Name]) - ROW(INDEX(balance_sheet_quarter[Company Name], 1, 1)) + 1), ROW(41:41)), COLUMN(O:O)), "")</f>
        <v>-969843346668</v>
      </c>
    </row>
    <row r="44" spans="3:16" x14ac:dyDescent="0.35">
      <c r="C44" t="str">
        <f t="array" ref="C44">IFERROR(INDEX(balance_sheet_quarter[#All], SMALL(IF(LOWER(balance_sheet_quarter[Company Name]) = LOWER(balance_sheet_quarter_filter!$B$2), ROW(balance_sheet_quarter[Company Name]) - ROW(INDEX(balance_sheet_quarter[Company Name], 1, 1)) + 1), ROW(42:42)), COLUMN(B:B)), "")</f>
        <v>2. Tài sản cố định thuê tài chính</v>
      </c>
      <c r="D44" s="14">
        <f t="array" ref="D44">IFERROR(INDEX(balance_sheet_quarter[#All], SMALL(IF(LOWER(balance_sheet_quarter[Company Name]) = LOWER(balance_sheet_quarter_filter!$B$2), ROW(balance_sheet_quarter[Company Name]) - ROW(INDEX(balance_sheet_quarter[Company Name], 1, 1)) + 1), ROW(42:42)), COLUMN(C:C)), "")</f>
        <v>0</v>
      </c>
      <c r="E44" s="14">
        <f t="array" ref="E44">IFERROR(INDEX(balance_sheet_quarter[#All], SMALL(IF(LOWER(balance_sheet_quarter[Company Name]) = LOWER(balance_sheet_quarter_filter!$B$2), ROW(balance_sheet_quarter[Company Name]) - ROW(INDEX(balance_sheet_quarter[Company Name], 1, 1)) + 1), ROW(42:42)), COLUMN(D:D)), "")</f>
        <v>0</v>
      </c>
      <c r="F44" s="14">
        <f t="array" ref="F44">IFERROR(INDEX(balance_sheet_quarter[#All], SMALL(IF(LOWER(balance_sheet_quarter[Company Name]) = LOWER(balance_sheet_quarter_filter!$B$2), ROW(balance_sheet_quarter[Company Name]) - ROW(INDEX(balance_sheet_quarter[Company Name], 1, 1)) + 1), ROW(42:42)), COLUMN(E:E)), "")</f>
        <v>0</v>
      </c>
      <c r="G44" s="14">
        <f t="array" ref="G44">IFERROR(INDEX(balance_sheet_quarter[#All], SMALL(IF(LOWER(balance_sheet_quarter[Company Name]) = LOWER(balance_sheet_quarter_filter!$B$2), ROW(balance_sheet_quarter[Company Name]) - ROW(INDEX(balance_sheet_quarter[Company Name], 1, 1)) + 1), ROW(42:42)), COLUMN(F:F)), "")</f>
        <v>0</v>
      </c>
      <c r="H44" s="14">
        <f t="array" ref="H44">IFERROR(INDEX(balance_sheet_quarter[#All], SMALL(IF(LOWER(balance_sheet_quarter[Company Name]) = LOWER(balance_sheet_quarter_filter!$B$2), ROW(balance_sheet_quarter[Company Name]) - ROW(INDEX(balance_sheet_quarter[Company Name], 1, 1)) + 1), ROW(42:42)), COLUMN(G:G)), "")</f>
        <v>0</v>
      </c>
      <c r="I44" s="14">
        <f t="array" ref="I44">IFERROR(INDEX(balance_sheet_quarter[#All], SMALL(IF(LOWER(balance_sheet_quarter[Company Name]) = LOWER(balance_sheet_quarter_filter!$B$2), ROW(balance_sheet_quarter[Company Name]) - ROW(INDEX(balance_sheet_quarter[Company Name], 1, 1)) + 1), ROW(42:42)), COLUMN(H:H)), "")</f>
        <v>0</v>
      </c>
      <c r="J44" s="14">
        <f t="array" ref="J44">IFERROR(INDEX(balance_sheet_quarter[#All], SMALL(IF(LOWER(balance_sheet_quarter[Company Name]) = LOWER(balance_sheet_quarter_filter!$B$2), ROW(balance_sheet_quarter[Company Name]) - ROW(INDEX(balance_sheet_quarter[Company Name], 1, 1)) + 1), ROW(42:42)), COLUMN(I:I)), "")</f>
        <v>0</v>
      </c>
      <c r="K44" s="14">
        <f t="array" ref="K44">IFERROR(INDEX(balance_sheet_quarter[#All], SMALL(IF(LOWER(balance_sheet_quarter[Company Name]) = LOWER(balance_sheet_quarter_filter!$B$2), ROW(balance_sheet_quarter[Company Name]) - ROW(INDEX(balance_sheet_quarter[Company Name], 1, 1)) + 1), ROW(42:42)), COLUMN(J:J)), "")</f>
        <v>0</v>
      </c>
      <c r="L44" s="14">
        <f t="array" ref="L44">IFERROR(INDEX(balance_sheet_quarter[#All], SMALL(IF(LOWER(balance_sheet_quarter[Company Name]) = LOWER(balance_sheet_quarter_filter!$B$2), ROW(balance_sheet_quarter[Company Name]) - ROW(INDEX(balance_sheet_quarter[Company Name], 1, 1)) + 1), ROW(42:42)), COLUMN(K:K)), "")</f>
        <v>0</v>
      </c>
      <c r="M44" s="14">
        <f t="array" ref="M44">IFERROR(INDEX(balance_sheet_quarter[#All], SMALL(IF(LOWER(balance_sheet_quarter[Company Name]) = LOWER(balance_sheet_quarter_filter!$B$2), ROW(balance_sheet_quarter[Company Name]) - ROW(INDEX(balance_sheet_quarter[Company Name], 1, 1)) + 1), ROW(42:42)), COLUMN(L:L)), "")</f>
        <v>0</v>
      </c>
      <c r="N44" s="14">
        <f t="array" ref="N44">IFERROR(INDEX(balance_sheet_quarter[#All], SMALL(IF(LOWER(balance_sheet_quarter[Company Name]) = LOWER(balance_sheet_quarter_filter!$B$2), ROW(balance_sheet_quarter[Company Name]) - ROW(INDEX(balance_sheet_quarter[Company Name], 1, 1)) + 1), ROW(42:42)), COLUMN(M:M)), "")</f>
        <v>0</v>
      </c>
      <c r="O44" s="14">
        <f t="array" ref="O44">IFERROR(INDEX(balance_sheet_quarter[#All], SMALL(IF(LOWER(balance_sheet_quarter[Company Name]) = LOWER(balance_sheet_quarter_filter!$B$2), ROW(balance_sheet_quarter[Company Name]) - ROW(INDEX(balance_sheet_quarter[Company Name], 1, 1)) + 1), ROW(42:42)), COLUMN(N:N)), "")</f>
        <v>0</v>
      </c>
      <c r="P44" s="14">
        <f t="array" ref="P44">IFERROR(INDEX(balance_sheet_quarter[#All], SMALL(IF(LOWER(balance_sheet_quarter[Company Name]) = LOWER(balance_sheet_quarter_filter!$B$2), ROW(balance_sheet_quarter[Company Name]) - ROW(INDEX(balance_sheet_quarter[Company Name], 1, 1)) + 1), ROW(42:42)), COLUMN(O:O)), "")</f>
        <v>0</v>
      </c>
    </row>
    <row r="45" spans="3:16" x14ac:dyDescent="0.35">
      <c r="C45" t="str">
        <f t="array" ref="C45">IFERROR(INDEX(balance_sheet_quarter[#All], SMALL(IF(LOWER(balance_sheet_quarter[Company Name]) = LOWER(balance_sheet_quarter_filter!$B$2), ROW(balance_sheet_quarter[Company Name]) - ROW(INDEX(balance_sheet_quarter[Company Name], 1, 1)) + 1), ROW(43:43)), COLUMN(B:B)), "")</f>
        <v>- Nguyên giá</v>
      </c>
      <c r="D45" s="14">
        <f t="array" ref="D45">IFERROR(INDEX(balance_sheet_quarter[#All], SMALL(IF(LOWER(balance_sheet_quarter[Company Name]) = LOWER(balance_sheet_quarter_filter!$B$2), ROW(balance_sheet_quarter[Company Name]) - ROW(INDEX(balance_sheet_quarter[Company Name], 1, 1)) + 1), ROW(43:43)), COLUMN(C:C)), "")</f>
        <v>0</v>
      </c>
      <c r="E45" s="14">
        <f t="array" ref="E45">IFERROR(INDEX(balance_sheet_quarter[#All], SMALL(IF(LOWER(balance_sheet_quarter[Company Name]) = LOWER(balance_sheet_quarter_filter!$B$2), ROW(balance_sheet_quarter[Company Name]) - ROW(INDEX(balance_sheet_quarter[Company Name], 1, 1)) + 1), ROW(43:43)), COLUMN(D:D)), "")</f>
        <v>0</v>
      </c>
      <c r="F45" s="14">
        <f t="array" ref="F45">IFERROR(INDEX(balance_sheet_quarter[#All], SMALL(IF(LOWER(balance_sheet_quarter[Company Name]) = LOWER(balance_sheet_quarter_filter!$B$2), ROW(balance_sheet_quarter[Company Name]) - ROW(INDEX(balance_sheet_quarter[Company Name], 1, 1)) + 1), ROW(43:43)), COLUMN(E:E)), "")</f>
        <v>0</v>
      </c>
      <c r="G45" s="14">
        <f t="array" ref="G45">IFERROR(INDEX(balance_sheet_quarter[#All], SMALL(IF(LOWER(balance_sheet_quarter[Company Name]) = LOWER(balance_sheet_quarter_filter!$B$2), ROW(balance_sheet_quarter[Company Name]) - ROW(INDEX(balance_sheet_quarter[Company Name], 1, 1)) + 1), ROW(43:43)), COLUMN(F:F)), "")</f>
        <v>0</v>
      </c>
      <c r="H45" s="14">
        <f t="array" ref="H45">IFERROR(INDEX(balance_sheet_quarter[#All], SMALL(IF(LOWER(balance_sheet_quarter[Company Name]) = LOWER(balance_sheet_quarter_filter!$B$2), ROW(balance_sheet_quarter[Company Name]) - ROW(INDEX(balance_sheet_quarter[Company Name], 1, 1)) + 1), ROW(43:43)), COLUMN(G:G)), "")</f>
        <v>0</v>
      </c>
      <c r="I45" s="14">
        <f t="array" ref="I45">IFERROR(INDEX(balance_sheet_quarter[#All], SMALL(IF(LOWER(balance_sheet_quarter[Company Name]) = LOWER(balance_sheet_quarter_filter!$B$2), ROW(balance_sheet_quarter[Company Name]) - ROW(INDEX(balance_sheet_quarter[Company Name], 1, 1)) + 1), ROW(43:43)), COLUMN(H:H)), "")</f>
        <v>0</v>
      </c>
      <c r="J45" s="14">
        <f t="array" ref="J45">IFERROR(INDEX(balance_sheet_quarter[#All], SMALL(IF(LOWER(balance_sheet_quarter[Company Name]) = LOWER(balance_sheet_quarter_filter!$B$2), ROW(balance_sheet_quarter[Company Name]) - ROW(INDEX(balance_sheet_quarter[Company Name], 1, 1)) + 1), ROW(43:43)), COLUMN(I:I)), "")</f>
        <v>0</v>
      </c>
      <c r="K45" s="14">
        <f t="array" ref="K45">IFERROR(INDEX(balance_sheet_quarter[#All], SMALL(IF(LOWER(balance_sheet_quarter[Company Name]) = LOWER(balance_sheet_quarter_filter!$B$2), ROW(balance_sheet_quarter[Company Name]) - ROW(INDEX(balance_sheet_quarter[Company Name], 1, 1)) + 1), ROW(43:43)), COLUMN(J:J)), "")</f>
        <v>0</v>
      </c>
      <c r="L45" s="14">
        <f t="array" ref="L45">IFERROR(INDEX(balance_sheet_quarter[#All], SMALL(IF(LOWER(balance_sheet_quarter[Company Name]) = LOWER(balance_sheet_quarter_filter!$B$2), ROW(balance_sheet_quarter[Company Name]) - ROW(INDEX(balance_sheet_quarter[Company Name], 1, 1)) + 1), ROW(43:43)), COLUMN(K:K)), "")</f>
        <v>0</v>
      </c>
      <c r="M45" s="14">
        <f t="array" ref="M45">IFERROR(INDEX(balance_sheet_quarter[#All], SMALL(IF(LOWER(balance_sheet_quarter[Company Name]) = LOWER(balance_sheet_quarter_filter!$B$2), ROW(balance_sheet_quarter[Company Name]) - ROW(INDEX(balance_sheet_quarter[Company Name], 1, 1)) + 1), ROW(43:43)), COLUMN(L:L)), "")</f>
        <v>0</v>
      </c>
      <c r="N45" s="14">
        <f t="array" ref="N45">IFERROR(INDEX(balance_sheet_quarter[#All], SMALL(IF(LOWER(balance_sheet_quarter[Company Name]) = LOWER(balance_sheet_quarter_filter!$B$2), ROW(balance_sheet_quarter[Company Name]) - ROW(INDEX(balance_sheet_quarter[Company Name], 1, 1)) + 1), ROW(43:43)), COLUMN(M:M)), "")</f>
        <v>0</v>
      </c>
      <c r="O45" s="14">
        <f t="array" ref="O45">IFERROR(INDEX(balance_sheet_quarter[#All], SMALL(IF(LOWER(balance_sheet_quarter[Company Name]) = LOWER(balance_sheet_quarter_filter!$B$2), ROW(balance_sheet_quarter[Company Name]) - ROW(INDEX(balance_sheet_quarter[Company Name], 1, 1)) + 1), ROW(43:43)), COLUMN(N:N)), "")</f>
        <v>0</v>
      </c>
      <c r="P45" s="14">
        <f t="array" ref="P45">IFERROR(INDEX(balance_sheet_quarter[#All], SMALL(IF(LOWER(balance_sheet_quarter[Company Name]) = LOWER(balance_sheet_quarter_filter!$B$2), ROW(balance_sheet_quarter[Company Name]) - ROW(INDEX(balance_sheet_quarter[Company Name], 1, 1)) + 1), ROW(43:43)), COLUMN(O:O)), "")</f>
        <v>0</v>
      </c>
    </row>
    <row r="46" spans="3:16" x14ac:dyDescent="0.35">
      <c r="C46" t="str">
        <f t="array" ref="C46">IFERROR(INDEX(balance_sheet_quarter[#All], SMALL(IF(LOWER(balance_sheet_quarter[Company Name]) = LOWER(balance_sheet_quarter_filter!$B$2), ROW(balance_sheet_quarter[Company Name]) - ROW(INDEX(balance_sheet_quarter[Company Name], 1, 1)) + 1), ROW(44:44)), COLUMN(B:B)), "")</f>
        <v>- Giá trị hao mòn lũy kế</v>
      </c>
      <c r="D46" s="14">
        <f t="array" ref="D46">IFERROR(INDEX(balance_sheet_quarter[#All], SMALL(IF(LOWER(balance_sheet_quarter[Company Name]) = LOWER(balance_sheet_quarter_filter!$B$2), ROW(balance_sheet_quarter[Company Name]) - ROW(INDEX(balance_sheet_quarter[Company Name], 1, 1)) + 1), ROW(44:44)), COLUMN(C:C)), "")</f>
        <v>0</v>
      </c>
      <c r="E46" s="14">
        <f t="array" ref="E46">IFERROR(INDEX(balance_sheet_quarter[#All], SMALL(IF(LOWER(balance_sheet_quarter[Company Name]) = LOWER(balance_sheet_quarter_filter!$B$2), ROW(balance_sheet_quarter[Company Name]) - ROW(INDEX(balance_sheet_quarter[Company Name], 1, 1)) + 1), ROW(44:44)), COLUMN(D:D)), "")</f>
        <v>0</v>
      </c>
      <c r="F46" s="14">
        <f t="array" ref="F46">IFERROR(INDEX(balance_sheet_quarter[#All], SMALL(IF(LOWER(balance_sheet_quarter[Company Name]) = LOWER(balance_sheet_quarter_filter!$B$2), ROW(balance_sheet_quarter[Company Name]) - ROW(INDEX(balance_sheet_quarter[Company Name], 1, 1)) + 1), ROW(44:44)), COLUMN(E:E)), "")</f>
        <v>0</v>
      </c>
      <c r="G46" s="14">
        <f t="array" ref="G46">IFERROR(INDEX(balance_sheet_quarter[#All], SMALL(IF(LOWER(balance_sheet_quarter[Company Name]) = LOWER(balance_sheet_quarter_filter!$B$2), ROW(balance_sheet_quarter[Company Name]) - ROW(INDEX(balance_sheet_quarter[Company Name], 1, 1)) + 1), ROW(44:44)), COLUMN(F:F)), "")</f>
        <v>0</v>
      </c>
      <c r="H46" s="14">
        <f t="array" ref="H46">IFERROR(INDEX(balance_sheet_quarter[#All], SMALL(IF(LOWER(balance_sheet_quarter[Company Name]) = LOWER(balance_sheet_quarter_filter!$B$2), ROW(balance_sheet_quarter[Company Name]) - ROW(INDEX(balance_sheet_quarter[Company Name], 1, 1)) + 1), ROW(44:44)), COLUMN(G:G)), "")</f>
        <v>0</v>
      </c>
      <c r="I46" s="14">
        <f t="array" ref="I46">IFERROR(INDEX(balance_sheet_quarter[#All], SMALL(IF(LOWER(balance_sheet_quarter[Company Name]) = LOWER(balance_sheet_quarter_filter!$B$2), ROW(balance_sheet_quarter[Company Name]) - ROW(INDEX(balance_sheet_quarter[Company Name], 1, 1)) + 1), ROW(44:44)), COLUMN(H:H)), "")</f>
        <v>0</v>
      </c>
      <c r="J46" s="14">
        <f t="array" ref="J46">IFERROR(INDEX(balance_sheet_quarter[#All], SMALL(IF(LOWER(balance_sheet_quarter[Company Name]) = LOWER(balance_sheet_quarter_filter!$B$2), ROW(balance_sheet_quarter[Company Name]) - ROW(INDEX(balance_sheet_quarter[Company Name], 1, 1)) + 1), ROW(44:44)), COLUMN(I:I)), "")</f>
        <v>0</v>
      </c>
      <c r="K46" s="14">
        <f t="array" ref="K46">IFERROR(INDEX(balance_sheet_quarter[#All], SMALL(IF(LOWER(balance_sheet_quarter[Company Name]) = LOWER(balance_sheet_quarter_filter!$B$2), ROW(balance_sheet_quarter[Company Name]) - ROW(INDEX(balance_sheet_quarter[Company Name], 1, 1)) + 1), ROW(44:44)), COLUMN(J:J)), "")</f>
        <v>0</v>
      </c>
      <c r="L46" s="14">
        <f t="array" ref="L46">IFERROR(INDEX(balance_sheet_quarter[#All], SMALL(IF(LOWER(balance_sheet_quarter[Company Name]) = LOWER(balance_sheet_quarter_filter!$B$2), ROW(balance_sheet_quarter[Company Name]) - ROW(INDEX(balance_sheet_quarter[Company Name], 1, 1)) + 1), ROW(44:44)), COLUMN(K:K)), "")</f>
        <v>0</v>
      </c>
      <c r="M46" s="14">
        <f t="array" ref="M46">IFERROR(INDEX(balance_sheet_quarter[#All], SMALL(IF(LOWER(balance_sheet_quarter[Company Name]) = LOWER(balance_sheet_quarter_filter!$B$2), ROW(balance_sheet_quarter[Company Name]) - ROW(INDEX(balance_sheet_quarter[Company Name], 1, 1)) + 1), ROW(44:44)), COLUMN(L:L)), "")</f>
        <v>0</v>
      </c>
      <c r="N46" s="14">
        <f t="array" ref="N46">IFERROR(INDEX(balance_sheet_quarter[#All], SMALL(IF(LOWER(balance_sheet_quarter[Company Name]) = LOWER(balance_sheet_quarter_filter!$B$2), ROW(balance_sheet_quarter[Company Name]) - ROW(INDEX(balance_sheet_quarter[Company Name], 1, 1)) + 1), ROW(44:44)), COLUMN(M:M)), "")</f>
        <v>0</v>
      </c>
      <c r="O46" s="14">
        <f t="array" ref="O46">IFERROR(INDEX(balance_sheet_quarter[#All], SMALL(IF(LOWER(balance_sheet_quarter[Company Name]) = LOWER(balance_sheet_quarter_filter!$B$2), ROW(balance_sheet_quarter[Company Name]) - ROW(INDEX(balance_sheet_quarter[Company Name], 1, 1)) + 1), ROW(44:44)), COLUMN(N:N)), "")</f>
        <v>0</v>
      </c>
      <c r="P46" s="14">
        <f t="array" ref="P46">IFERROR(INDEX(balance_sheet_quarter[#All], SMALL(IF(LOWER(balance_sheet_quarter[Company Name]) = LOWER(balance_sheet_quarter_filter!$B$2), ROW(balance_sheet_quarter[Company Name]) - ROW(INDEX(balance_sheet_quarter[Company Name], 1, 1)) + 1), ROW(44:44)), COLUMN(O:O)), "")</f>
        <v>0</v>
      </c>
    </row>
    <row r="47" spans="3:16" x14ac:dyDescent="0.35">
      <c r="C47" t="str">
        <f t="array" ref="C47">IFERROR(INDEX(balance_sheet_quarter[#All], SMALL(IF(LOWER(balance_sheet_quarter[Company Name]) = LOWER(balance_sheet_quarter_filter!$B$2), ROW(balance_sheet_quarter[Company Name]) - ROW(INDEX(balance_sheet_quarter[Company Name], 1, 1)) + 1), ROW(45:45)), COLUMN(B:B)), "")</f>
        <v>3. Tài sản cố định vô hình</v>
      </c>
      <c r="D47" s="14">
        <f t="array" ref="D47">IFERROR(INDEX(balance_sheet_quarter[#All], SMALL(IF(LOWER(balance_sheet_quarter[Company Name]) = LOWER(balance_sheet_quarter_filter!$B$2), ROW(balance_sheet_quarter[Company Name]) - ROW(INDEX(balance_sheet_quarter[Company Name], 1, 1)) + 1), ROW(45:45)), COLUMN(C:C)), "")</f>
        <v>147726900</v>
      </c>
      <c r="E47" s="14">
        <f t="array" ref="E47">IFERROR(INDEX(balance_sheet_quarter[#All], SMALL(IF(LOWER(balance_sheet_quarter[Company Name]) = LOWER(balance_sheet_quarter_filter!$B$2), ROW(balance_sheet_quarter[Company Name]) - ROW(INDEX(balance_sheet_quarter[Company Name], 1, 1)) + 1), ROW(45:45)), COLUMN(D:D)), "")</f>
        <v>147726900</v>
      </c>
      <c r="F47" s="14">
        <f t="array" ref="F47">IFERROR(INDEX(balance_sheet_quarter[#All], SMALL(IF(LOWER(balance_sheet_quarter[Company Name]) = LOWER(balance_sheet_quarter_filter!$B$2), ROW(balance_sheet_quarter[Company Name]) - ROW(INDEX(balance_sheet_quarter[Company Name], 1, 1)) + 1), ROW(45:45)), COLUMN(E:E)), "")</f>
        <v>147726900</v>
      </c>
      <c r="G47" s="14">
        <f t="array" ref="G47">IFERROR(INDEX(balance_sheet_quarter[#All], SMALL(IF(LOWER(balance_sheet_quarter[Company Name]) = LOWER(balance_sheet_quarter_filter!$B$2), ROW(balance_sheet_quarter[Company Name]) - ROW(INDEX(balance_sheet_quarter[Company Name], 1, 1)) + 1), ROW(45:45)), COLUMN(F:F)), "")</f>
        <v>147726900</v>
      </c>
      <c r="H47" s="14">
        <f t="array" ref="H47">IFERROR(INDEX(balance_sheet_quarter[#All], SMALL(IF(LOWER(balance_sheet_quarter[Company Name]) = LOWER(balance_sheet_quarter_filter!$B$2), ROW(balance_sheet_quarter[Company Name]) - ROW(INDEX(balance_sheet_quarter[Company Name], 1, 1)) + 1), ROW(45:45)), COLUMN(G:G)), "")</f>
        <v>147726900</v>
      </c>
      <c r="I47" s="14">
        <f t="array" ref="I47">IFERROR(INDEX(balance_sheet_quarter[#All], SMALL(IF(LOWER(balance_sheet_quarter[Company Name]) = LOWER(balance_sheet_quarter_filter!$B$2), ROW(balance_sheet_quarter[Company Name]) - ROW(INDEX(balance_sheet_quarter[Company Name], 1, 1)) + 1), ROW(45:45)), COLUMN(H:H)), "")</f>
        <v>147726900</v>
      </c>
      <c r="J47" s="14">
        <f t="array" ref="J47">IFERROR(INDEX(balance_sheet_quarter[#All], SMALL(IF(LOWER(balance_sheet_quarter[Company Name]) = LOWER(balance_sheet_quarter_filter!$B$2), ROW(balance_sheet_quarter[Company Name]) - ROW(INDEX(balance_sheet_quarter[Company Name], 1, 1)) + 1), ROW(45:45)), COLUMN(I:I)), "")</f>
        <v>147726900</v>
      </c>
      <c r="K47" s="14">
        <f t="array" ref="K47">IFERROR(INDEX(balance_sheet_quarter[#All], SMALL(IF(LOWER(balance_sheet_quarter[Company Name]) = LOWER(balance_sheet_quarter_filter!$B$2), ROW(balance_sheet_quarter[Company Name]) - ROW(INDEX(balance_sheet_quarter[Company Name], 1, 1)) + 1), ROW(45:45)), COLUMN(J:J)), "")</f>
        <v>147726900</v>
      </c>
      <c r="L47" s="14">
        <f t="array" ref="L47">IFERROR(INDEX(balance_sheet_quarter[#All], SMALL(IF(LOWER(balance_sheet_quarter[Company Name]) = LOWER(balance_sheet_quarter_filter!$B$2), ROW(balance_sheet_quarter[Company Name]) - ROW(INDEX(balance_sheet_quarter[Company Name], 1, 1)) + 1), ROW(45:45)), COLUMN(K:K)), "")</f>
        <v>147726900</v>
      </c>
      <c r="M47" s="14">
        <f t="array" ref="M47">IFERROR(INDEX(balance_sheet_quarter[#All], SMALL(IF(LOWER(balance_sheet_quarter[Company Name]) = LOWER(balance_sheet_quarter_filter!$B$2), ROW(balance_sheet_quarter[Company Name]) - ROW(INDEX(balance_sheet_quarter[Company Name], 1, 1)) + 1), ROW(45:45)), COLUMN(L:L)), "")</f>
        <v>147726900</v>
      </c>
      <c r="N47" s="14">
        <f t="array" ref="N47">IFERROR(INDEX(balance_sheet_quarter[#All], SMALL(IF(LOWER(balance_sheet_quarter[Company Name]) = LOWER(balance_sheet_quarter_filter!$B$2), ROW(balance_sheet_quarter[Company Name]) - ROW(INDEX(balance_sheet_quarter[Company Name], 1, 1)) + 1), ROW(45:45)), COLUMN(M:M)), "")</f>
        <v>147726900</v>
      </c>
      <c r="O47" s="14">
        <f t="array" ref="O47">IFERROR(INDEX(balance_sheet_quarter[#All], SMALL(IF(LOWER(balance_sheet_quarter[Company Name]) = LOWER(balance_sheet_quarter_filter!$B$2), ROW(balance_sheet_quarter[Company Name]) - ROW(INDEX(balance_sheet_quarter[Company Name], 1, 1)) + 1), ROW(45:45)), COLUMN(N:N)), "")</f>
        <v>147726900</v>
      </c>
      <c r="P47" s="14">
        <f t="array" ref="P47">IFERROR(INDEX(balance_sheet_quarter[#All], SMALL(IF(LOWER(balance_sheet_quarter[Company Name]) = LOWER(balance_sheet_quarter_filter!$B$2), ROW(balance_sheet_quarter[Company Name]) - ROW(INDEX(balance_sheet_quarter[Company Name], 1, 1)) + 1), ROW(45:45)), COLUMN(O:O)), "")</f>
        <v>147726900</v>
      </c>
    </row>
    <row r="48" spans="3:16" x14ac:dyDescent="0.35">
      <c r="C48" t="str">
        <f t="array" ref="C48">IFERROR(INDEX(balance_sheet_quarter[#All], SMALL(IF(LOWER(balance_sheet_quarter[Company Name]) = LOWER(balance_sheet_quarter_filter!$B$2), ROW(balance_sheet_quarter[Company Name]) - ROW(INDEX(balance_sheet_quarter[Company Name], 1, 1)) + 1), ROW(46:46)), COLUMN(B:B)), "")</f>
        <v>- Nguyên giá</v>
      </c>
      <c r="D48" s="14">
        <f t="array" ref="D48">IFERROR(INDEX(balance_sheet_quarter[#All], SMALL(IF(LOWER(balance_sheet_quarter[Company Name]) = LOWER(balance_sheet_quarter_filter!$B$2), ROW(balance_sheet_quarter[Company Name]) - ROW(INDEX(balance_sheet_quarter[Company Name], 1, 1)) + 1), ROW(46:46)), COLUMN(C:C)), "")</f>
        <v>147726900</v>
      </c>
      <c r="E48" s="14">
        <f t="array" ref="E48">IFERROR(INDEX(balance_sheet_quarter[#All], SMALL(IF(LOWER(balance_sheet_quarter[Company Name]) = LOWER(balance_sheet_quarter_filter!$B$2), ROW(balance_sheet_quarter[Company Name]) - ROW(INDEX(balance_sheet_quarter[Company Name], 1, 1)) + 1), ROW(46:46)), COLUMN(D:D)), "")</f>
        <v>147726900</v>
      </c>
      <c r="F48" s="14">
        <f t="array" ref="F48">IFERROR(INDEX(balance_sheet_quarter[#All], SMALL(IF(LOWER(balance_sheet_quarter[Company Name]) = LOWER(balance_sheet_quarter_filter!$B$2), ROW(balance_sheet_quarter[Company Name]) - ROW(INDEX(balance_sheet_quarter[Company Name], 1, 1)) + 1), ROW(46:46)), COLUMN(E:E)), "")</f>
        <v>147726900</v>
      </c>
      <c r="G48" s="14">
        <f t="array" ref="G48">IFERROR(INDEX(balance_sheet_quarter[#All], SMALL(IF(LOWER(balance_sheet_quarter[Company Name]) = LOWER(balance_sheet_quarter_filter!$B$2), ROW(balance_sheet_quarter[Company Name]) - ROW(INDEX(balance_sheet_quarter[Company Name], 1, 1)) + 1), ROW(46:46)), COLUMN(F:F)), "")</f>
        <v>147726900</v>
      </c>
      <c r="H48" s="14">
        <f t="array" ref="H48">IFERROR(INDEX(balance_sheet_quarter[#All], SMALL(IF(LOWER(balance_sheet_quarter[Company Name]) = LOWER(balance_sheet_quarter_filter!$B$2), ROW(balance_sheet_quarter[Company Name]) - ROW(INDEX(balance_sheet_quarter[Company Name], 1, 1)) + 1), ROW(46:46)), COLUMN(G:G)), "")</f>
        <v>147726900</v>
      </c>
      <c r="I48" s="14">
        <f t="array" ref="I48">IFERROR(INDEX(balance_sheet_quarter[#All], SMALL(IF(LOWER(balance_sheet_quarter[Company Name]) = LOWER(balance_sheet_quarter_filter!$B$2), ROW(balance_sheet_quarter[Company Name]) - ROW(INDEX(balance_sheet_quarter[Company Name], 1, 1)) + 1), ROW(46:46)), COLUMN(H:H)), "")</f>
        <v>147726900</v>
      </c>
      <c r="J48" s="14">
        <f t="array" ref="J48">IFERROR(INDEX(balance_sheet_quarter[#All], SMALL(IF(LOWER(balance_sheet_quarter[Company Name]) = LOWER(balance_sheet_quarter_filter!$B$2), ROW(balance_sheet_quarter[Company Name]) - ROW(INDEX(balance_sheet_quarter[Company Name], 1, 1)) + 1), ROW(46:46)), COLUMN(I:I)), "")</f>
        <v>147726900</v>
      </c>
      <c r="K48" s="14">
        <f t="array" ref="K48">IFERROR(INDEX(balance_sheet_quarter[#All], SMALL(IF(LOWER(balance_sheet_quarter[Company Name]) = LOWER(balance_sheet_quarter_filter!$B$2), ROW(balance_sheet_quarter[Company Name]) - ROW(INDEX(balance_sheet_quarter[Company Name], 1, 1)) + 1), ROW(46:46)), COLUMN(J:J)), "")</f>
        <v>147726900</v>
      </c>
      <c r="L48" s="14">
        <f t="array" ref="L48">IFERROR(INDEX(balance_sheet_quarter[#All], SMALL(IF(LOWER(balance_sheet_quarter[Company Name]) = LOWER(balance_sheet_quarter_filter!$B$2), ROW(balance_sheet_quarter[Company Name]) - ROW(INDEX(balance_sheet_quarter[Company Name], 1, 1)) + 1), ROW(46:46)), COLUMN(K:K)), "")</f>
        <v>147726900</v>
      </c>
      <c r="M48" s="14">
        <f t="array" ref="M48">IFERROR(INDEX(balance_sheet_quarter[#All], SMALL(IF(LOWER(balance_sheet_quarter[Company Name]) = LOWER(balance_sheet_quarter_filter!$B$2), ROW(balance_sheet_quarter[Company Name]) - ROW(INDEX(balance_sheet_quarter[Company Name], 1, 1)) + 1), ROW(46:46)), COLUMN(L:L)), "")</f>
        <v>147726900</v>
      </c>
      <c r="N48" s="14">
        <f t="array" ref="N48">IFERROR(INDEX(balance_sheet_quarter[#All], SMALL(IF(LOWER(balance_sheet_quarter[Company Name]) = LOWER(balance_sheet_quarter_filter!$B$2), ROW(balance_sheet_quarter[Company Name]) - ROW(INDEX(balance_sheet_quarter[Company Name], 1, 1)) + 1), ROW(46:46)), COLUMN(M:M)), "")</f>
        <v>147726900</v>
      </c>
      <c r="O48" s="14">
        <f t="array" ref="O48">IFERROR(INDEX(balance_sheet_quarter[#All], SMALL(IF(LOWER(balance_sheet_quarter[Company Name]) = LOWER(balance_sheet_quarter_filter!$B$2), ROW(balance_sheet_quarter[Company Name]) - ROW(INDEX(balance_sheet_quarter[Company Name], 1, 1)) + 1), ROW(46:46)), COLUMN(N:N)), "")</f>
        <v>147726900</v>
      </c>
      <c r="P48" s="14">
        <f t="array" ref="P48">IFERROR(INDEX(balance_sheet_quarter[#All], SMALL(IF(LOWER(balance_sheet_quarter[Company Name]) = LOWER(balance_sheet_quarter_filter!$B$2), ROW(balance_sheet_quarter[Company Name]) - ROW(INDEX(balance_sheet_quarter[Company Name], 1, 1)) + 1), ROW(46:46)), COLUMN(O:O)), "")</f>
        <v>147726900</v>
      </c>
    </row>
    <row r="49" spans="3:16" x14ac:dyDescent="0.35">
      <c r="C49" t="str">
        <f t="array" ref="C49">IFERROR(INDEX(balance_sheet_quarter[#All], SMALL(IF(LOWER(balance_sheet_quarter[Company Name]) = LOWER(balance_sheet_quarter_filter!$B$2), ROW(balance_sheet_quarter[Company Name]) - ROW(INDEX(balance_sheet_quarter[Company Name], 1, 1)) + 1), ROW(47:47)), COLUMN(B:B)), "")</f>
        <v>- Giá trị hao mòn lũy kế</v>
      </c>
      <c r="D49" s="14">
        <f t="array" ref="D49">IFERROR(INDEX(balance_sheet_quarter[#All], SMALL(IF(LOWER(balance_sheet_quarter[Company Name]) = LOWER(balance_sheet_quarter_filter!$B$2), ROW(balance_sheet_quarter[Company Name]) - ROW(INDEX(balance_sheet_quarter[Company Name], 1, 1)) + 1), ROW(47:47)), COLUMN(C:C)), "")</f>
        <v>0</v>
      </c>
      <c r="E49" s="14">
        <f t="array" ref="E49">IFERROR(INDEX(balance_sheet_quarter[#All], SMALL(IF(LOWER(balance_sheet_quarter[Company Name]) = LOWER(balance_sheet_quarter_filter!$B$2), ROW(balance_sheet_quarter[Company Name]) - ROW(INDEX(balance_sheet_quarter[Company Name], 1, 1)) + 1), ROW(47:47)), COLUMN(D:D)), "")</f>
        <v>0</v>
      </c>
      <c r="F49" s="14">
        <f t="array" ref="F49">IFERROR(INDEX(balance_sheet_quarter[#All], SMALL(IF(LOWER(balance_sheet_quarter[Company Name]) = LOWER(balance_sheet_quarter_filter!$B$2), ROW(balance_sheet_quarter[Company Name]) - ROW(INDEX(balance_sheet_quarter[Company Name], 1, 1)) + 1), ROW(47:47)), COLUMN(E:E)), "")</f>
        <v>0</v>
      </c>
      <c r="G49" s="14">
        <f t="array" ref="G49">IFERROR(INDEX(balance_sheet_quarter[#All], SMALL(IF(LOWER(balance_sheet_quarter[Company Name]) = LOWER(balance_sheet_quarter_filter!$B$2), ROW(balance_sheet_quarter[Company Name]) - ROW(INDEX(balance_sheet_quarter[Company Name], 1, 1)) + 1), ROW(47:47)), COLUMN(F:F)), "")</f>
        <v>0</v>
      </c>
      <c r="H49" s="14">
        <f t="array" ref="H49">IFERROR(INDEX(balance_sheet_quarter[#All], SMALL(IF(LOWER(balance_sheet_quarter[Company Name]) = LOWER(balance_sheet_quarter_filter!$B$2), ROW(balance_sheet_quarter[Company Name]) - ROW(INDEX(balance_sheet_quarter[Company Name], 1, 1)) + 1), ROW(47:47)), COLUMN(G:G)), "")</f>
        <v>0</v>
      </c>
      <c r="I49" s="14">
        <f t="array" ref="I49">IFERROR(INDEX(balance_sheet_quarter[#All], SMALL(IF(LOWER(balance_sheet_quarter[Company Name]) = LOWER(balance_sheet_quarter_filter!$B$2), ROW(balance_sheet_quarter[Company Name]) - ROW(INDEX(balance_sheet_quarter[Company Name], 1, 1)) + 1), ROW(47:47)), COLUMN(H:H)), "")</f>
        <v>0</v>
      </c>
      <c r="J49" s="14">
        <f t="array" ref="J49">IFERROR(INDEX(balance_sheet_quarter[#All], SMALL(IF(LOWER(balance_sheet_quarter[Company Name]) = LOWER(balance_sheet_quarter_filter!$B$2), ROW(balance_sheet_quarter[Company Name]) - ROW(INDEX(balance_sheet_quarter[Company Name], 1, 1)) + 1), ROW(47:47)), COLUMN(I:I)), "")</f>
        <v>0</v>
      </c>
      <c r="K49" s="14">
        <f t="array" ref="K49">IFERROR(INDEX(balance_sheet_quarter[#All], SMALL(IF(LOWER(balance_sheet_quarter[Company Name]) = LOWER(balance_sheet_quarter_filter!$B$2), ROW(balance_sheet_quarter[Company Name]) - ROW(INDEX(balance_sheet_quarter[Company Name], 1, 1)) + 1), ROW(47:47)), COLUMN(J:J)), "")</f>
        <v>0</v>
      </c>
      <c r="L49" s="14">
        <f t="array" ref="L49">IFERROR(INDEX(balance_sheet_quarter[#All], SMALL(IF(LOWER(balance_sheet_quarter[Company Name]) = LOWER(balance_sheet_quarter_filter!$B$2), ROW(balance_sheet_quarter[Company Name]) - ROW(INDEX(balance_sheet_quarter[Company Name], 1, 1)) + 1), ROW(47:47)), COLUMN(K:K)), "")</f>
        <v>0</v>
      </c>
      <c r="M49" s="14">
        <f t="array" ref="M49">IFERROR(INDEX(balance_sheet_quarter[#All], SMALL(IF(LOWER(balance_sheet_quarter[Company Name]) = LOWER(balance_sheet_quarter_filter!$B$2), ROW(balance_sheet_quarter[Company Name]) - ROW(INDEX(balance_sheet_quarter[Company Name], 1, 1)) + 1), ROW(47:47)), COLUMN(L:L)), "")</f>
        <v>0</v>
      </c>
      <c r="N49" s="14">
        <f t="array" ref="N49">IFERROR(INDEX(balance_sheet_quarter[#All], SMALL(IF(LOWER(balance_sheet_quarter[Company Name]) = LOWER(balance_sheet_quarter_filter!$B$2), ROW(balance_sheet_quarter[Company Name]) - ROW(INDEX(balance_sheet_quarter[Company Name], 1, 1)) + 1), ROW(47:47)), COLUMN(M:M)), "")</f>
        <v>0</v>
      </c>
      <c r="O49" s="14">
        <f t="array" ref="O49">IFERROR(INDEX(balance_sheet_quarter[#All], SMALL(IF(LOWER(balance_sheet_quarter[Company Name]) = LOWER(balance_sheet_quarter_filter!$B$2), ROW(balance_sheet_quarter[Company Name]) - ROW(INDEX(balance_sheet_quarter[Company Name], 1, 1)) + 1), ROW(47:47)), COLUMN(N:N)), "")</f>
        <v>0</v>
      </c>
      <c r="P49" s="14">
        <f t="array" ref="P49">IFERROR(INDEX(balance_sheet_quarter[#All], SMALL(IF(LOWER(balance_sheet_quarter[Company Name]) = LOWER(balance_sheet_quarter_filter!$B$2), ROW(balance_sheet_quarter[Company Name]) - ROW(INDEX(balance_sheet_quarter[Company Name], 1, 1)) + 1), ROW(47:47)), COLUMN(O:O)), "")</f>
        <v>0</v>
      </c>
    </row>
    <row r="50" spans="3:16" x14ac:dyDescent="0.35">
      <c r="C50" t="str">
        <f t="array" ref="C50">IFERROR(INDEX(balance_sheet_quarter[#All], SMALL(IF(LOWER(balance_sheet_quarter[Company Name]) = LOWER(balance_sheet_quarter_filter!$B$2), ROW(balance_sheet_quarter[Company Name]) - ROW(INDEX(balance_sheet_quarter[Company Name], 1, 1)) + 1), ROW(48:48)), COLUMN(B:B)), "")</f>
        <v>III. Bất động sản đầu tư</v>
      </c>
      <c r="D50" s="14">
        <f t="array" ref="D50">IFERROR(INDEX(balance_sheet_quarter[#All], SMALL(IF(LOWER(balance_sheet_quarter[Company Name]) = LOWER(balance_sheet_quarter_filter!$B$2), ROW(balance_sheet_quarter[Company Name]) - ROW(INDEX(balance_sheet_quarter[Company Name], 1, 1)) + 1), ROW(48:48)), COLUMN(C:C)), "")</f>
        <v>0</v>
      </c>
      <c r="E50" s="14">
        <f t="array" ref="E50">IFERROR(INDEX(balance_sheet_quarter[#All], SMALL(IF(LOWER(balance_sheet_quarter[Company Name]) = LOWER(balance_sheet_quarter_filter!$B$2), ROW(balance_sheet_quarter[Company Name]) - ROW(INDEX(balance_sheet_quarter[Company Name], 1, 1)) + 1), ROW(48:48)), COLUMN(D:D)), "")</f>
        <v>0</v>
      </c>
      <c r="F50" s="14">
        <f t="array" ref="F50">IFERROR(INDEX(balance_sheet_quarter[#All], SMALL(IF(LOWER(balance_sheet_quarter[Company Name]) = LOWER(balance_sheet_quarter_filter!$B$2), ROW(balance_sheet_quarter[Company Name]) - ROW(INDEX(balance_sheet_quarter[Company Name], 1, 1)) + 1), ROW(48:48)), COLUMN(E:E)), "")</f>
        <v>0</v>
      </c>
      <c r="G50" s="14">
        <f t="array" ref="G50">IFERROR(INDEX(balance_sheet_quarter[#All], SMALL(IF(LOWER(balance_sheet_quarter[Company Name]) = LOWER(balance_sheet_quarter_filter!$B$2), ROW(balance_sheet_quarter[Company Name]) - ROW(INDEX(balance_sheet_quarter[Company Name], 1, 1)) + 1), ROW(48:48)), COLUMN(F:F)), "")</f>
        <v>0</v>
      </c>
      <c r="H50" s="14">
        <f t="array" ref="H50">IFERROR(INDEX(balance_sheet_quarter[#All], SMALL(IF(LOWER(balance_sheet_quarter[Company Name]) = LOWER(balance_sheet_quarter_filter!$B$2), ROW(balance_sheet_quarter[Company Name]) - ROW(INDEX(balance_sheet_quarter[Company Name], 1, 1)) + 1), ROW(48:48)), COLUMN(G:G)), "")</f>
        <v>0</v>
      </c>
      <c r="I50" s="14">
        <f t="array" ref="I50">IFERROR(INDEX(balance_sheet_quarter[#All], SMALL(IF(LOWER(balance_sheet_quarter[Company Name]) = LOWER(balance_sheet_quarter_filter!$B$2), ROW(balance_sheet_quarter[Company Name]) - ROW(INDEX(balance_sheet_quarter[Company Name], 1, 1)) + 1), ROW(48:48)), COLUMN(H:H)), "")</f>
        <v>0</v>
      </c>
      <c r="J50" s="14">
        <f t="array" ref="J50">IFERROR(INDEX(balance_sheet_quarter[#All], SMALL(IF(LOWER(balance_sheet_quarter[Company Name]) = LOWER(balance_sheet_quarter_filter!$B$2), ROW(balance_sheet_quarter[Company Name]) - ROW(INDEX(balance_sheet_quarter[Company Name], 1, 1)) + 1), ROW(48:48)), COLUMN(I:I)), "")</f>
        <v>0</v>
      </c>
      <c r="K50" s="14">
        <f t="array" ref="K50">IFERROR(INDEX(balance_sheet_quarter[#All], SMALL(IF(LOWER(balance_sheet_quarter[Company Name]) = LOWER(balance_sheet_quarter_filter!$B$2), ROW(balance_sheet_quarter[Company Name]) - ROW(INDEX(balance_sheet_quarter[Company Name], 1, 1)) + 1), ROW(48:48)), COLUMN(J:J)), "")</f>
        <v>0</v>
      </c>
      <c r="L50" s="14">
        <f t="array" ref="L50">IFERROR(INDEX(balance_sheet_quarter[#All], SMALL(IF(LOWER(balance_sheet_quarter[Company Name]) = LOWER(balance_sheet_quarter_filter!$B$2), ROW(balance_sheet_quarter[Company Name]) - ROW(INDEX(balance_sheet_quarter[Company Name], 1, 1)) + 1), ROW(48:48)), COLUMN(K:K)), "")</f>
        <v>0</v>
      </c>
      <c r="M50" s="14">
        <f t="array" ref="M50">IFERROR(INDEX(balance_sheet_quarter[#All], SMALL(IF(LOWER(balance_sheet_quarter[Company Name]) = LOWER(balance_sheet_quarter_filter!$B$2), ROW(balance_sheet_quarter[Company Name]) - ROW(INDEX(balance_sheet_quarter[Company Name], 1, 1)) + 1), ROW(48:48)), COLUMN(L:L)), "")</f>
        <v>0</v>
      </c>
      <c r="N50" s="14">
        <f t="array" ref="N50">IFERROR(INDEX(balance_sheet_quarter[#All], SMALL(IF(LOWER(balance_sheet_quarter[Company Name]) = LOWER(balance_sheet_quarter_filter!$B$2), ROW(balance_sheet_quarter[Company Name]) - ROW(INDEX(balance_sheet_quarter[Company Name], 1, 1)) + 1), ROW(48:48)), COLUMN(M:M)), "")</f>
        <v>0</v>
      </c>
      <c r="O50" s="14">
        <f t="array" ref="O50">IFERROR(INDEX(balance_sheet_quarter[#All], SMALL(IF(LOWER(balance_sheet_quarter[Company Name]) = LOWER(balance_sheet_quarter_filter!$B$2), ROW(balance_sheet_quarter[Company Name]) - ROW(INDEX(balance_sheet_quarter[Company Name], 1, 1)) + 1), ROW(48:48)), COLUMN(N:N)), "")</f>
        <v>0</v>
      </c>
      <c r="P50" s="14">
        <f t="array" ref="P50">IFERROR(INDEX(balance_sheet_quarter[#All], SMALL(IF(LOWER(balance_sheet_quarter[Company Name]) = LOWER(balance_sheet_quarter_filter!$B$2), ROW(balance_sheet_quarter[Company Name]) - ROW(INDEX(balance_sheet_quarter[Company Name], 1, 1)) + 1), ROW(48:48)), COLUMN(O:O)), "")</f>
        <v>0</v>
      </c>
    </row>
    <row r="51" spans="3:16" x14ac:dyDescent="0.35">
      <c r="C51" t="str">
        <f t="array" ref="C51">IFERROR(INDEX(balance_sheet_quarter[#All], SMALL(IF(LOWER(balance_sheet_quarter[Company Name]) = LOWER(balance_sheet_quarter_filter!$B$2), ROW(balance_sheet_quarter[Company Name]) - ROW(INDEX(balance_sheet_quarter[Company Name], 1, 1)) + 1), ROW(49:49)), COLUMN(B:B)), "")</f>
        <v>- Nguyên giá</v>
      </c>
      <c r="D51" s="14">
        <f t="array" ref="D51">IFERROR(INDEX(balance_sheet_quarter[#All], SMALL(IF(LOWER(balance_sheet_quarter[Company Name]) = LOWER(balance_sheet_quarter_filter!$B$2), ROW(balance_sheet_quarter[Company Name]) - ROW(INDEX(balance_sheet_quarter[Company Name], 1, 1)) + 1), ROW(49:49)), COLUMN(C:C)), "")</f>
        <v>0</v>
      </c>
      <c r="E51" s="14">
        <f t="array" ref="E51">IFERROR(INDEX(balance_sheet_quarter[#All], SMALL(IF(LOWER(balance_sheet_quarter[Company Name]) = LOWER(balance_sheet_quarter_filter!$B$2), ROW(balance_sheet_quarter[Company Name]) - ROW(INDEX(balance_sheet_quarter[Company Name], 1, 1)) + 1), ROW(49:49)), COLUMN(D:D)), "")</f>
        <v>0</v>
      </c>
      <c r="F51" s="14">
        <f t="array" ref="F51">IFERROR(INDEX(balance_sheet_quarter[#All], SMALL(IF(LOWER(balance_sheet_quarter[Company Name]) = LOWER(balance_sheet_quarter_filter!$B$2), ROW(balance_sheet_quarter[Company Name]) - ROW(INDEX(balance_sheet_quarter[Company Name], 1, 1)) + 1), ROW(49:49)), COLUMN(E:E)), "")</f>
        <v>0</v>
      </c>
      <c r="G51" s="14">
        <f t="array" ref="G51">IFERROR(INDEX(balance_sheet_quarter[#All], SMALL(IF(LOWER(balance_sheet_quarter[Company Name]) = LOWER(balance_sheet_quarter_filter!$B$2), ROW(balance_sheet_quarter[Company Name]) - ROW(INDEX(balance_sheet_quarter[Company Name], 1, 1)) + 1), ROW(49:49)), COLUMN(F:F)), "")</f>
        <v>0</v>
      </c>
      <c r="H51" s="14">
        <f t="array" ref="H51">IFERROR(INDEX(balance_sheet_quarter[#All], SMALL(IF(LOWER(balance_sheet_quarter[Company Name]) = LOWER(balance_sheet_quarter_filter!$B$2), ROW(balance_sheet_quarter[Company Name]) - ROW(INDEX(balance_sheet_quarter[Company Name], 1, 1)) + 1), ROW(49:49)), COLUMN(G:G)), "")</f>
        <v>0</v>
      </c>
      <c r="I51" s="14">
        <f t="array" ref="I51">IFERROR(INDEX(balance_sheet_quarter[#All], SMALL(IF(LOWER(balance_sheet_quarter[Company Name]) = LOWER(balance_sheet_quarter_filter!$B$2), ROW(balance_sheet_quarter[Company Name]) - ROW(INDEX(balance_sheet_quarter[Company Name], 1, 1)) + 1), ROW(49:49)), COLUMN(H:H)), "")</f>
        <v>0</v>
      </c>
      <c r="J51" s="14">
        <f t="array" ref="J51">IFERROR(INDEX(balance_sheet_quarter[#All], SMALL(IF(LOWER(balance_sheet_quarter[Company Name]) = LOWER(balance_sheet_quarter_filter!$B$2), ROW(balance_sheet_quarter[Company Name]) - ROW(INDEX(balance_sheet_quarter[Company Name], 1, 1)) + 1), ROW(49:49)), COLUMN(I:I)), "")</f>
        <v>0</v>
      </c>
      <c r="K51" s="14">
        <f t="array" ref="K51">IFERROR(INDEX(balance_sheet_quarter[#All], SMALL(IF(LOWER(balance_sheet_quarter[Company Name]) = LOWER(balance_sheet_quarter_filter!$B$2), ROW(balance_sheet_quarter[Company Name]) - ROW(INDEX(balance_sheet_quarter[Company Name], 1, 1)) + 1), ROW(49:49)), COLUMN(J:J)), "")</f>
        <v>0</v>
      </c>
      <c r="L51" s="14">
        <f t="array" ref="L51">IFERROR(INDEX(balance_sheet_quarter[#All], SMALL(IF(LOWER(balance_sheet_quarter[Company Name]) = LOWER(balance_sheet_quarter_filter!$B$2), ROW(balance_sheet_quarter[Company Name]) - ROW(INDEX(balance_sheet_quarter[Company Name], 1, 1)) + 1), ROW(49:49)), COLUMN(K:K)), "")</f>
        <v>0</v>
      </c>
      <c r="M51" s="14">
        <f t="array" ref="M51">IFERROR(INDEX(balance_sheet_quarter[#All], SMALL(IF(LOWER(balance_sheet_quarter[Company Name]) = LOWER(balance_sheet_quarter_filter!$B$2), ROW(balance_sheet_quarter[Company Name]) - ROW(INDEX(balance_sheet_quarter[Company Name], 1, 1)) + 1), ROW(49:49)), COLUMN(L:L)), "")</f>
        <v>0</v>
      </c>
      <c r="N51" s="14">
        <f t="array" ref="N51">IFERROR(INDEX(balance_sheet_quarter[#All], SMALL(IF(LOWER(balance_sheet_quarter[Company Name]) = LOWER(balance_sheet_quarter_filter!$B$2), ROW(balance_sheet_quarter[Company Name]) - ROW(INDEX(balance_sheet_quarter[Company Name], 1, 1)) + 1), ROW(49:49)), COLUMN(M:M)), "")</f>
        <v>0</v>
      </c>
      <c r="O51" s="14">
        <f t="array" ref="O51">IFERROR(INDEX(balance_sheet_quarter[#All], SMALL(IF(LOWER(balance_sheet_quarter[Company Name]) = LOWER(balance_sheet_quarter_filter!$B$2), ROW(balance_sheet_quarter[Company Name]) - ROW(INDEX(balance_sheet_quarter[Company Name], 1, 1)) + 1), ROW(49:49)), COLUMN(N:N)), "")</f>
        <v>0</v>
      </c>
      <c r="P51" s="14">
        <f t="array" ref="P51">IFERROR(INDEX(balance_sheet_quarter[#All], SMALL(IF(LOWER(balance_sheet_quarter[Company Name]) = LOWER(balance_sheet_quarter_filter!$B$2), ROW(balance_sheet_quarter[Company Name]) - ROW(INDEX(balance_sheet_quarter[Company Name], 1, 1)) + 1), ROW(49:49)), COLUMN(O:O)), "")</f>
        <v>0</v>
      </c>
    </row>
    <row r="52" spans="3:16" x14ac:dyDescent="0.35">
      <c r="C52" t="str">
        <f t="array" ref="C52">IFERROR(INDEX(balance_sheet_quarter[#All], SMALL(IF(LOWER(balance_sheet_quarter[Company Name]) = LOWER(balance_sheet_quarter_filter!$B$2), ROW(balance_sheet_quarter[Company Name]) - ROW(INDEX(balance_sheet_quarter[Company Name], 1, 1)) + 1), ROW(50:50)), COLUMN(B:B)), "")</f>
        <v>- Giá trị hao mòn lũy kế</v>
      </c>
      <c r="D52" s="14">
        <f t="array" ref="D52">IFERROR(INDEX(balance_sheet_quarter[#All], SMALL(IF(LOWER(balance_sheet_quarter[Company Name]) = LOWER(balance_sheet_quarter_filter!$B$2), ROW(balance_sheet_quarter[Company Name]) - ROW(INDEX(balance_sheet_quarter[Company Name], 1, 1)) + 1), ROW(50:50)), COLUMN(C:C)), "")</f>
        <v>0</v>
      </c>
      <c r="E52" s="14">
        <f t="array" ref="E52">IFERROR(INDEX(balance_sheet_quarter[#All], SMALL(IF(LOWER(balance_sheet_quarter[Company Name]) = LOWER(balance_sheet_quarter_filter!$B$2), ROW(balance_sheet_quarter[Company Name]) - ROW(INDEX(balance_sheet_quarter[Company Name], 1, 1)) + 1), ROW(50:50)), COLUMN(D:D)), "")</f>
        <v>0</v>
      </c>
      <c r="F52" s="14">
        <f t="array" ref="F52">IFERROR(INDEX(balance_sheet_quarter[#All], SMALL(IF(LOWER(balance_sheet_quarter[Company Name]) = LOWER(balance_sheet_quarter_filter!$B$2), ROW(balance_sheet_quarter[Company Name]) - ROW(INDEX(balance_sheet_quarter[Company Name], 1, 1)) + 1), ROW(50:50)), COLUMN(E:E)), "")</f>
        <v>0</v>
      </c>
      <c r="G52" s="14">
        <f t="array" ref="G52">IFERROR(INDEX(balance_sheet_quarter[#All], SMALL(IF(LOWER(balance_sheet_quarter[Company Name]) = LOWER(balance_sheet_quarter_filter!$B$2), ROW(balance_sheet_quarter[Company Name]) - ROW(INDEX(balance_sheet_quarter[Company Name], 1, 1)) + 1), ROW(50:50)), COLUMN(F:F)), "")</f>
        <v>0</v>
      </c>
      <c r="H52" s="14">
        <f t="array" ref="H52">IFERROR(INDEX(balance_sheet_quarter[#All], SMALL(IF(LOWER(balance_sheet_quarter[Company Name]) = LOWER(balance_sheet_quarter_filter!$B$2), ROW(balance_sheet_quarter[Company Name]) - ROW(INDEX(balance_sheet_quarter[Company Name], 1, 1)) + 1), ROW(50:50)), COLUMN(G:G)), "")</f>
        <v>0</v>
      </c>
      <c r="I52" s="14">
        <f t="array" ref="I52">IFERROR(INDEX(balance_sheet_quarter[#All], SMALL(IF(LOWER(balance_sheet_quarter[Company Name]) = LOWER(balance_sheet_quarter_filter!$B$2), ROW(balance_sheet_quarter[Company Name]) - ROW(INDEX(balance_sheet_quarter[Company Name], 1, 1)) + 1), ROW(50:50)), COLUMN(H:H)), "")</f>
        <v>0</v>
      </c>
      <c r="J52" s="14">
        <f t="array" ref="J52">IFERROR(INDEX(balance_sheet_quarter[#All], SMALL(IF(LOWER(balance_sheet_quarter[Company Name]) = LOWER(balance_sheet_quarter_filter!$B$2), ROW(balance_sheet_quarter[Company Name]) - ROW(INDEX(balance_sheet_quarter[Company Name], 1, 1)) + 1), ROW(50:50)), COLUMN(I:I)), "")</f>
        <v>0</v>
      </c>
      <c r="K52" s="14">
        <f t="array" ref="K52">IFERROR(INDEX(balance_sheet_quarter[#All], SMALL(IF(LOWER(balance_sheet_quarter[Company Name]) = LOWER(balance_sheet_quarter_filter!$B$2), ROW(balance_sheet_quarter[Company Name]) - ROW(INDEX(balance_sheet_quarter[Company Name], 1, 1)) + 1), ROW(50:50)), COLUMN(J:J)), "")</f>
        <v>0</v>
      </c>
      <c r="L52" s="14">
        <f t="array" ref="L52">IFERROR(INDEX(balance_sheet_quarter[#All], SMALL(IF(LOWER(balance_sheet_quarter[Company Name]) = LOWER(balance_sheet_quarter_filter!$B$2), ROW(balance_sheet_quarter[Company Name]) - ROW(INDEX(balance_sheet_quarter[Company Name], 1, 1)) + 1), ROW(50:50)), COLUMN(K:K)), "")</f>
        <v>0</v>
      </c>
      <c r="M52" s="14">
        <f t="array" ref="M52">IFERROR(INDEX(balance_sheet_quarter[#All], SMALL(IF(LOWER(balance_sheet_quarter[Company Name]) = LOWER(balance_sheet_quarter_filter!$B$2), ROW(balance_sheet_quarter[Company Name]) - ROW(INDEX(balance_sheet_quarter[Company Name], 1, 1)) + 1), ROW(50:50)), COLUMN(L:L)), "")</f>
        <v>0</v>
      </c>
      <c r="N52" s="14">
        <f t="array" ref="N52">IFERROR(INDEX(balance_sheet_quarter[#All], SMALL(IF(LOWER(balance_sheet_quarter[Company Name]) = LOWER(balance_sheet_quarter_filter!$B$2), ROW(balance_sheet_quarter[Company Name]) - ROW(INDEX(balance_sheet_quarter[Company Name], 1, 1)) + 1), ROW(50:50)), COLUMN(M:M)), "")</f>
        <v>0</v>
      </c>
      <c r="O52" s="14">
        <f t="array" ref="O52">IFERROR(INDEX(balance_sheet_quarter[#All], SMALL(IF(LOWER(balance_sheet_quarter[Company Name]) = LOWER(balance_sheet_quarter_filter!$B$2), ROW(balance_sheet_quarter[Company Name]) - ROW(INDEX(balance_sheet_quarter[Company Name], 1, 1)) + 1), ROW(50:50)), COLUMN(N:N)), "")</f>
        <v>0</v>
      </c>
      <c r="P52" s="14">
        <f t="array" ref="P52">IFERROR(INDEX(balance_sheet_quarter[#All], SMALL(IF(LOWER(balance_sheet_quarter[Company Name]) = LOWER(balance_sheet_quarter_filter!$B$2), ROW(balance_sheet_quarter[Company Name]) - ROW(INDEX(balance_sheet_quarter[Company Name], 1, 1)) + 1), ROW(50:50)), COLUMN(O:O)), "")</f>
        <v>0</v>
      </c>
    </row>
    <row r="53" spans="3:16" x14ac:dyDescent="0.35">
      <c r="C53" t="str">
        <f t="array" ref="C53">IFERROR(INDEX(balance_sheet_quarter[#All], SMALL(IF(LOWER(balance_sheet_quarter[Company Name]) = LOWER(balance_sheet_quarter_filter!$B$2), ROW(balance_sheet_quarter[Company Name]) - ROW(INDEX(balance_sheet_quarter[Company Name], 1, 1)) + 1), ROW(51:51)), COLUMN(B:B)), "")</f>
        <v>IV. Tài sản dở dang dài hạn</v>
      </c>
      <c r="D53" s="14">
        <f t="array" ref="D53">IFERROR(INDEX(balance_sheet_quarter[#All], SMALL(IF(LOWER(balance_sheet_quarter[Company Name]) = LOWER(balance_sheet_quarter_filter!$B$2), ROW(balance_sheet_quarter[Company Name]) - ROW(INDEX(balance_sheet_quarter[Company Name], 1, 1)) + 1), ROW(51:51)), COLUMN(C:C)), "")</f>
        <v>1549539432311</v>
      </c>
      <c r="E53" s="14">
        <f t="array" ref="E53">IFERROR(INDEX(balance_sheet_quarter[#All], SMALL(IF(LOWER(balance_sheet_quarter[Company Name]) = LOWER(balance_sheet_quarter_filter!$B$2), ROW(balance_sheet_quarter[Company Name]) - ROW(INDEX(balance_sheet_quarter[Company Name], 1, 1)) + 1), ROW(51:51)), COLUMN(D:D)), "")</f>
        <v>839456221132</v>
      </c>
      <c r="F53" s="14">
        <f t="array" ref="F53">IFERROR(INDEX(balance_sheet_quarter[#All], SMALL(IF(LOWER(balance_sheet_quarter[Company Name]) = LOWER(balance_sheet_quarter_filter!$B$2), ROW(balance_sheet_quarter[Company Name]) - ROW(INDEX(balance_sheet_quarter[Company Name], 1, 1)) + 1), ROW(51:51)), COLUMN(E:E)), "")</f>
        <v>4843185538</v>
      </c>
      <c r="G53" s="14">
        <f t="array" ref="G53">IFERROR(INDEX(balance_sheet_quarter[#All], SMALL(IF(LOWER(balance_sheet_quarter[Company Name]) = LOWER(balance_sheet_quarter_filter!$B$2), ROW(balance_sheet_quarter[Company Name]) - ROW(INDEX(balance_sheet_quarter[Company Name], 1, 1)) + 1), ROW(51:51)), COLUMN(F:F)), "")</f>
        <v>43315849332</v>
      </c>
      <c r="H53" s="14">
        <f t="array" ref="H53">IFERROR(INDEX(balance_sheet_quarter[#All], SMALL(IF(LOWER(balance_sheet_quarter[Company Name]) = LOWER(balance_sheet_quarter_filter!$B$2), ROW(balance_sheet_quarter[Company Name]) - ROW(INDEX(balance_sheet_quarter[Company Name], 1, 1)) + 1), ROW(51:51)), COLUMN(G:G)), "")</f>
        <v>62859970508</v>
      </c>
      <c r="I53" s="14">
        <f t="array" ref="I53">IFERROR(INDEX(balance_sheet_quarter[#All], SMALL(IF(LOWER(balance_sheet_quarter[Company Name]) = LOWER(balance_sheet_quarter_filter!$B$2), ROW(balance_sheet_quarter[Company Name]) - ROW(INDEX(balance_sheet_quarter[Company Name], 1, 1)) + 1), ROW(51:51)), COLUMN(H:H)), "")</f>
        <v>40325706332</v>
      </c>
      <c r="J53" s="14">
        <f t="array" ref="J53">IFERROR(INDEX(balance_sheet_quarter[#All], SMALL(IF(LOWER(balance_sheet_quarter[Company Name]) = LOWER(balance_sheet_quarter_filter!$B$2), ROW(balance_sheet_quarter[Company Name]) - ROW(INDEX(balance_sheet_quarter[Company Name], 1, 1)) + 1), ROW(51:51)), COLUMN(I:I)), "")</f>
        <v>46650201787</v>
      </c>
      <c r="K53" s="14">
        <f t="array" ref="K53">IFERROR(INDEX(balance_sheet_quarter[#All], SMALL(IF(LOWER(balance_sheet_quarter[Company Name]) = LOWER(balance_sheet_quarter_filter!$B$2), ROW(balance_sheet_quarter[Company Name]) - ROW(INDEX(balance_sheet_quarter[Company Name], 1, 1)) + 1), ROW(51:51)), COLUMN(J:J)), "")</f>
        <v>45746199887</v>
      </c>
      <c r="L53" s="14">
        <f t="array" ref="L53">IFERROR(INDEX(balance_sheet_quarter[#All], SMALL(IF(LOWER(balance_sheet_quarter[Company Name]) = LOWER(balance_sheet_quarter_filter!$B$2), ROW(balance_sheet_quarter[Company Name]) - ROW(INDEX(balance_sheet_quarter[Company Name], 1, 1)) + 1), ROW(51:51)), COLUMN(K:K)), "")</f>
        <v>45742613523</v>
      </c>
      <c r="M53" s="14">
        <f t="array" ref="M53">IFERROR(INDEX(balance_sheet_quarter[#All], SMALL(IF(LOWER(balance_sheet_quarter[Company Name]) = LOWER(balance_sheet_quarter_filter!$B$2), ROW(balance_sheet_quarter[Company Name]) - ROW(INDEX(balance_sheet_quarter[Company Name], 1, 1)) + 1), ROW(51:51)), COLUMN(L:L)), "")</f>
        <v>45742613523</v>
      </c>
      <c r="N53" s="14">
        <f t="array" ref="N53">IFERROR(INDEX(balance_sheet_quarter[#All], SMALL(IF(LOWER(balance_sheet_quarter[Company Name]) = LOWER(balance_sheet_quarter_filter!$B$2), ROW(balance_sheet_quarter[Company Name]) - ROW(INDEX(balance_sheet_quarter[Company Name], 1, 1)) + 1), ROW(51:51)), COLUMN(M:M)), "")</f>
        <v>45742613523</v>
      </c>
      <c r="O53" s="14">
        <f t="array" ref="O53">IFERROR(INDEX(balance_sheet_quarter[#All], SMALL(IF(LOWER(balance_sheet_quarter[Company Name]) = LOWER(balance_sheet_quarter_filter!$B$2), ROW(balance_sheet_quarter[Company Name]) - ROW(INDEX(balance_sheet_quarter[Company Name], 1, 1)) + 1), ROW(51:51)), COLUMN(N:N)), "")</f>
        <v>46066687597</v>
      </c>
      <c r="P53" s="14">
        <f t="array" ref="P53">IFERROR(INDEX(balance_sheet_quarter[#All], SMALL(IF(LOWER(balance_sheet_quarter[Company Name]) = LOWER(balance_sheet_quarter_filter!$B$2), ROW(balance_sheet_quarter[Company Name]) - ROW(INDEX(balance_sheet_quarter[Company Name], 1, 1)) + 1), ROW(51:51)), COLUMN(O:O)), "")</f>
        <v>46066687597</v>
      </c>
    </row>
    <row r="54" spans="3:16" x14ac:dyDescent="0.35">
      <c r="C54" t="str">
        <f t="array" ref="C54">IFERROR(INDEX(balance_sheet_quarter[#All], SMALL(IF(LOWER(balance_sheet_quarter[Company Name]) = LOWER(balance_sheet_quarter_filter!$B$2), ROW(balance_sheet_quarter[Company Name]) - ROW(INDEX(balance_sheet_quarter[Company Name], 1, 1)) + 1), ROW(52:52)), COLUMN(B:B)), "")</f>
        <v>1. Chi phí sản xuất, kinh doanh dở dang dài hạn</v>
      </c>
      <c r="D54" s="14">
        <f t="array" ref="D54">IFERROR(INDEX(balance_sheet_quarter[#All], SMALL(IF(LOWER(balance_sheet_quarter[Company Name]) = LOWER(balance_sheet_quarter_filter!$B$2), ROW(balance_sheet_quarter[Company Name]) - ROW(INDEX(balance_sheet_quarter[Company Name], 1, 1)) + 1), ROW(52:52)), COLUMN(C:C)), "")</f>
        <v>0</v>
      </c>
      <c r="E54" s="14">
        <f t="array" ref="E54">IFERROR(INDEX(balance_sheet_quarter[#All], SMALL(IF(LOWER(balance_sheet_quarter[Company Name]) = LOWER(balance_sheet_quarter_filter!$B$2), ROW(balance_sheet_quarter[Company Name]) - ROW(INDEX(balance_sheet_quarter[Company Name], 1, 1)) + 1), ROW(52:52)), COLUMN(D:D)), "")</f>
        <v>0</v>
      </c>
      <c r="F54" s="14">
        <f t="array" ref="F54">IFERROR(INDEX(balance_sheet_quarter[#All], SMALL(IF(LOWER(balance_sheet_quarter[Company Name]) = LOWER(balance_sheet_quarter_filter!$B$2), ROW(balance_sheet_quarter[Company Name]) - ROW(INDEX(balance_sheet_quarter[Company Name], 1, 1)) + 1), ROW(52:52)), COLUMN(E:E)), "")</f>
        <v>0</v>
      </c>
      <c r="G54" s="14">
        <f t="array" ref="G54">IFERROR(INDEX(balance_sheet_quarter[#All], SMALL(IF(LOWER(balance_sheet_quarter[Company Name]) = LOWER(balance_sheet_quarter_filter!$B$2), ROW(balance_sheet_quarter[Company Name]) - ROW(INDEX(balance_sheet_quarter[Company Name], 1, 1)) + 1), ROW(52:52)), COLUMN(F:F)), "")</f>
        <v>0</v>
      </c>
      <c r="H54" s="14">
        <f t="array" ref="H54">IFERROR(INDEX(balance_sheet_quarter[#All], SMALL(IF(LOWER(balance_sheet_quarter[Company Name]) = LOWER(balance_sheet_quarter_filter!$B$2), ROW(balance_sheet_quarter[Company Name]) - ROW(INDEX(balance_sheet_quarter[Company Name], 1, 1)) + 1), ROW(52:52)), COLUMN(G:G)), "")</f>
        <v>0</v>
      </c>
      <c r="I54" s="14">
        <f t="array" ref="I54">IFERROR(INDEX(balance_sheet_quarter[#All], SMALL(IF(LOWER(balance_sheet_quarter[Company Name]) = LOWER(balance_sheet_quarter_filter!$B$2), ROW(balance_sheet_quarter[Company Name]) - ROW(INDEX(balance_sheet_quarter[Company Name], 1, 1)) + 1), ROW(52:52)), COLUMN(H:H)), "")</f>
        <v>0</v>
      </c>
      <c r="J54" s="14">
        <f t="array" ref="J54">IFERROR(INDEX(balance_sheet_quarter[#All], SMALL(IF(LOWER(balance_sheet_quarter[Company Name]) = LOWER(balance_sheet_quarter_filter!$B$2), ROW(balance_sheet_quarter[Company Name]) - ROW(INDEX(balance_sheet_quarter[Company Name], 1, 1)) + 1), ROW(52:52)), COLUMN(I:I)), "")</f>
        <v>0</v>
      </c>
      <c r="K54" s="14">
        <f t="array" ref="K54">IFERROR(INDEX(balance_sheet_quarter[#All], SMALL(IF(LOWER(balance_sheet_quarter[Company Name]) = LOWER(balance_sheet_quarter_filter!$B$2), ROW(balance_sheet_quarter[Company Name]) - ROW(INDEX(balance_sheet_quarter[Company Name], 1, 1)) + 1), ROW(52:52)), COLUMN(J:J)), "")</f>
        <v>0</v>
      </c>
      <c r="L54" s="14">
        <f t="array" ref="L54">IFERROR(INDEX(balance_sheet_quarter[#All], SMALL(IF(LOWER(balance_sheet_quarter[Company Name]) = LOWER(balance_sheet_quarter_filter!$B$2), ROW(balance_sheet_quarter[Company Name]) - ROW(INDEX(balance_sheet_quarter[Company Name], 1, 1)) + 1), ROW(52:52)), COLUMN(K:K)), "")</f>
        <v>0</v>
      </c>
      <c r="M54" s="14">
        <f t="array" ref="M54">IFERROR(INDEX(balance_sheet_quarter[#All], SMALL(IF(LOWER(balance_sheet_quarter[Company Name]) = LOWER(balance_sheet_quarter_filter!$B$2), ROW(balance_sheet_quarter[Company Name]) - ROW(INDEX(balance_sheet_quarter[Company Name], 1, 1)) + 1), ROW(52:52)), COLUMN(L:L)), "")</f>
        <v>0</v>
      </c>
      <c r="N54" s="14">
        <f t="array" ref="N54">IFERROR(INDEX(balance_sheet_quarter[#All], SMALL(IF(LOWER(balance_sheet_quarter[Company Name]) = LOWER(balance_sheet_quarter_filter!$B$2), ROW(balance_sheet_quarter[Company Name]) - ROW(INDEX(balance_sheet_quarter[Company Name], 1, 1)) + 1), ROW(52:52)), COLUMN(M:M)), "")</f>
        <v>0</v>
      </c>
      <c r="O54" s="14">
        <f t="array" ref="O54">IFERROR(INDEX(balance_sheet_quarter[#All], SMALL(IF(LOWER(balance_sheet_quarter[Company Name]) = LOWER(balance_sheet_quarter_filter!$B$2), ROW(balance_sheet_quarter[Company Name]) - ROW(INDEX(balance_sheet_quarter[Company Name], 1, 1)) + 1), ROW(52:52)), COLUMN(N:N)), "")</f>
        <v>0</v>
      </c>
      <c r="P54" s="14">
        <f t="array" ref="P54">IFERROR(INDEX(balance_sheet_quarter[#All], SMALL(IF(LOWER(balance_sheet_quarter[Company Name]) = LOWER(balance_sheet_quarter_filter!$B$2), ROW(balance_sheet_quarter[Company Name]) - ROW(INDEX(balance_sheet_quarter[Company Name], 1, 1)) + 1), ROW(52:52)), COLUMN(O:O)), "")</f>
        <v>0</v>
      </c>
    </row>
    <row r="55" spans="3:16" x14ac:dyDescent="0.35">
      <c r="C55" t="str">
        <f t="array" ref="C55">IFERROR(INDEX(balance_sheet_quarter[#All], SMALL(IF(LOWER(balance_sheet_quarter[Company Name]) = LOWER(balance_sheet_quarter_filter!$B$2), ROW(balance_sheet_quarter[Company Name]) - ROW(INDEX(balance_sheet_quarter[Company Name], 1, 1)) + 1), ROW(53:53)), COLUMN(B:B)), "")</f>
        <v>2. Chi phí xây dựng cơ bản dở dang</v>
      </c>
      <c r="D55" s="14">
        <f t="array" ref="D55">IFERROR(INDEX(balance_sheet_quarter[#All], SMALL(IF(LOWER(balance_sheet_quarter[Company Name]) = LOWER(balance_sheet_quarter_filter!$B$2), ROW(balance_sheet_quarter[Company Name]) - ROW(INDEX(balance_sheet_quarter[Company Name], 1, 1)) + 1), ROW(53:53)), COLUMN(C:C)), "")</f>
        <v>1549539432311</v>
      </c>
      <c r="E55" s="14">
        <f t="array" ref="E55">IFERROR(INDEX(balance_sheet_quarter[#All], SMALL(IF(LOWER(balance_sheet_quarter[Company Name]) = LOWER(balance_sheet_quarter_filter!$B$2), ROW(balance_sheet_quarter[Company Name]) - ROW(INDEX(balance_sheet_quarter[Company Name], 1, 1)) + 1), ROW(53:53)), COLUMN(D:D)), "")</f>
        <v>839456221132</v>
      </c>
      <c r="F55" s="14">
        <f t="array" ref="F55">IFERROR(INDEX(balance_sheet_quarter[#All], SMALL(IF(LOWER(balance_sheet_quarter[Company Name]) = LOWER(balance_sheet_quarter_filter!$B$2), ROW(balance_sheet_quarter[Company Name]) - ROW(INDEX(balance_sheet_quarter[Company Name], 1, 1)) + 1), ROW(53:53)), COLUMN(E:E)), "")</f>
        <v>4843185538</v>
      </c>
      <c r="G55" s="14">
        <f t="array" ref="G55">IFERROR(INDEX(balance_sheet_quarter[#All], SMALL(IF(LOWER(balance_sheet_quarter[Company Name]) = LOWER(balance_sheet_quarter_filter!$B$2), ROW(balance_sheet_quarter[Company Name]) - ROW(INDEX(balance_sheet_quarter[Company Name], 1, 1)) + 1), ROW(53:53)), COLUMN(F:F)), "")</f>
        <v>43315849332</v>
      </c>
      <c r="H55" s="14">
        <f t="array" ref="H55">IFERROR(INDEX(balance_sheet_quarter[#All], SMALL(IF(LOWER(balance_sheet_quarter[Company Name]) = LOWER(balance_sheet_quarter_filter!$B$2), ROW(balance_sheet_quarter[Company Name]) - ROW(INDEX(balance_sheet_quarter[Company Name], 1, 1)) + 1), ROW(53:53)), COLUMN(G:G)), "")</f>
        <v>62859970508</v>
      </c>
      <c r="I55" s="14">
        <f t="array" ref="I55">IFERROR(INDEX(balance_sheet_quarter[#All], SMALL(IF(LOWER(balance_sheet_quarter[Company Name]) = LOWER(balance_sheet_quarter_filter!$B$2), ROW(balance_sheet_quarter[Company Name]) - ROW(INDEX(balance_sheet_quarter[Company Name], 1, 1)) + 1), ROW(53:53)), COLUMN(H:H)), "")</f>
        <v>40325706332</v>
      </c>
      <c r="J55" s="14">
        <f t="array" ref="J55">IFERROR(INDEX(balance_sheet_quarter[#All], SMALL(IF(LOWER(balance_sheet_quarter[Company Name]) = LOWER(balance_sheet_quarter_filter!$B$2), ROW(balance_sheet_quarter[Company Name]) - ROW(INDEX(balance_sheet_quarter[Company Name], 1, 1)) + 1), ROW(53:53)), COLUMN(I:I)), "")</f>
        <v>46650201787</v>
      </c>
      <c r="K55" s="14">
        <f t="array" ref="K55">IFERROR(INDEX(balance_sheet_quarter[#All], SMALL(IF(LOWER(balance_sheet_quarter[Company Name]) = LOWER(balance_sheet_quarter_filter!$B$2), ROW(balance_sheet_quarter[Company Name]) - ROW(INDEX(balance_sheet_quarter[Company Name], 1, 1)) + 1), ROW(53:53)), COLUMN(J:J)), "")</f>
        <v>45746199887</v>
      </c>
      <c r="L55" s="14">
        <f t="array" ref="L55">IFERROR(INDEX(balance_sheet_quarter[#All], SMALL(IF(LOWER(balance_sheet_quarter[Company Name]) = LOWER(balance_sheet_quarter_filter!$B$2), ROW(balance_sheet_quarter[Company Name]) - ROW(INDEX(balance_sheet_quarter[Company Name], 1, 1)) + 1), ROW(53:53)), COLUMN(K:K)), "")</f>
        <v>45742613523</v>
      </c>
      <c r="M55" s="14">
        <f t="array" ref="M55">IFERROR(INDEX(balance_sheet_quarter[#All], SMALL(IF(LOWER(balance_sheet_quarter[Company Name]) = LOWER(balance_sheet_quarter_filter!$B$2), ROW(balance_sheet_quarter[Company Name]) - ROW(INDEX(balance_sheet_quarter[Company Name], 1, 1)) + 1), ROW(53:53)), COLUMN(L:L)), "")</f>
        <v>45742613523</v>
      </c>
      <c r="N55" s="14">
        <f t="array" ref="N55">IFERROR(INDEX(balance_sheet_quarter[#All], SMALL(IF(LOWER(balance_sheet_quarter[Company Name]) = LOWER(balance_sheet_quarter_filter!$B$2), ROW(balance_sheet_quarter[Company Name]) - ROW(INDEX(balance_sheet_quarter[Company Name], 1, 1)) + 1), ROW(53:53)), COLUMN(M:M)), "")</f>
        <v>45742613523</v>
      </c>
      <c r="O55" s="14">
        <f t="array" ref="O55">IFERROR(INDEX(balance_sheet_quarter[#All], SMALL(IF(LOWER(balance_sheet_quarter[Company Name]) = LOWER(balance_sheet_quarter_filter!$B$2), ROW(balance_sheet_quarter[Company Name]) - ROW(INDEX(balance_sheet_quarter[Company Name], 1, 1)) + 1), ROW(53:53)), COLUMN(N:N)), "")</f>
        <v>46066687597</v>
      </c>
      <c r="P55" s="14">
        <f t="array" ref="P55">IFERROR(INDEX(balance_sheet_quarter[#All], SMALL(IF(LOWER(balance_sheet_quarter[Company Name]) = LOWER(balance_sheet_quarter_filter!$B$2), ROW(balance_sheet_quarter[Company Name]) - ROW(INDEX(balance_sheet_quarter[Company Name], 1, 1)) + 1), ROW(53:53)), COLUMN(O:O)), "")</f>
        <v>46066687597</v>
      </c>
    </row>
    <row r="56" spans="3:16" x14ac:dyDescent="0.35">
      <c r="C56" t="str">
        <f t="array" ref="C56">IFERROR(INDEX(balance_sheet_quarter[#All], SMALL(IF(LOWER(balance_sheet_quarter[Company Name]) = LOWER(balance_sheet_quarter_filter!$B$2), ROW(balance_sheet_quarter[Company Name]) - ROW(INDEX(balance_sheet_quarter[Company Name], 1, 1)) + 1), ROW(54:54)), COLUMN(B:B)), "")</f>
        <v>V. Đầu tư tài chính dài hạn</v>
      </c>
      <c r="D56" s="14">
        <f t="array" ref="D56">IFERROR(INDEX(balance_sheet_quarter[#All], SMALL(IF(LOWER(balance_sheet_quarter[Company Name]) = LOWER(balance_sheet_quarter_filter!$B$2), ROW(balance_sheet_quarter[Company Name]) - ROW(INDEX(balance_sheet_quarter[Company Name], 1, 1)) + 1), ROW(54:54)), COLUMN(C:C)), "")</f>
        <v>117290000000</v>
      </c>
      <c r="E56" s="14">
        <f t="array" ref="E56">IFERROR(INDEX(balance_sheet_quarter[#All], SMALL(IF(LOWER(balance_sheet_quarter[Company Name]) = LOWER(balance_sheet_quarter_filter!$B$2), ROW(balance_sheet_quarter[Company Name]) - ROW(INDEX(balance_sheet_quarter[Company Name], 1, 1)) + 1), ROW(54:54)), COLUMN(D:D)), "")</f>
        <v>116700000000</v>
      </c>
      <c r="F56" s="14">
        <f t="array" ref="F56">IFERROR(INDEX(balance_sheet_quarter[#All], SMALL(IF(LOWER(balance_sheet_quarter[Company Name]) = LOWER(balance_sheet_quarter_filter!$B$2), ROW(balance_sheet_quarter[Company Name]) - ROW(INDEX(balance_sheet_quarter[Company Name], 1, 1)) + 1), ROW(54:54)), COLUMN(E:E)), "")</f>
        <v>116700000000</v>
      </c>
      <c r="G56" s="14">
        <f t="array" ref="G56">IFERROR(INDEX(balance_sheet_quarter[#All], SMALL(IF(LOWER(balance_sheet_quarter[Company Name]) = LOWER(balance_sheet_quarter_filter!$B$2), ROW(balance_sheet_quarter[Company Name]) - ROW(INDEX(balance_sheet_quarter[Company Name], 1, 1)) + 1), ROW(54:54)), COLUMN(F:F)), "")</f>
        <v>116700000000</v>
      </c>
      <c r="H56" s="14">
        <f t="array" ref="H56">IFERROR(INDEX(balance_sheet_quarter[#All], SMALL(IF(LOWER(balance_sheet_quarter[Company Name]) = LOWER(balance_sheet_quarter_filter!$B$2), ROW(balance_sheet_quarter[Company Name]) - ROW(INDEX(balance_sheet_quarter[Company Name], 1, 1)) + 1), ROW(54:54)), COLUMN(G:G)), "")</f>
        <v>116700000000</v>
      </c>
      <c r="I56" s="14">
        <f t="array" ref="I56">IFERROR(INDEX(balance_sheet_quarter[#All], SMALL(IF(LOWER(balance_sheet_quarter[Company Name]) = LOWER(balance_sheet_quarter_filter!$B$2), ROW(balance_sheet_quarter[Company Name]) - ROW(INDEX(balance_sheet_quarter[Company Name], 1, 1)) + 1), ROW(54:54)), COLUMN(H:H)), "")</f>
        <v>116700000000</v>
      </c>
      <c r="J56" s="14">
        <f t="array" ref="J56">IFERROR(INDEX(balance_sheet_quarter[#All], SMALL(IF(LOWER(balance_sheet_quarter[Company Name]) = LOWER(balance_sheet_quarter_filter!$B$2), ROW(balance_sheet_quarter[Company Name]) - ROW(INDEX(balance_sheet_quarter[Company Name], 1, 1)) + 1), ROW(54:54)), COLUMN(I:I)), "")</f>
        <v>116700000000</v>
      </c>
      <c r="K56" s="14">
        <f t="array" ref="K56">IFERROR(INDEX(balance_sheet_quarter[#All], SMALL(IF(LOWER(balance_sheet_quarter[Company Name]) = LOWER(balance_sheet_quarter_filter!$B$2), ROW(balance_sheet_quarter[Company Name]) - ROW(INDEX(balance_sheet_quarter[Company Name], 1, 1)) + 1), ROW(54:54)), COLUMN(J:J)), "")</f>
        <v>116700000000</v>
      </c>
      <c r="L56" s="14">
        <f t="array" ref="L56">IFERROR(INDEX(balance_sheet_quarter[#All], SMALL(IF(LOWER(balance_sheet_quarter[Company Name]) = LOWER(balance_sheet_quarter_filter!$B$2), ROW(balance_sheet_quarter[Company Name]) - ROW(INDEX(balance_sheet_quarter[Company Name], 1, 1)) + 1), ROW(54:54)), COLUMN(K:K)), "")</f>
        <v>116700000000</v>
      </c>
      <c r="M56" s="14">
        <f t="array" ref="M56">IFERROR(INDEX(balance_sheet_quarter[#All], SMALL(IF(LOWER(balance_sheet_quarter[Company Name]) = LOWER(balance_sheet_quarter_filter!$B$2), ROW(balance_sheet_quarter[Company Name]) - ROW(INDEX(balance_sheet_quarter[Company Name], 1, 1)) + 1), ROW(54:54)), COLUMN(L:L)), "")</f>
        <v>116700000000</v>
      </c>
      <c r="N56" s="14">
        <f t="array" ref="N56">IFERROR(INDEX(balance_sheet_quarter[#All], SMALL(IF(LOWER(balance_sheet_quarter[Company Name]) = LOWER(balance_sheet_quarter_filter!$B$2), ROW(balance_sheet_quarter[Company Name]) - ROW(INDEX(balance_sheet_quarter[Company Name], 1, 1)) + 1), ROW(54:54)), COLUMN(M:M)), "")</f>
        <v>107367506880</v>
      </c>
      <c r="O56" s="14">
        <f t="array" ref="O56">IFERROR(INDEX(balance_sheet_quarter[#All], SMALL(IF(LOWER(balance_sheet_quarter[Company Name]) = LOWER(balance_sheet_quarter_filter!$B$2), ROW(balance_sheet_quarter[Company Name]) - ROW(INDEX(balance_sheet_quarter[Company Name], 1, 1)) + 1), ROW(54:54)), COLUMN(N:N)), "")</f>
        <v>107367506880</v>
      </c>
      <c r="P56" s="14">
        <f t="array" ref="P56">IFERROR(INDEX(balance_sheet_quarter[#All], SMALL(IF(LOWER(balance_sheet_quarter[Company Name]) = LOWER(balance_sheet_quarter_filter!$B$2), ROW(balance_sheet_quarter[Company Name]) - ROW(INDEX(balance_sheet_quarter[Company Name], 1, 1)) + 1), ROW(54:54)), COLUMN(O:O)), "")</f>
        <v>107367506880</v>
      </c>
    </row>
    <row r="57" spans="3:16" x14ac:dyDescent="0.35">
      <c r="C57" t="str">
        <f t="array" ref="C57">IFERROR(INDEX(balance_sheet_quarter[#All], SMALL(IF(LOWER(balance_sheet_quarter[Company Name]) = LOWER(balance_sheet_quarter_filter!$B$2), ROW(balance_sheet_quarter[Company Name]) - ROW(INDEX(balance_sheet_quarter[Company Name], 1, 1)) + 1), ROW(55:55)), COLUMN(B:B)), "")</f>
        <v>1. Đầu tư vào công ty con</v>
      </c>
      <c r="D57" s="14">
        <f t="array" ref="D57">IFERROR(INDEX(balance_sheet_quarter[#All], SMALL(IF(LOWER(balance_sheet_quarter[Company Name]) = LOWER(balance_sheet_quarter_filter!$B$2), ROW(balance_sheet_quarter[Company Name]) - ROW(INDEX(balance_sheet_quarter[Company Name], 1, 1)) + 1), ROW(55:55)), COLUMN(C:C)), "")</f>
        <v>0</v>
      </c>
      <c r="E57" s="14">
        <f t="array" ref="E57">IFERROR(INDEX(balance_sheet_quarter[#All], SMALL(IF(LOWER(balance_sheet_quarter[Company Name]) = LOWER(balance_sheet_quarter_filter!$B$2), ROW(balance_sheet_quarter[Company Name]) - ROW(INDEX(balance_sheet_quarter[Company Name], 1, 1)) + 1), ROW(55:55)), COLUMN(D:D)), "")</f>
        <v>0</v>
      </c>
      <c r="F57" s="14">
        <f t="array" ref="F57">IFERROR(INDEX(balance_sheet_quarter[#All], SMALL(IF(LOWER(balance_sheet_quarter[Company Name]) = LOWER(balance_sheet_quarter_filter!$B$2), ROW(balance_sheet_quarter[Company Name]) - ROW(INDEX(balance_sheet_quarter[Company Name], 1, 1)) + 1), ROW(55:55)), COLUMN(E:E)), "")</f>
        <v>0</v>
      </c>
      <c r="G57" s="14">
        <f t="array" ref="G57">IFERROR(INDEX(balance_sheet_quarter[#All], SMALL(IF(LOWER(balance_sheet_quarter[Company Name]) = LOWER(balance_sheet_quarter_filter!$B$2), ROW(balance_sheet_quarter[Company Name]) - ROW(INDEX(balance_sheet_quarter[Company Name], 1, 1)) + 1), ROW(55:55)), COLUMN(F:F)), "")</f>
        <v>0</v>
      </c>
      <c r="H57" s="14">
        <f t="array" ref="H57">IFERROR(INDEX(balance_sheet_quarter[#All], SMALL(IF(LOWER(balance_sheet_quarter[Company Name]) = LOWER(balance_sheet_quarter_filter!$B$2), ROW(balance_sheet_quarter[Company Name]) - ROW(INDEX(balance_sheet_quarter[Company Name], 1, 1)) + 1), ROW(55:55)), COLUMN(G:G)), "")</f>
        <v>0</v>
      </c>
      <c r="I57" s="14">
        <f t="array" ref="I57">IFERROR(INDEX(balance_sheet_quarter[#All], SMALL(IF(LOWER(balance_sheet_quarter[Company Name]) = LOWER(balance_sheet_quarter_filter!$B$2), ROW(balance_sheet_quarter[Company Name]) - ROW(INDEX(balance_sheet_quarter[Company Name], 1, 1)) + 1), ROW(55:55)), COLUMN(H:H)), "")</f>
        <v>0</v>
      </c>
      <c r="J57" s="14">
        <f t="array" ref="J57">IFERROR(INDEX(balance_sheet_quarter[#All], SMALL(IF(LOWER(balance_sheet_quarter[Company Name]) = LOWER(balance_sheet_quarter_filter!$B$2), ROW(balance_sheet_quarter[Company Name]) - ROW(INDEX(balance_sheet_quarter[Company Name], 1, 1)) + 1), ROW(55:55)), COLUMN(I:I)), "")</f>
        <v>0</v>
      </c>
      <c r="K57" s="14">
        <f t="array" ref="K57">IFERROR(INDEX(balance_sheet_quarter[#All], SMALL(IF(LOWER(balance_sheet_quarter[Company Name]) = LOWER(balance_sheet_quarter_filter!$B$2), ROW(balance_sheet_quarter[Company Name]) - ROW(INDEX(balance_sheet_quarter[Company Name], 1, 1)) + 1), ROW(55:55)), COLUMN(J:J)), "")</f>
        <v>0</v>
      </c>
      <c r="L57" s="14">
        <f t="array" ref="L57">IFERROR(INDEX(balance_sheet_quarter[#All], SMALL(IF(LOWER(balance_sheet_quarter[Company Name]) = LOWER(balance_sheet_quarter_filter!$B$2), ROW(balance_sheet_quarter[Company Name]) - ROW(INDEX(balance_sheet_quarter[Company Name], 1, 1)) + 1), ROW(55:55)), COLUMN(K:K)), "")</f>
        <v>0</v>
      </c>
      <c r="M57" s="14">
        <f t="array" ref="M57">IFERROR(INDEX(balance_sheet_quarter[#All], SMALL(IF(LOWER(balance_sheet_quarter[Company Name]) = LOWER(balance_sheet_quarter_filter!$B$2), ROW(balance_sheet_quarter[Company Name]) - ROW(INDEX(balance_sheet_quarter[Company Name], 1, 1)) + 1), ROW(55:55)), COLUMN(L:L)), "")</f>
        <v>0</v>
      </c>
      <c r="N57" s="14">
        <f t="array" ref="N57">IFERROR(INDEX(balance_sheet_quarter[#All], SMALL(IF(LOWER(balance_sheet_quarter[Company Name]) = LOWER(balance_sheet_quarter_filter!$B$2), ROW(balance_sheet_quarter[Company Name]) - ROW(INDEX(balance_sheet_quarter[Company Name], 1, 1)) + 1), ROW(55:55)), COLUMN(M:M)), "")</f>
        <v>0</v>
      </c>
      <c r="O57" s="14">
        <f t="array" ref="O57">IFERROR(INDEX(balance_sheet_quarter[#All], SMALL(IF(LOWER(balance_sheet_quarter[Company Name]) = LOWER(balance_sheet_quarter_filter!$B$2), ROW(balance_sheet_quarter[Company Name]) - ROW(INDEX(balance_sheet_quarter[Company Name], 1, 1)) + 1), ROW(55:55)), COLUMN(N:N)), "")</f>
        <v>0</v>
      </c>
      <c r="P57" s="14">
        <f t="array" ref="P57">IFERROR(INDEX(balance_sheet_quarter[#All], SMALL(IF(LOWER(balance_sheet_quarter[Company Name]) = LOWER(balance_sheet_quarter_filter!$B$2), ROW(balance_sheet_quarter[Company Name]) - ROW(INDEX(balance_sheet_quarter[Company Name], 1, 1)) + 1), ROW(55:55)), COLUMN(O:O)), "")</f>
        <v>0</v>
      </c>
    </row>
    <row r="58" spans="3:16" x14ac:dyDescent="0.35">
      <c r="C58" t="str">
        <f t="array" ref="C58">IFERROR(INDEX(balance_sheet_quarter[#All], SMALL(IF(LOWER(balance_sheet_quarter[Company Name]) = LOWER(balance_sheet_quarter_filter!$B$2), ROW(balance_sheet_quarter[Company Name]) - ROW(INDEX(balance_sheet_quarter[Company Name], 1, 1)) + 1), ROW(56:56)), COLUMN(B:B)), "")</f>
        <v>2. Đầu tư vào công ty liên kết, liên doanh</v>
      </c>
      <c r="D58" s="14">
        <f t="array" ref="D58">IFERROR(INDEX(balance_sheet_quarter[#All], SMALL(IF(LOWER(balance_sheet_quarter[Company Name]) = LOWER(balance_sheet_quarter_filter!$B$2), ROW(balance_sheet_quarter[Company Name]) - ROW(INDEX(balance_sheet_quarter[Company Name], 1, 1)) + 1), ROW(56:56)), COLUMN(C:C)), "")</f>
        <v>115500000000</v>
      </c>
      <c r="E58" s="14">
        <f t="array" ref="E58">IFERROR(INDEX(balance_sheet_quarter[#All], SMALL(IF(LOWER(balance_sheet_quarter[Company Name]) = LOWER(balance_sheet_quarter_filter!$B$2), ROW(balance_sheet_quarter[Company Name]) - ROW(INDEX(balance_sheet_quarter[Company Name], 1, 1)) + 1), ROW(56:56)), COLUMN(D:D)), "")</f>
        <v>115500000000</v>
      </c>
      <c r="F58" s="14">
        <f t="array" ref="F58">IFERROR(INDEX(balance_sheet_quarter[#All], SMALL(IF(LOWER(balance_sheet_quarter[Company Name]) = LOWER(balance_sheet_quarter_filter!$B$2), ROW(balance_sheet_quarter[Company Name]) - ROW(INDEX(balance_sheet_quarter[Company Name], 1, 1)) + 1), ROW(56:56)), COLUMN(E:E)), "")</f>
        <v>115500000000</v>
      </c>
      <c r="G58" s="14">
        <f t="array" ref="G58">IFERROR(INDEX(balance_sheet_quarter[#All], SMALL(IF(LOWER(balance_sheet_quarter[Company Name]) = LOWER(balance_sheet_quarter_filter!$B$2), ROW(balance_sheet_quarter[Company Name]) - ROW(INDEX(balance_sheet_quarter[Company Name], 1, 1)) + 1), ROW(56:56)), COLUMN(F:F)), "")</f>
        <v>115500000000</v>
      </c>
      <c r="H58" s="14">
        <f t="array" ref="H58">IFERROR(INDEX(balance_sheet_quarter[#All], SMALL(IF(LOWER(balance_sheet_quarter[Company Name]) = LOWER(balance_sheet_quarter_filter!$B$2), ROW(balance_sheet_quarter[Company Name]) - ROW(INDEX(balance_sheet_quarter[Company Name], 1, 1)) + 1), ROW(56:56)), COLUMN(G:G)), "")</f>
        <v>115500000000</v>
      </c>
      <c r="I58" s="14">
        <f t="array" ref="I58">IFERROR(INDEX(balance_sheet_quarter[#All], SMALL(IF(LOWER(balance_sheet_quarter[Company Name]) = LOWER(balance_sheet_quarter_filter!$B$2), ROW(balance_sheet_quarter[Company Name]) - ROW(INDEX(balance_sheet_quarter[Company Name], 1, 1)) + 1), ROW(56:56)), COLUMN(H:H)), "")</f>
        <v>115500000000</v>
      </c>
      <c r="J58" s="14">
        <f t="array" ref="J58">IFERROR(INDEX(balance_sheet_quarter[#All], SMALL(IF(LOWER(balance_sheet_quarter[Company Name]) = LOWER(balance_sheet_quarter_filter!$B$2), ROW(balance_sheet_quarter[Company Name]) - ROW(INDEX(balance_sheet_quarter[Company Name], 1, 1)) + 1), ROW(56:56)), COLUMN(I:I)), "")</f>
        <v>115500000000</v>
      </c>
      <c r="K58" s="14">
        <f t="array" ref="K58">IFERROR(INDEX(balance_sheet_quarter[#All], SMALL(IF(LOWER(balance_sheet_quarter[Company Name]) = LOWER(balance_sheet_quarter_filter!$B$2), ROW(balance_sheet_quarter[Company Name]) - ROW(INDEX(balance_sheet_quarter[Company Name], 1, 1)) + 1), ROW(56:56)), COLUMN(J:J)), "")</f>
        <v>115500000000</v>
      </c>
      <c r="L58" s="14">
        <f t="array" ref="L58">IFERROR(INDEX(balance_sheet_quarter[#All], SMALL(IF(LOWER(balance_sheet_quarter[Company Name]) = LOWER(balance_sheet_quarter_filter!$B$2), ROW(balance_sheet_quarter[Company Name]) - ROW(INDEX(balance_sheet_quarter[Company Name], 1, 1)) + 1), ROW(56:56)), COLUMN(K:K)), "")</f>
        <v>115500000000</v>
      </c>
      <c r="M58" s="14">
        <f t="array" ref="M58">IFERROR(INDEX(balance_sheet_quarter[#All], SMALL(IF(LOWER(balance_sheet_quarter[Company Name]) = LOWER(balance_sheet_quarter_filter!$B$2), ROW(balance_sheet_quarter[Company Name]) - ROW(INDEX(balance_sheet_quarter[Company Name], 1, 1)) + 1), ROW(56:56)), COLUMN(L:L)), "")</f>
        <v>115500000000</v>
      </c>
      <c r="N58" s="14">
        <f t="array" ref="N58">IFERROR(INDEX(balance_sheet_quarter[#All], SMALL(IF(LOWER(balance_sheet_quarter[Company Name]) = LOWER(balance_sheet_quarter_filter!$B$2), ROW(balance_sheet_quarter[Company Name]) - ROW(INDEX(balance_sheet_quarter[Company Name], 1, 1)) + 1), ROW(56:56)), COLUMN(M:M)), "")</f>
        <v>115500000000</v>
      </c>
      <c r="O58" s="14">
        <f t="array" ref="O58">IFERROR(INDEX(balance_sheet_quarter[#All], SMALL(IF(LOWER(balance_sheet_quarter[Company Name]) = LOWER(balance_sheet_quarter_filter!$B$2), ROW(balance_sheet_quarter[Company Name]) - ROW(INDEX(balance_sheet_quarter[Company Name], 1, 1)) + 1), ROW(56:56)), COLUMN(N:N)), "")</f>
        <v>115500000000</v>
      </c>
      <c r="P58" s="14">
        <f t="array" ref="P58">IFERROR(INDEX(balance_sheet_quarter[#All], SMALL(IF(LOWER(balance_sheet_quarter[Company Name]) = LOWER(balance_sheet_quarter_filter!$B$2), ROW(balance_sheet_quarter[Company Name]) - ROW(INDEX(balance_sheet_quarter[Company Name], 1, 1)) + 1), ROW(56:56)), COLUMN(O:O)), "")</f>
        <v>115500000000</v>
      </c>
    </row>
    <row r="59" spans="3:16" x14ac:dyDescent="0.35">
      <c r="C59" t="str">
        <f t="array" ref="C59">IFERROR(INDEX(balance_sheet_quarter[#All], SMALL(IF(LOWER(balance_sheet_quarter[Company Name]) = LOWER(balance_sheet_quarter_filter!$B$2), ROW(balance_sheet_quarter[Company Name]) - ROW(INDEX(balance_sheet_quarter[Company Name], 1, 1)) + 1), ROW(57:57)), COLUMN(B:B)), "")</f>
        <v>3. Đầu tư góp vốn vào đơn vị khác</v>
      </c>
      <c r="D59" s="14">
        <f t="array" ref="D59">IFERROR(INDEX(balance_sheet_quarter[#All], SMALL(IF(LOWER(balance_sheet_quarter[Company Name]) = LOWER(balance_sheet_quarter_filter!$B$2), ROW(balance_sheet_quarter[Company Name]) - ROW(INDEX(balance_sheet_quarter[Company Name], 1, 1)) + 1), ROW(57:57)), COLUMN(C:C)), "")</f>
        <v>0</v>
      </c>
      <c r="E59" s="14">
        <f t="array" ref="E59">IFERROR(INDEX(balance_sheet_quarter[#All], SMALL(IF(LOWER(balance_sheet_quarter[Company Name]) = LOWER(balance_sheet_quarter_filter!$B$2), ROW(balance_sheet_quarter[Company Name]) - ROW(INDEX(balance_sheet_quarter[Company Name], 1, 1)) + 1), ROW(57:57)), COLUMN(D:D)), "")</f>
        <v>0</v>
      </c>
      <c r="F59" s="14">
        <f t="array" ref="F59">IFERROR(INDEX(balance_sheet_quarter[#All], SMALL(IF(LOWER(balance_sheet_quarter[Company Name]) = LOWER(balance_sheet_quarter_filter!$B$2), ROW(balance_sheet_quarter[Company Name]) - ROW(INDEX(balance_sheet_quarter[Company Name], 1, 1)) + 1), ROW(57:57)), COLUMN(E:E)), "")</f>
        <v>0</v>
      </c>
      <c r="G59" s="14">
        <f t="array" ref="G59">IFERROR(INDEX(balance_sheet_quarter[#All], SMALL(IF(LOWER(balance_sheet_quarter[Company Name]) = LOWER(balance_sheet_quarter_filter!$B$2), ROW(balance_sheet_quarter[Company Name]) - ROW(INDEX(balance_sheet_quarter[Company Name], 1, 1)) + 1), ROW(57:57)), COLUMN(F:F)), "")</f>
        <v>0</v>
      </c>
      <c r="H59" s="14">
        <f t="array" ref="H59">IFERROR(INDEX(balance_sheet_quarter[#All], SMALL(IF(LOWER(balance_sheet_quarter[Company Name]) = LOWER(balance_sheet_quarter_filter!$B$2), ROW(balance_sheet_quarter[Company Name]) - ROW(INDEX(balance_sheet_quarter[Company Name], 1, 1)) + 1), ROW(57:57)), COLUMN(G:G)), "")</f>
        <v>0</v>
      </c>
      <c r="I59" s="14">
        <f t="array" ref="I59">IFERROR(INDEX(balance_sheet_quarter[#All], SMALL(IF(LOWER(balance_sheet_quarter[Company Name]) = LOWER(balance_sheet_quarter_filter!$B$2), ROW(balance_sheet_quarter[Company Name]) - ROW(INDEX(balance_sheet_quarter[Company Name], 1, 1)) + 1), ROW(57:57)), COLUMN(H:H)), "")</f>
        <v>0</v>
      </c>
      <c r="J59" s="14">
        <f t="array" ref="J59">IFERROR(INDEX(balance_sheet_quarter[#All], SMALL(IF(LOWER(balance_sheet_quarter[Company Name]) = LOWER(balance_sheet_quarter_filter!$B$2), ROW(balance_sheet_quarter[Company Name]) - ROW(INDEX(balance_sheet_quarter[Company Name], 1, 1)) + 1), ROW(57:57)), COLUMN(I:I)), "")</f>
        <v>0</v>
      </c>
      <c r="K59" s="14">
        <f t="array" ref="K59">IFERROR(INDEX(balance_sheet_quarter[#All], SMALL(IF(LOWER(balance_sheet_quarter[Company Name]) = LOWER(balance_sheet_quarter_filter!$B$2), ROW(balance_sheet_quarter[Company Name]) - ROW(INDEX(balance_sheet_quarter[Company Name], 1, 1)) + 1), ROW(57:57)), COLUMN(J:J)), "")</f>
        <v>0</v>
      </c>
      <c r="L59" s="14">
        <f t="array" ref="L59">IFERROR(INDEX(balance_sheet_quarter[#All], SMALL(IF(LOWER(balance_sheet_quarter[Company Name]) = LOWER(balance_sheet_quarter_filter!$B$2), ROW(balance_sheet_quarter[Company Name]) - ROW(INDEX(balance_sheet_quarter[Company Name], 1, 1)) + 1), ROW(57:57)), COLUMN(K:K)), "")</f>
        <v>0</v>
      </c>
      <c r="M59" s="14">
        <f t="array" ref="M59">IFERROR(INDEX(balance_sheet_quarter[#All], SMALL(IF(LOWER(balance_sheet_quarter[Company Name]) = LOWER(balance_sheet_quarter_filter!$B$2), ROW(balance_sheet_quarter[Company Name]) - ROW(INDEX(balance_sheet_quarter[Company Name], 1, 1)) + 1), ROW(57:57)), COLUMN(L:L)), "")</f>
        <v>0</v>
      </c>
      <c r="N59" s="14">
        <f t="array" ref="N59">IFERROR(INDEX(balance_sheet_quarter[#All], SMALL(IF(LOWER(balance_sheet_quarter[Company Name]) = LOWER(balance_sheet_quarter_filter!$B$2), ROW(balance_sheet_quarter[Company Name]) - ROW(INDEX(balance_sheet_quarter[Company Name], 1, 1)) + 1), ROW(57:57)), COLUMN(M:M)), "")</f>
        <v>0</v>
      </c>
      <c r="O59" s="14">
        <f t="array" ref="O59">IFERROR(INDEX(balance_sheet_quarter[#All], SMALL(IF(LOWER(balance_sheet_quarter[Company Name]) = LOWER(balance_sheet_quarter_filter!$B$2), ROW(balance_sheet_quarter[Company Name]) - ROW(INDEX(balance_sheet_quarter[Company Name], 1, 1)) + 1), ROW(57:57)), COLUMN(N:N)), "")</f>
        <v>0</v>
      </c>
      <c r="P59" s="14">
        <f t="array" ref="P59">IFERROR(INDEX(balance_sheet_quarter[#All], SMALL(IF(LOWER(balance_sheet_quarter[Company Name]) = LOWER(balance_sheet_quarter_filter!$B$2), ROW(balance_sheet_quarter[Company Name]) - ROW(INDEX(balance_sheet_quarter[Company Name], 1, 1)) + 1), ROW(57:57)), COLUMN(O:O)), "")</f>
        <v>0</v>
      </c>
    </row>
    <row r="60" spans="3:16" x14ac:dyDescent="0.35">
      <c r="C60" t="str">
        <f t="array" ref="C60">IFERROR(INDEX(balance_sheet_quarter[#All], SMALL(IF(LOWER(balance_sheet_quarter[Company Name]) = LOWER(balance_sheet_quarter_filter!$B$2), ROW(balance_sheet_quarter[Company Name]) - ROW(INDEX(balance_sheet_quarter[Company Name], 1, 1)) + 1), ROW(58:58)), COLUMN(B:B)), "")</f>
        <v>4. Dự phòng đầu tư tài chính dài hạn</v>
      </c>
      <c r="D60" s="14">
        <f t="array" ref="D60">IFERROR(INDEX(balance_sheet_quarter[#All], SMALL(IF(LOWER(balance_sheet_quarter[Company Name]) = LOWER(balance_sheet_quarter_filter!$B$2), ROW(balance_sheet_quarter[Company Name]) - ROW(INDEX(balance_sheet_quarter[Company Name], 1, 1)) + 1), ROW(58:58)), COLUMN(C:C)), "")</f>
        <v>0</v>
      </c>
      <c r="E60" s="14">
        <f t="array" ref="E60">IFERROR(INDEX(balance_sheet_quarter[#All], SMALL(IF(LOWER(balance_sheet_quarter[Company Name]) = LOWER(balance_sheet_quarter_filter!$B$2), ROW(balance_sheet_quarter[Company Name]) - ROW(INDEX(balance_sheet_quarter[Company Name], 1, 1)) + 1), ROW(58:58)), COLUMN(D:D)), "")</f>
        <v>0</v>
      </c>
      <c r="F60" s="14">
        <f t="array" ref="F60">IFERROR(INDEX(balance_sheet_quarter[#All], SMALL(IF(LOWER(balance_sheet_quarter[Company Name]) = LOWER(balance_sheet_quarter_filter!$B$2), ROW(balance_sheet_quarter[Company Name]) - ROW(INDEX(balance_sheet_quarter[Company Name], 1, 1)) + 1), ROW(58:58)), COLUMN(E:E)), "")</f>
        <v>0</v>
      </c>
      <c r="G60" s="14">
        <f t="array" ref="G60">IFERROR(INDEX(balance_sheet_quarter[#All], SMALL(IF(LOWER(balance_sheet_quarter[Company Name]) = LOWER(balance_sheet_quarter_filter!$B$2), ROW(balance_sheet_quarter[Company Name]) - ROW(INDEX(balance_sheet_quarter[Company Name], 1, 1)) + 1), ROW(58:58)), COLUMN(F:F)), "")</f>
        <v>0</v>
      </c>
      <c r="H60" s="14">
        <f t="array" ref="H60">IFERROR(INDEX(balance_sheet_quarter[#All], SMALL(IF(LOWER(balance_sheet_quarter[Company Name]) = LOWER(balance_sheet_quarter_filter!$B$2), ROW(balance_sheet_quarter[Company Name]) - ROW(INDEX(balance_sheet_quarter[Company Name], 1, 1)) + 1), ROW(58:58)), COLUMN(G:G)), "")</f>
        <v>0</v>
      </c>
      <c r="I60" s="14">
        <f t="array" ref="I60">IFERROR(INDEX(balance_sheet_quarter[#All], SMALL(IF(LOWER(balance_sheet_quarter[Company Name]) = LOWER(balance_sheet_quarter_filter!$B$2), ROW(balance_sheet_quarter[Company Name]) - ROW(INDEX(balance_sheet_quarter[Company Name], 1, 1)) + 1), ROW(58:58)), COLUMN(H:H)), "")</f>
        <v>0</v>
      </c>
      <c r="J60" s="14">
        <f t="array" ref="J60">IFERROR(INDEX(balance_sheet_quarter[#All], SMALL(IF(LOWER(balance_sheet_quarter[Company Name]) = LOWER(balance_sheet_quarter_filter!$B$2), ROW(balance_sheet_quarter[Company Name]) - ROW(INDEX(balance_sheet_quarter[Company Name], 1, 1)) + 1), ROW(58:58)), COLUMN(I:I)), "")</f>
        <v>0</v>
      </c>
      <c r="K60" s="14">
        <f t="array" ref="K60">IFERROR(INDEX(balance_sheet_quarter[#All], SMALL(IF(LOWER(balance_sheet_quarter[Company Name]) = LOWER(balance_sheet_quarter_filter!$B$2), ROW(balance_sheet_quarter[Company Name]) - ROW(INDEX(balance_sheet_quarter[Company Name], 1, 1)) + 1), ROW(58:58)), COLUMN(J:J)), "")</f>
        <v>0</v>
      </c>
      <c r="L60" s="14">
        <f t="array" ref="L60">IFERROR(INDEX(balance_sheet_quarter[#All], SMALL(IF(LOWER(balance_sheet_quarter[Company Name]) = LOWER(balance_sheet_quarter_filter!$B$2), ROW(balance_sheet_quarter[Company Name]) - ROW(INDEX(balance_sheet_quarter[Company Name], 1, 1)) + 1), ROW(58:58)), COLUMN(K:K)), "")</f>
        <v>0</v>
      </c>
      <c r="M60" s="14">
        <f t="array" ref="M60">IFERROR(INDEX(balance_sheet_quarter[#All], SMALL(IF(LOWER(balance_sheet_quarter[Company Name]) = LOWER(balance_sheet_quarter_filter!$B$2), ROW(balance_sheet_quarter[Company Name]) - ROW(INDEX(balance_sheet_quarter[Company Name], 1, 1)) + 1), ROW(58:58)), COLUMN(L:L)), "")</f>
        <v>0</v>
      </c>
      <c r="N60" s="14">
        <f t="array" ref="N60">IFERROR(INDEX(balance_sheet_quarter[#All], SMALL(IF(LOWER(balance_sheet_quarter[Company Name]) = LOWER(balance_sheet_quarter_filter!$B$2), ROW(balance_sheet_quarter[Company Name]) - ROW(INDEX(balance_sheet_quarter[Company Name], 1, 1)) + 1), ROW(58:58)), COLUMN(M:M)), "")</f>
        <v>-9332493120</v>
      </c>
      <c r="O60" s="14">
        <f t="array" ref="O60">IFERROR(INDEX(balance_sheet_quarter[#All], SMALL(IF(LOWER(balance_sheet_quarter[Company Name]) = LOWER(balance_sheet_quarter_filter!$B$2), ROW(balance_sheet_quarter[Company Name]) - ROW(INDEX(balance_sheet_quarter[Company Name], 1, 1)) + 1), ROW(58:58)), COLUMN(N:N)), "")</f>
        <v>-9332493120</v>
      </c>
      <c r="P60" s="14">
        <f t="array" ref="P60">IFERROR(INDEX(balance_sheet_quarter[#All], SMALL(IF(LOWER(balance_sheet_quarter[Company Name]) = LOWER(balance_sheet_quarter_filter!$B$2), ROW(balance_sheet_quarter[Company Name]) - ROW(INDEX(balance_sheet_quarter[Company Name], 1, 1)) + 1), ROW(58:58)), COLUMN(O:O)), "")</f>
        <v>-9332493120</v>
      </c>
    </row>
    <row r="61" spans="3:16" x14ac:dyDescent="0.35">
      <c r="C61" t="str">
        <f t="array" ref="C61">IFERROR(INDEX(balance_sheet_quarter[#All], SMALL(IF(LOWER(balance_sheet_quarter[Company Name]) = LOWER(balance_sheet_quarter_filter!$B$2), ROW(balance_sheet_quarter[Company Name]) - ROW(INDEX(balance_sheet_quarter[Company Name], 1, 1)) + 1), ROW(59:59)), COLUMN(B:B)), "")</f>
        <v>5. Đầu tư nắm giữ đến ngày đáo hạn</v>
      </c>
      <c r="D61" s="14">
        <f t="array" ref="D61">IFERROR(INDEX(balance_sheet_quarter[#All], SMALL(IF(LOWER(balance_sheet_quarter[Company Name]) = LOWER(balance_sheet_quarter_filter!$B$2), ROW(balance_sheet_quarter[Company Name]) - ROW(INDEX(balance_sheet_quarter[Company Name], 1, 1)) + 1), ROW(59:59)), COLUMN(C:C)), "")</f>
        <v>1790000000</v>
      </c>
      <c r="E61" s="14">
        <f t="array" ref="E61">IFERROR(INDEX(balance_sheet_quarter[#All], SMALL(IF(LOWER(balance_sheet_quarter[Company Name]) = LOWER(balance_sheet_quarter_filter!$B$2), ROW(balance_sheet_quarter[Company Name]) - ROW(INDEX(balance_sheet_quarter[Company Name], 1, 1)) + 1), ROW(59:59)), COLUMN(D:D)), "")</f>
        <v>1200000000</v>
      </c>
      <c r="F61" s="14">
        <f t="array" ref="F61">IFERROR(INDEX(balance_sheet_quarter[#All], SMALL(IF(LOWER(balance_sheet_quarter[Company Name]) = LOWER(balance_sheet_quarter_filter!$B$2), ROW(balance_sheet_quarter[Company Name]) - ROW(INDEX(balance_sheet_quarter[Company Name], 1, 1)) + 1), ROW(59:59)), COLUMN(E:E)), "")</f>
        <v>1200000000</v>
      </c>
      <c r="G61" s="14">
        <f t="array" ref="G61">IFERROR(INDEX(balance_sheet_quarter[#All], SMALL(IF(LOWER(balance_sheet_quarter[Company Name]) = LOWER(balance_sheet_quarter_filter!$B$2), ROW(balance_sheet_quarter[Company Name]) - ROW(INDEX(balance_sheet_quarter[Company Name], 1, 1)) + 1), ROW(59:59)), COLUMN(F:F)), "")</f>
        <v>1200000000</v>
      </c>
      <c r="H61" s="14">
        <f t="array" ref="H61">IFERROR(INDEX(balance_sheet_quarter[#All], SMALL(IF(LOWER(balance_sheet_quarter[Company Name]) = LOWER(balance_sheet_quarter_filter!$B$2), ROW(balance_sheet_quarter[Company Name]) - ROW(INDEX(balance_sheet_quarter[Company Name], 1, 1)) + 1), ROW(59:59)), COLUMN(G:G)), "")</f>
        <v>1200000000</v>
      </c>
      <c r="I61" s="14">
        <f t="array" ref="I61">IFERROR(INDEX(balance_sheet_quarter[#All], SMALL(IF(LOWER(balance_sheet_quarter[Company Name]) = LOWER(balance_sheet_quarter_filter!$B$2), ROW(balance_sheet_quarter[Company Name]) - ROW(INDEX(balance_sheet_quarter[Company Name], 1, 1)) + 1), ROW(59:59)), COLUMN(H:H)), "")</f>
        <v>1200000000</v>
      </c>
      <c r="J61" s="14">
        <f t="array" ref="J61">IFERROR(INDEX(balance_sheet_quarter[#All], SMALL(IF(LOWER(balance_sheet_quarter[Company Name]) = LOWER(balance_sheet_quarter_filter!$B$2), ROW(balance_sheet_quarter[Company Name]) - ROW(INDEX(balance_sheet_quarter[Company Name], 1, 1)) + 1), ROW(59:59)), COLUMN(I:I)), "")</f>
        <v>1200000000</v>
      </c>
      <c r="K61" s="14">
        <f t="array" ref="K61">IFERROR(INDEX(balance_sheet_quarter[#All], SMALL(IF(LOWER(balance_sheet_quarter[Company Name]) = LOWER(balance_sheet_quarter_filter!$B$2), ROW(balance_sheet_quarter[Company Name]) - ROW(INDEX(balance_sheet_quarter[Company Name], 1, 1)) + 1), ROW(59:59)), COLUMN(J:J)), "")</f>
        <v>1200000000</v>
      </c>
      <c r="L61" s="14">
        <f t="array" ref="L61">IFERROR(INDEX(balance_sheet_quarter[#All], SMALL(IF(LOWER(balance_sheet_quarter[Company Name]) = LOWER(balance_sheet_quarter_filter!$B$2), ROW(balance_sheet_quarter[Company Name]) - ROW(INDEX(balance_sheet_quarter[Company Name], 1, 1)) + 1), ROW(59:59)), COLUMN(K:K)), "")</f>
        <v>1200000000</v>
      </c>
      <c r="M61" s="14">
        <f t="array" ref="M61">IFERROR(INDEX(balance_sheet_quarter[#All], SMALL(IF(LOWER(balance_sheet_quarter[Company Name]) = LOWER(balance_sheet_quarter_filter!$B$2), ROW(balance_sheet_quarter[Company Name]) - ROW(INDEX(balance_sheet_quarter[Company Name], 1, 1)) + 1), ROW(59:59)), COLUMN(L:L)), "")</f>
        <v>1200000000</v>
      </c>
      <c r="N61" s="14">
        <f t="array" ref="N61">IFERROR(INDEX(balance_sheet_quarter[#All], SMALL(IF(LOWER(balance_sheet_quarter[Company Name]) = LOWER(balance_sheet_quarter_filter!$B$2), ROW(balance_sheet_quarter[Company Name]) - ROW(INDEX(balance_sheet_quarter[Company Name], 1, 1)) + 1), ROW(59:59)), COLUMN(M:M)), "")</f>
        <v>1200000000</v>
      </c>
      <c r="O61" s="14">
        <f t="array" ref="O61">IFERROR(INDEX(balance_sheet_quarter[#All], SMALL(IF(LOWER(balance_sheet_quarter[Company Name]) = LOWER(balance_sheet_quarter_filter!$B$2), ROW(balance_sheet_quarter[Company Name]) - ROW(INDEX(balance_sheet_quarter[Company Name], 1, 1)) + 1), ROW(59:59)), COLUMN(N:N)), "")</f>
        <v>1200000000</v>
      </c>
      <c r="P61" s="14">
        <f t="array" ref="P61">IFERROR(INDEX(balance_sheet_quarter[#All], SMALL(IF(LOWER(balance_sheet_quarter[Company Name]) = LOWER(balance_sheet_quarter_filter!$B$2), ROW(balance_sheet_quarter[Company Name]) - ROW(INDEX(balance_sheet_quarter[Company Name], 1, 1)) + 1), ROW(59:59)), COLUMN(O:O)), "")</f>
        <v>1200000000</v>
      </c>
    </row>
    <row r="62" spans="3:16" x14ac:dyDescent="0.35">
      <c r="C62" t="str">
        <f t="array" ref="C62">IFERROR(INDEX(balance_sheet_quarter[#All], SMALL(IF(LOWER(balance_sheet_quarter[Company Name]) = LOWER(balance_sheet_quarter_filter!$B$2), ROW(balance_sheet_quarter[Company Name]) - ROW(INDEX(balance_sheet_quarter[Company Name], 1, 1)) + 1), ROW(60:60)), COLUMN(B:B)), "")</f>
        <v>VI. Tài sản dài hạn khác</v>
      </c>
      <c r="D62" s="14">
        <f t="array" ref="D62">IFERROR(INDEX(balance_sheet_quarter[#All], SMALL(IF(LOWER(balance_sheet_quarter[Company Name]) = LOWER(balance_sheet_quarter_filter!$B$2), ROW(balance_sheet_quarter[Company Name]) - ROW(INDEX(balance_sheet_quarter[Company Name], 1, 1)) + 1), ROW(60:60)), COLUMN(C:C)), "")</f>
        <v>0</v>
      </c>
      <c r="E62" s="14">
        <f t="array" ref="E62">IFERROR(INDEX(balance_sheet_quarter[#All], SMALL(IF(LOWER(balance_sheet_quarter[Company Name]) = LOWER(balance_sheet_quarter_filter!$B$2), ROW(balance_sheet_quarter[Company Name]) - ROW(INDEX(balance_sheet_quarter[Company Name], 1, 1)) + 1), ROW(60:60)), COLUMN(D:D)), "")</f>
        <v>0</v>
      </c>
      <c r="F62" s="14">
        <f t="array" ref="F62">IFERROR(INDEX(balance_sheet_quarter[#All], SMALL(IF(LOWER(balance_sheet_quarter[Company Name]) = LOWER(balance_sheet_quarter_filter!$B$2), ROW(balance_sheet_quarter[Company Name]) - ROW(INDEX(balance_sheet_quarter[Company Name], 1, 1)) + 1), ROW(60:60)), COLUMN(E:E)), "")</f>
        <v>0</v>
      </c>
      <c r="G62" s="14">
        <f t="array" ref="G62">IFERROR(INDEX(balance_sheet_quarter[#All], SMALL(IF(LOWER(balance_sheet_quarter[Company Name]) = LOWER(balance_sheet_quarter_filter!$B$2), ROW(balance_sheet_quarter[Company Name]) - ROW(INDEX(balance_sheet_quarter[Company Name], 1, 1)) + 1), ROW(60:60)), COLUMN(F:F)), "")</f>
        <v>93775741</v>
      </c>
      <c r="H62" s="14">
        <f t="array" ref="H62">IFERROR(INDEX(balance_sheet_quarter[#All], SMALL(IF(LOWER(balance_sheet_quarter[Company Name]) = LOWER(balance_sheet_quarter_filter!$B$2), ROW(balance_sheet_quarter[Company Name]) - ROW(INDEX(balance_sheet_quarter[Company Name], 1, 1)) + 1), ROW(60:60)), COLUMN(G:G)), "")</f>
        <v>153247293</v>
      </c>
      <c r="I62" s="14">
        <f t="array" ref="I62">IFERROR(INDEX(balance_sheet_quarter[#All], SMALL(IF(LOWER(balance_sheet_quarter[Company Name]) = LOWER(balance_sheet_quarter_filter!$B$2), ROW(balance_sheet_quarter[Company Name]) - ROW(INDEX(balance_sheet_quarter[Company Name], 1, 1)) + 1), ROW(60:60)), COLUMN(H:H)), "")</f>
        <v>139543358</v>
      </c>
      <c r="J62" s="14">
        <f t="array" ref="J62">IFERROR(INDEX(balance_sheet_quarter[#All], SMALL(IF(LOWER(balance_sheet_quarter[Company Name]) = LOWER(balance_sheet_quarter_filter!$B$2), ROW(balance_sheet_quarter[Company Name]) - ROW(INDEX(balance_sheet_quarter[Company Name], 1, 1)) + 1), ROW(60:60)), COLUMN(I:I)), "")</f>
        <v>117124659</v>
      </c>
      <c r="K62" s="14">
        <f t="array" ref="K62">IFERROR(INDEX(balance_sheet_quarter[#All], SMALL(IF(LOWER(balance_sheet_quarter[Company Name]) = LOWER(balance_sheet_quarter_filter!$B$2), ROW(balance_sheet_quarter[Company Name]) - ROW(INDEX(balance_sheet_quarter[Company Name], 1, 1)) + 1), ROW(60:60)), COLUMN(J:J)), "")</f>
        <v>105860796</v>
      </c>
      <c r="L62" s="14">
        <f t="array" ref="L62">IFERROR(INDEX(balance_sheet_quarter[#All], SMALL(IF(LOWER(balance_sheet_quarter[Company Name]) = LOWER(balance_sheet_quarter_filter!$B$2), ROW(balance_sheet_quarter[Company Name]) - ROW(INDEX(balance_sheet_quarter[Company Name], 1, 1)) + 1), ROW(60:60)), COLUMN(K:K)), "")</f>
        <v>149138851</v>
      </c>
      <c r="M62" s="14">
        <f t="array" ref="M62">IFERROR(INDEX(balance_sheet_quarter[#All], SMALL(IF(LOWER(balance_sheet_quarter[Company Name]) = LOWER(balance_sheet_quarter_filter!$B$2), ROW(balance_sheet_quarter[Company Name]) - ROW(INDEX(balance_sheet_quarter[Company Name], 1, 1)) + 1), ROW(60:60)), COLUMN(L:L)), "")</f>
        <v>158191520</v>
      </c>
      <c r="N62" s="14">
        <f t="array" ref="N62">IFERROR(INDEX(balance_sheet_quarter[#All], SMALL(IF(LOWER(balance_sheet_quarter[Company Name]) = LOWER(balance_sheet_quarter_filter!$B$2), ROW(balance_sheet_quarter[Company Name]) - ROW(INDEX(balance_sheet_quarter[Company Name], 1, 1)) + 1), ROW(60:60)), COLUMN(M:M)), "")</f>
        <v>125679679</v>
      </c>
      <c r="O62" s="14">
        <f t="array" ref="O62">IFERROR(INDEX(balance_sheet_quarter[#All], SMALL(IF(LOWER(balance_sheet_quarter[Company Name]) = LOWER(balance_sheet_quarter_filter!$B$2), ROW(balance_sheet_quarter[Company Name]) - ROW(INDEX(balance_sheet_quarter[Company Name], 1, 1)) + 1), ROW(60:60)), COLUMN(N:N)), "")</f>
        <v>116541197</v>
      </c>
      <c r="P62" s="14">
        <f t="array" ref="P62">IFERROR(INDEX(balance_sheet_quarter[#All], SMALL(IF(LOWER(balance_sheet_quarter[Company Name]) = LOWER(balance_sheet_quarter_filter!$B$2), ROW(balance_sheet_quarter[Company Name]) - ROW(INDEX(balance_sheet_quarter[Company Name], 1, 1)) + 1), ROW(60:60)), COLUMN(O:O)), "")</f>
        <v>98644443</v>
      </c>
    </row>
    <row r="63" spans="3:16" x14ac:dyDescent="0.35">
      <c r="C63" t="str">
        <f t="array" ref="C63">IFERROR(INDEX(balance_sheet_quarter[#All], SMALL(IF(LOWER(balance_sheet_quarter[Company Name]) = LOWER(balance_sheet_quarter_filter!$B$2), ROW(balance_sheet_quarter[Company Name]) - ROW(INDEX(balance_sheet_quarter[Company Name], 1, 1)) + 1), ROW(61:61)), COLUMN(B:B)), "")</f>
        <v>1. Chi phí trả trước dài hạn</v>
      </c>
      <c r="D63" s="14">
        <f t="array" ref="D63">IFERROR(INDEX(balance_sheet_quarter[#All], SMALL(IF(LOWER(balance_sheet_quarter[Company Name]) = LOWER(balance_sheet_quarter_filter!$B$2), ROW(balance_sheet_quarter[Company Name]) - ROW(INDEX(balance_sheet_quarter[Company Name], 1, 1)) + 1), ROW(61:61)), COLUMN(C:C)), "")</f>
        <v>0</v>
      </c>
      <c r="E63" s="14">
        <f t="array" ref="E63">IFERROR(INDEX(balance_sheet_quarter[#All], SMALL(IF(LOWER(balance_sheet_quarter[Company Name]) = LOWER(balance_sheet_quarter_filter!$B$2), ROW(balance_sheet_quarter[Company Name]) - ROW(INDEX(balance_sheet_quarter[Company Name], 1, 1)) + 1), ROW(61:61)), COLUMN(D:D)), "")</f>
        <v>0</v>
      </c>
      <c r="F63" s="14">
        <f t="array" ref="F63">IFERROR(INDEX(balance_sheet_quarter[#All], SMALL(IF(LOWER(balance_sheet_quarter[Company Name]) = LOWER(balance_sheet_quarter_filter!$B$2), ROW(balance_sheet_quarter[Company Name]) - ROW(INDEX(balance_sheet_quarter[Company Name], 1, 1)) + 1), ROW(61:61)), COLUMN(E:E)), "")</f>
        <v>0</v>
      </c>
      <c r="G63" s="14">
        <f t="array" ref="G63">IFERROR(INDEX(balance_sheet_quarter[#All], SMALL(IF(LOWER(balance_sheet_quarter[Company Name]) = LOWER(balance_sheet_quarter_filter!$B$2), ROW(balance_sheet_quarter[Company Name]) - ROW(INDEX(balance_sheet_quarter[Company Name], 1, 1)) + 1), ROW(61:61)), COLUMN(F:F)), "")</f>
        <v>93775741</v>
      </c>
      <c r="H63" s="14">
        <f t="array" ref="H63">IFERROR(INDEX(balance_sheet_quarter[#All], SMALL(IF(LOWER(balance_sheet_quarter[Company Name]) = LOWER(balance_sheet_quarter_filter!$B$2), ROW(balance_sheet_quarter[Company Name]) - ROW(INDEX(balance_sheet_quarter[Company Name], 1, 1)) + 1), ROW(61:61)), COLUMN(G:G)), "")</f>
        <v>153247293</v>
      </c>
      <c r="I63" s="14">
        <f t="array" ref="I63">IFERROR(INDEX(balance_sheet_quarter[#All], SMALL(IF(LOWER(balance_sheet_quarter[Company Name]) = LOWER(balance_sheet_quarter_filter!$B$2), ROW(balance_sheet_quarter[Company Name]) - ROW(INDEX(balance_sheet_quarter[Company Name], 1, 1)) + 1), ROW(61:61)), COLUMN(H:H)), "")</f>
        <v>139543358</v>
      </c>
      <c r="J63" s="14">
        <f t="array" ref="J63">IFERROR(INDEX(balance_sheet_quarter[#All], SMALL(IF(LOWER(balance_sheet_quarter[Company Name]) = LOWER(balance_sheet_quarter_filter!$B$2), ROW(balance_sheet_quarter[Company Name]) - ROW(INDEX(balance_sheet_quarter[Company Name], 1, 1)) + 1), ROW(61:61)), COLUMN(I:I)), "")</f>
        <v>117124659</v>
      </c>
      <c r="K63" s="14">
        <f t="array" ref="K63">IFERROR(INDEX(balance_sheet_quarter[#All], SMALL(IF(LOWER(balance_sheet_quarter[Company Name]) = LOWER(balance_sheet_quarter_filter!$B$2), ROW(balance_sheet_quarter[Company Name]) - ROW(INDEX(balance_sheet_quarter[Company Name], 1, 1)) + 1), ROW(61:61)), COLUMN(J:J)), "")</f>
        <v>105860796</v>
      </c>
      <c r="L63" s="14">
        <f t="array" ref="L63">IFERROR(INDEX(balance_sheet_quarter[#All], SMALL(IF(LOWER(balance_sheet_quarter[Company Name]) = LOWER(balance_sheet_quarter_filter!$B$2), ROW(balance_sheet_quarter[Company Name]) - ROW(INDEX(balance_sheet_quarter[Company Name], 1, 1)) + 1), ROW(61:61)), COLUMN(K:K)), "")</f>
        <v>149138851</v>
      </c>
      <c r="M63" s="14">
        <f t="array" ref="M63">IFERROR(INDEX(balance_sheet_quarter[#All], SMALL(IF(LOWER(balance_sheet_quarter[Company Name]) = LOWER(balance_sheet_quarter_filter!$B$2), ROW(balance_sheet_quarter[Company Name]) - ROW(INDEX(balance_sheet_quarter[Company Name], 1, 1)) + 1), ROW(61:61)), COLUMN(L:L)), "")</f>
        <v>158191520</v>
      </c>
      <c r="N63" s="14">
        <f t="array" ref="N63">IFERROR(INDEX(balance_sheet_quarter[#All], SMALL(IF(LOWER(balance_sheet_quarter[Company Name]) = LOWER(balance_sheet_quarter_filter!$B$2), ROW(balance_sheet_quarter[Company Name]) - ROW(INDEX(balance_sheet_quarter[Company Name], 1, 1)) + 1), ROW(61:61)), COLUMN(M:M)), "")</f>
        <v>125679679</v>
      </c>
      <c r="O63" s="14">
        <f t="array" ref="O63">IFERROR(INDEX(balance_sheet_quarter[#All], SMALL(IF(LOWER(balance_sheet_quarter[Company Name]) = LOWER(balance_sheet_quarter_filter!$B$2), ROW(balance_sheet_quarter[Company Name]) - ROW(INDEX(balance_sheet_quarter[Company Name], 1, 1)) + 1), ROW(61:61)), COLUMN(N:N)), "")</f>
        <v>116541197</v>
      </c>
      <c r="P63" s="14">
        <f t="array" ref="P63">IFERROR(INDEX(balance_sheet_quarter[#All], SMALL(IF(LOWER(balance_sheet_quarter[Company Name]) = LOWER(balance_sheet_quarter_filter!$B$2), ROW(balance_sheet_quarter[Company Name]) - ROW(INDEX(balance_sheet_quarter[Company Name], 1, 1)) + 1), ROW(61:61)), COLUMN(O:O)), "")</f>
        <v>98644443</v>
      </c>
    </row>
    <row r="64" spans="3:16" x14ac:dyDescent="0.35">
      <c r="C64" t="str">
        <f t="array" ref="C64">IFERROR(INDEX(balance_sheet_quarter[#All], SMALL(IF(LOWER(balance_sheet_quarter[Company Name]) = LOWER(balance_sheet_quarter_filter!$B$2), ROW(balance_sheet_quarter[Company Name]) - ROW(INDEX(balance_sheet_quarter[Company Name], 1, 1)) + 1), ROW(62:62)), COLUMN(B:B)), "")</f>
        <v>2. Tài sản thuế thu nhập hoãn lại</v>
      </c>
      <c r="D64" s="14">
        <f t="array" ref="D64">IFERROR(INDEX(balance_sheet_quarter[#All], SMALL(IF(LOWER(balance_sheet_quarter[Company Name]) = LOWER(balance_sheet_quarter_filter!$B$2), ROW(balance_sheet_quarter[Company Name]) - ROW(INDEX(balance_sheet_quarter[Company Name], 1, 1)) + 1), ROW(62:62)), COLUMN(C:C)), "")</f>
        <v>0</v>
      </c>
      <c r="E64" s="14">
        <f t="array" ref="E64">IFERROR(INDEX(balance_sheet_quarter[#All], SMALL(IF(LOWER(balance_sheet_quarter[Company Name]) = LOWER(balance_sheet_quarter_filter!$B$2), ROW(balance_sheet_quarter[Company Name]) - ROW(INDEX(balance_sheet_quarter[Company Name], 1, 1)) + 1), ROW(62:62)), COLUMN(D:D)), "")</f>
        <v>0</v>
      </c>
      <c r="F64" s="14">
        <f t="array" ref="F64">IFERROR(INDEX(balance_sheet_quarter[#All], SMALL(IF(LOWER(balance_sheet_quarter[Company Name]) = LOWER(balance_sheet_quarter_filter!$B$2), ROW(balance_sheet_quarter[Company Name]) - ROW(INDEX(balance_sheet_quarter[Company Name], 1, 1)) + 1), ROW(62:62)), COLUMN(E:E)), "")</f>
        <v>0</v>
      </c>
      <c r="G64" s="14">
        <f t="array" ref="G64">IFERROR(INDEX(balance_sheet_quarter[#All], SMALL(IF(LOWER(balance_sheet_quarter[Company Name]) = LOWER(balance_sheet_quarter_filter!$B$2), ROW(balance_sheet_quarter[Company Name]) - ROW(INDEX(balance_sheet_quarter[Company Name], 1, 1)) + 1), ROW(62:62)), COLUMN(F:F)), "")</f>
        <v>0</v>
      </c>
      <c r="H64" s="14">
        <f t="array" ref="H64">IFERROR(INDEX(balance_sheet_quarter[#All], SMALL(IF(LOWER(balance_sheet_quarter[Company Name]) = LOWER(balance_sheet_quarter_filter!$B$2), ROW(balance_sheet_quarter[Company Name]) - ROW(INDEX(balance_sheet_quarter[Company Name], 1, 1)) + 1), ROW(62:62)), COLUMN(G:G)), "")</f>
        <v>0</v>
      </c>
      <c r="I64" s="14">
        <f t="array" ref="I64">IFERROR(INDEX(balance_sheet_quarter[#All], SMALL(IF(LOWER(balance_sheet_quarter[Company Name]) = LOWER(balance_sheet_quarter_filter!$B$2), ROW(balance_sheet_quarter[Company Name]) - ROW(INDEX(balance_sheet_quarter[Company Name], 1, 1)) + 1), ROW(62:62)), COLUMN(H:H)), "")</f>
        <v>0</v>
      </c>
      <c r="J64" s="14">
        <f t="array" ref="J64">IFERROR(INDEX(balance_sheet_quarter[#All], SMALL(IF(LOWER(balance_sheet_quarter[Company Name]) = LOWER(balance_sheet_quarter_filter!$B$2), ROW(balance_sheet_quarter[Company Name]) - ROW(INDEX(balance_sheet_quarter[Company Name], 1, 1)) + 1), ROW(62:62)), COLUMN(I:I)), "")</f>
        <v>0</v>
      </c>
      <c r="K64" s="14">
        <f t="array" ref="K64">IFERROR(INDEX(balance_sheet_quarter[#All], SMALL(IF(LOWER(balance_sheet_quarter[Company Name]) = LOWER(balance_sheet_quarter_filter!$B$2), ROW(balance_sheet_quarter[Company Name]) - ROW(INDEX(balance_sheet_quarter[Company Name], 1, 1)) + 1), ROW(62:62)), COLUMN(J:J)), "")</f>
        <v>0</v>
      </c>
      <c r="L64" s="14">
        <f t="array" ref="L64">IFERROR(INDEX(balance_sheet_quarter[#All], SMALL(IF(LOWER(balance_sheet_quarter[Company Name]) = LOWER(balance_sheet_quarter_filter!$B$2), ROW(balance_sheet_quarter[Company Name]) - ROW(INDEX(balance_sheet_quarter[Company Name], 1, 1)) + 1), ROW(62:62)), COLUMN(K:K)), "")</f>
        <v>0</v>
      </c>
      <c r="M64" s="14">
        <f t="array" ref="M64">IFERROR(INDEX(balance_sheet_quarter[#All], SMALL(IF(LOWER(balance_sheet_quarter[Company Name]) = LOWER(balance_sheet_quarter_filter!$B$2), ROW(balance_sheet_quarter[Company Name]) - ROW(INDEX(balance_sheet_quarter[Company Name], 1, 1)) + 1), ROW(62:62)), COLUMN(L:L)), "")</f>
        <v>0</v>
      </c>
      <c r="N64" s="14">
        <f t="array" ref="N64">IFERROR(INDEX(balance_sheet_quarter[#All], SMALL(IF(LOWER(balance_sheet_quarter[Company Name]) = LOWER(balance_sheet_quarter_filter!$B$2), ROW(balance_sheet_quarter[Company Name]) - ROW(INDEX(balance_sheet_quarter[Company Name], 1, 1)) + 1), ROW(62:62)), COLUMN(M:M)), "")</f>
        <v>0</v>
      </c>
      <c r="O64" s="14">
        <f t="array" ref="O64">IFERROR(INDEX(balance_sheet_quarter[#All], SMALL(IF(LOWER(balance_sheet_quarter[Company Name]) = LOWER(balance_sheet_quarter_filter!$B$2), ROW(balance_sheet_quarter[Company Name]) - ROW(INDEX(balance_sheet_quarter[Company Name], 1, 1)) + 1), ROW(62:62)), COLUMN(N:N)), "")</f>
        <v>0</v>
      </c>
      <c r="P64" s="14">
        <f t="array" ref="P64">IFERROR(INDEX(balance_sheet_quarter[#All], SMALL(IF(LOWER(balance_sheet_quarter[Company Name]) = LOWER(balance_sheet_quarter_filter!$B$2), ROW(balance_sheet_quarter[Company Name]) - ROW(INDEX(balance_sheet_quarter[Company Name], 1, 1)) + 1), ROW(62:62)), COLUMN(O:O)), "")</f>
        <v>0</v>
      </c>
    </row>
    <row r="65" spans="3:16" x14ac:dyDescent="0.35">
      <c r="C65" t="str">
        <f t="array" ref="C65">IFERROR(INDEX(balance_sheet_quarter[#All], SMALL(IF(LOWER(balance_sheet_quarter[Company Name]) = LOWER(balance_sheet_quarter_filter!$B$2), ROW(balance_sheet_quarter[Company Name]) - ROW(INDEX(balance_sheet_quarter[Company Name], 1, 1)) + 1), ROW(63:63)), COLUMN(B:B)), "")</f>
        <v>3. Thiết bị, vật tư, phụ tùng thay thế dài hạn</v>
      </c>
      <c r="D65" s="14">
        <f t="array" ref="D65">IFERROR(INDEX(balance_sheet_quarter[#All], SMALL(IF(LOWER(balance_sheet_quarter[Company Name]) = LOWER(balance_sheet_quarter_filter!$B$2), ROW(balance_sheet_quarter[Company Name]) - ROW(INDEX(balance_sheet_quarter[Company Name], 1, 1)) + 1), ROW(63:63)), COLUMN(C:C)), "")</f>
        <v>0</v>
      </c>
      <c r="E65" s="14">
        <f t="array" ref="E65">IFERROR(INDEX(balance_sheet_quarter[#All], SMALL(IF(LOWER(balance_sheet_quarter[Company Name]) = LOWER(balance_sheet_quarter_filter!$B$2), ROW(balance_sheet_quarter[Company Name]) - ROW(INDEX(balance_sheet_quarter[Company Name], 1, 1)) + 1), ROW(63:63)), COLUMN(D:D)), "")</f>
        <v>0</v>
      </c>
      <c r="F65" s="14">
        <f t="array" ref="F65">IFERROR(INDEX(balance_sheet_quarter[#All], SMALL(IF(LOWER(balance_sheet_quarter[Company Name]) = LOWER(balance_sheet_quarter_filter!$B$2), ROW(balance_sheet_quarter[Company Name]) - ROW(INDEX(balance_sheet_quarter[Company Name], 1, 1)) + 1), ROW(63:63)), COLUMN(E:E)), "")</f>
        <v>0</v>
      </c>
      <c r="G65" s="14">
        <f t="array" ref="G65">IFERROR(INDEX(balance_sheet_quarter[#All], SMALL(IF(LOWER(balance_sheet_quarter[Company Name]) = LOWER(balance_sheet_quarter_filter!$B$2), ROW(balance_sheet_quarter[Company Name]) - ROW(INDEX(balance_sheet_quarter[Company Name], 1, 1)) + 1), ROW(63:63)), COLUMN(F:F)), "")</f>
        <v>0</v>
      </c>
      <c r="H65" s="14">
        <f t="array" ref="H65">IFERROR(INDEX(balance_sheet_quarter[#All], SMALL(IF(LOWER(balance_sheet_quarter[Company Name]) = LOWER(balance_sheet_quarter_filter!$B$2), ROW(balance_sheet_quarter[Company Name]) - ROW(INDEX(balance_sheet_quarter[Company Name], 1, 1)) + 1), ROW(63:63)), COLUMN(G:G)), "")</f>
        <v>0</v>
      </c>
      <c r="I65" s="14">
        <f t="array" ref="I65">IFERROR(INDEX(balance_sheet_quarter[#All], SMALL(IF(LOWER(balance_sheet_quarter[Company Name]) = LOWER(balance_sheet_quarter_filter!$B$2), ROW(balance_sheet_quarter[Company Name]) - ROW(INDEX(balance_sheet_quarter[Company Name], 1, 1)) + 1), ROW(63:63)), COLUMN(H:H)), "")</f>
        <v>0</v>
      </c>
      <c r="J65" s="14">
        <f t="array" ref="J65">IFERROR(INDEX(balance_sheet_quarter[#All], SMALL(IF(LOWER(balance_sheet_quarter[Company Name]) = LOWER(balance_sheet_quarter_filter!$B$2), ROW(balance_sheet_quarter[Company Name]) - ROW(INDEX(balance_sheet_quarter[Company Name], 1, 1)) + 1), ROW(63:63)), COLUMN(I:I)), "")</f>
        <v>0</v>
      </c>
      <c r="K65" s="14">
        <f t="array" ref="K65">IFERROR(INDEX(balance_sheet_quarter[#All], SMALL(IF(LOWER(balance_sheet_quarter[Company Name]) = LOWER(balance_sheet_quarter_filter!$B$2), ROW(balance_sheet_quarter[Company Name]) - ROW(INDEX(balance_sheet_quarter[Company Name], 1, 1)) + 1), ROW(63:63)), COLUMN(J:J)), "")</f>
        <v>0</v>
      </c>
      <c r="L65" s="14">
        <f t="array" ref="L65">IFERROR(INDEX(balance_sheet_quarter[#All], SMALL(IF(LOWER(balance_sheet_quarter[Company Name]) = LOWER(balance_sheet_quarter_filter!$B$2), ROW(balance_sheet_quarter[Company Name]) - ROW(INDEX(balance_sheet_quarter[Company Name], 1, 1)) + 1), ROW(63:63)), COLUMN(K:K)), "")</f>
        <v>0</v>
      </c>
      <c r="M65" s="14">
        <f t="array" ref="M65">IFERROR(INDEX(balance_sheet_quarter[#All], SMALL(IF(LOWER(balance_sheet_quarter[Company Name]) = LOWER(balance_sheet_quarter_filter!$B$2), ROW(balance_sheet_quarter[Company Name]) - ROW(INDEX(balance_sheet_quarter[Company Name], 1, 1)) + 1), ROW(63:63)), COLUMN(L:L)), "")</f>
        <v>0</v>
      </c>
      <c r="N65" s="14">
        <f t="array" ref="N65">IFERROR(INDEX(balance_sheet_quarter[#All], SMALL(IF(LOWER(balance_sheet_quarter[Company Name]) = LOWER(balance_sheet_quarter_filter!$B$2), ROW(balance_sheet_quarter[Company Name]) - ROW(INDEX(balance_sheet_quarter[Company Name], 1, 1)) + 1), ROW(63:63)), COLUMN(M:M)), "")</f>
        <v>0</v>
      </c>
      <c r="O65" s="14">
        <f t="array" ref="O65">IFERROR(INDEX(balance_sheet_quarter[#All], SMALL(IF(LOWER(balance_sheet_quarter[Company Name]) = LOWER(balance_sheet_quarter_filter!$B$2), ROW(balance_sheet_quarter[Company Name]) - ROW(INDEX(balance_sheet_quarter[Company Name], 1, 1)) + 1), ROW(63:63)), COLUMN(N:N)), "")</f>
        <v>0</v>
      </c>
      <c r="P65" s="14">
        <f t="array" ref="P65">IFERROR(INDEX(balance_sheet_quarter[#All], SMALL(IF(LOWER(balance_sheet_quarter[Company Name]) = LOWER(balance_sheet_quarter_filter!$B$2), ROW(balance_sheet_quarter[Company Name]) - ROW(INDEX(balance_sheet_quarter[Company Name], 1, 1)) + 1), ROW(63:63)), COLUMN(O:O)), "")</f>
        <v>0</v>
      </c>
    </row>
    <row r="66" spans="3:16" x14ac:dyDescent="0.35">
      <c r="C66" t="str">
        <f t="array" ref="C66">IFERROR(INDEX(balance_sheet_quarter[#All], SMALL(IF(LOWER(balance_sheet_quarter[Company Name]) = LOWER(balance_sheet_quarter_filter!$B$2), ROW(balance_sheet_quarter[Company Name]) - ROW(INDEX(balance_sheet_quarter[Company Name], 1, 1)) + 1), ROW(64:64)), COLUMN(B:B)), "")</f>
        <v>4. Tài sản dài hạn khác</v>
      </c>
      <c r="D66" s="14">
        <f t="array" ref="D66">IFERROR(INDEX(balance_sheet_quarter[#All], SMALL(IF(LOWER(balance_sheet_quarter[Company Name]) = LOWER(balance_sheet_quarter_filter!$B$2), ROW(balance_sheet_quarter[Company Name]) - ROW(INDEX(balance_sheet_quarter[Company Name], 1, 1)) + 1), ROW(64:64)), COLUMN(C:C)), "")</f>
        <v>0</v>
      </c>
      <c r="E66" s="14">
        <f t="array" ref="E66">IFERROR(INDEX(balance_sheet_quarter[#All], SMALL(IF(LOWER(balance_sheet_quarter[Company Name]) = LOWER(balance_sheet_quarter_filter!$B$2), ROW(balance_sheet_quarter[Company Name]) - ROW(INDEX(balance_sheet_quarter[Company Name], 1, 1)) + 1), ROW(64:64)), COLUMN(D:D)), "")</f>
        <v>0</v>
      </c>
      <c r="F66" s="14">
        <f t="array" ref="F66">IFERROR(INDEX(balance_sheet_quarter[#All], SMALL(IF(LOWER(balance_sheet_quarter[Company Name]) = LOWER(balance_sheet_quarter_filter!$B$2), ROW(balance_sheet_quarter[Company Name]) - ROW(INDEX(balance_sheet_quarter[Company Name], 1, 1)) + 1), ROW(64:64)), COLUMN(E:E)), "")</f>
        <v>0</v>
      </c>
      <c r="G66" s="14">
        <f t="array" ref="G66">IFERROR(INDEX(balance_sheet_quarter[#All], SMALL(IF(LOWER(balance_sheet_quarter[Company Name]) = LOWER(balance_sheet_quarter_filter!$B$2), ROW(balance_sheet_quarter[Company Name]) - ROW(INDEX(balance_sheet_quarter[Company Name], 1, 1)) + 1), ROW(64:64)), COLUMN(F:F)), "")</f>
        <v>0</v>
      </c>
      <c r="H66" s="14">
        <f t="array" ref="H66">IFERROR(INDEX(balance_sheet_quarter[#All], SMALL(IF(LOWER(balance_sheet_quarter[Company Name]) = LOWER(balance_sheet_quarter_filter!$B$2), ROW(balance_sheet_quarter[Company Name]) - ROW(INDEX(balance_sheet_quarter[Company Name], 1, 1)) + 1), ROW(64:64)), COLUMN(G:G)), "")</f>
        <v>0</v>
      </c>
      <c r="I66" s="14">
        <f t="array" ref="I66">IFERROR(INDEX(balance_sheet_quarter[#All], SMALL(IF(LOWER(balance_sheet_quarter[Company Name]) = LOWER(balance_sheet_quarter_filter!$B$2), ROW(balance_sheet_quarter[Company Name]) - ROW(INDEX(balance_sheet_quarter[Company Name], 1, 1)) + 1), ROW(64:64)), COLUMN(H:H)), "")</f>
        <v>0</v>
      </c>
      <c r="J66" s="14">
        <f t="array" ref="J66">IFERROR(INDEX(balance_sheet_quarter[#All], SMALL(IF(LOWER(balance_sheet_quarter[Company Name]) = LOWER(balance_sheet_quarter_filter!$B$2), ROW(balance_sheet_quarter[Company Name]) - ROW(INDEX(balance_sheet_quarter[Company Name], 1, 1)) + 1), ROW(64:64)), COLUMN(I:I)), "")</f>
        <v>0</v>
      </c>
      <c r="K66" s="14">
        <f t="array" ref="K66">IFERROR(INDEX(balance_sheet_quarter[#All], SMALL(IF(LOWER(balance_sheet_quarter[Company Name]) = LOWER(balance_sheet_quarter_filter!$B$2), ROW(balance_sheet_quarter[Company Name]) - ROW(INDEX(balance_sheet_quarter[Company Name], 1, 1)) + 1), ROW(64:64)), COLUMN(J:J)), "")</f>
        <v>0</v>
      </c>
      <c r="L66" s="14">
        <f t="array" ref="L66">IFERROR(INDEX(balance_sheet_quarter[#All], SMALL(IF(LOWER(balance_sheet_quarter[Company Name]) = LOWER(balance_sheet_quarter_filter!$B$2), ROW(balance_sheet_quarter[Company Name]) - ROW(INDEX(balance_sheet_quarter[Company Name], 1, 1)) + 1), ROW(64:64)), COLUMN(K:K)), "")</f>
        <v>0</v>
      </c>
      <c r="M66" s="14">
        <f t="array" ref="M66">IFERROR(INDEX(balance_sheet_quarter[#All], SMALL(IF(LOWER(balance_sheet_quarter[Company Name]) = LOWER(balance_sheet_quarter_filter!$B$2), ROW(balance_sheet_quarter[Company Name]) - ROW(INDEX(balance_sheet_quarter[Company Name], 1, 1)) + 1), ROW(64:64)), COLUMN(L:L)), "")</f>
        <v>0</v>
      </c>
      <c r="N66" s="14">
        <f t="array" ref="N66">IFERROR(INDEX(balance_sheet_quarter[#All], SMALL(IF(LOWER(balance_sheet_quarter[Company Name]) = LOWER(balance_sheet_quarter_filter!$B$2), ROW(balance_sheet_quarter[Company Name]) - ROW(INDEX(balance_sheet_quarter[Company Name], 1, 1)) + 1), ROW(64:64)), COLUMN(M:M)), "")</f>
        <v>0</v>
      </c>
      <c r="O66" s="14">
        <f t="array" ref="O66">IFERROR(INDEX(balance_sheet_quarter[#All], SMALL(IF(LOWER(balance_sheet_quarter[Company Name]) = LOWER(balance_sheet_quarter_filter!$B$2), ROW(balance_sheet_quarter[Company Name]) - ROW(INDEX(balance_sheet_quarter[Company Name], 1, 1)) + 1), ROW(64:64)), COLUMN(N:N)), "")</f>
        <v>0</v>
      </c>
      <c r="P66" s="14">
        <f t="array" ref="P66">IFERROR(INDEX(balance_sheet_quarter[#All], SMALL(IF(LOWER(balance_sheet_quarter[Company Name]) = LOWER(balance_sheet_quarter_filter!$B$2), ROW(balance_sheet_quarter[Company Name]) - ROW(INDEX(balance_sheet_quarter[Company Name], 1, 1)) + 1), ROW(64:64)), COLUMN(O:O)), "")</f>
        <v>0</v>
      </c>
    </row>
    <row r="67" spans="3:16" x14ac:dyDescent="0.35">
      <c r="C67" t="str">
        <f t="array" ref="C67">IFERROR(INDEX(balance_sheet_quarter[#All], SMALL(IF(LOWER(balance_sheet_quarter[Company Name]) = LOWER(balance_sheet_quarter_filter!$B$2), ROW(balance_sheet_quarter[Company Name]) - ROW(INDEX(balance_sheet_quarter[Company Name], 1, 1)) + 1), ROW(65:65)), COLUMN(B:B)), "")</f>
        <v>5. Lợi thế thương mại</v>
      </c>
      <c r="D67" s="14">
        <f t="array" ref="D67">IFERROR(INDEX(balance_sheet_quarter[#All], SMALL(IF(LOWER(balance_sheet_quarter[Company Name]) = LOWER(balance_sheet_quarter_filter!$B$2), ROW(balance_sheet_quarter[Company Name]) - ROW(INDEX(balance_sheet_quarter[Company Name], 1, 1)) + 1), ROW(65:65)), COLUMN(C:C)), "")</f>
        <v>0</v>
      </c>
      <c r="E67" s="14">
        <f t="array" ref="E67">IFERROR(INDEX(balance_sheet_quarter[#All], SMALL(IF(LOWER(balance_sheet_quarter[Company Name]) = LOWER(balance_sheet_quarter_filter!$B$2), ROW(balance_sheet_quarter[Company Name]) - ROW(INDEX(balance_sheet_quarter[Company Name], 1, 1)) + 1), ROW(65:65)), COLUMN(D:D)), "")</f>
        <v>0</v>
      </c>
      <c r="F67" s="14">
        <f t="array" ref="F67">IFERROR(INDEX(balance_sheet_quarter[#All], SMALL(IF(LOWER(balance_sheet_quarter[Company Name]) = LOWER(balance_sheet_quarter_filter!$B$2), ROW(balance_sheet_quarter[Company Name]) - ROW(INDEX(balance_sheet_quarter[Company Name], 1, 1)) + 1), ROW(65:65)), COLUMN(E:E)), "")</f>
        <v>0</v>
      </c>
      <c r="G67" s="14">
        <f t="array" ref="G67">IFERROR(INDEX(balance_sheet_quarter[#All], SMALL(IF(LOWER(balance_sheet_quarter[Company Name]) = LOWER(balance_sheet_quarter_filter!$B$2), ROW(balance_sheet_quarter[Company Name]) - ROW(INDEX(balance_sheet_quarter[Company Name], 1, 1)) + 1), ROW(65:65)), COLUMN(F:F)), "")</f>
        <v>0</v>
      </c>
      <c r="H67" s="14">
        <f t="array" ref="H67">IFERROR(INDEX(balance_sheet_quarter[#All], SMALL(IF(LOWER(balance_sheet_quarter[Company Name]) = LOWER(balance_sheet_quarter_filter!$B$2), ROW(balance_sheet_quarter[Company Name]) - ROW(INDEX(balance_sheet_quarter[Company Name], 1, 1)) + 1), ROW(65:65)), COLUMN(G:G)), "")</f>
        <v>0</v>
      </c>
      <c r="I67" s="14">
        <f t="array" ref="I67">IFERROR(INDEX(balance_sheet_quarter[#All], SMALL(IF(LOWER(balance_sheet_quarter[Company Name]) = LOWER(balance_sheet_quarter_filter!$B$2), ROW(balance_sheet_quarter[Company Name]) - ROW(INDEX(balance_sheet_quarter[Company Name], 1, 1)) + 1), ROW(65:65)), COLUMN(H:H)), "")</f>
        <v>0</v>
      </c>
      <c r="J67" s="14">
        <f t="array" ref="J67">IFERROR(INDEX(balance_sheet_quarter[#All], SMALL(IF(LOWER(balance_sheet_quarter[Company Name]) = LOWER(balance_sheet_quarter_filter!$B$2), ROW(balance_sheet_quarter[Company Name]) - ROW(INDEX(balance_sheet_quarter[Company Name], 1, 1)) + 1), ROW(65:65)), COLUMN(I:I)), "")</f>
        <v>0</v>
      </c>
      <c r="K67" s="14">
        <f t="array" ref="K67">IFERROR(INDEX(balance_sheet_quarter[#All], SMALL(IF(LOWER(balance_sheet_quarter[Company Name]) = LOWER(balance_sheet_quarter_filter!$B$2), ROW(balance_sheet_quarter[Company Name]) - ROW(INDEX(balance_sheet_quarter[Company Name], 1, 1)) + 1), ROW(65:65)), COLUMN(J:J)), "")</f>
        <v>0</v>
      </c>
      <c r="L67" s="14">
        <f t="array" ref="L67">IFERROR(INDEX(balance_sheet_quarter[#All], SMALL(IF(LOWER(balance_sheet_quarter[Company Name]) = LOWER(balance_sheet_quarter_filter!$B$2), ROW(balance_sheet_quarter[Company Name]) - ROW(INDEX(balance_sheet_quarter[Company Name], 1, 1)) + 1), ROW(65:65)), COLUMN(K:K)), "")</f>
        <v>0</v>
      </c>
      <c r="M67" s="14">
        <f t="array" ref="M67">IFERROR(INDEX(balance_sheet_quarter[#All], SMALL(IF(LOWER(balance_sheet_quarter[Company Name]) = LOWER(balance_sheet_quarter_filter!$B$2), ROW(balance_sheet_quarter[Company Name]) - ROW(INDEX(balance_sheet_quarter[Company Name], 1, 1)) + 1), ROW(65:65)), COLUMN(L:L)), "")</f>
        <v>0</v>
      </c>
      <c r="N67" s="14">
        <f t="array" ref="N67">IFERROR(INDEX(balance_sheet_quarter[#All], SMALL(IF(LOWER(balance_sheet_quarter[Company Name]) = LOWER(balance_sheet_quarter_filter!$B$2), ROW(balance_sheet_quarter[Company Name]) - ROW(INDEX(balance_sheet_quarter[Company Name], 1, 1)) + 1), ROW(65:65)), COLUMN(M:M)), "")</f>
        <v>0</v>
      </c>
      <c r="O67" s="14">
        <f t="array" ref="O67">IFERROR(INDEX(balance_sheet_quarter[#All], SMALL(IF(LOWER(balance_sheet_quarter[Company Name]) = LOWER(balance_sheet_quarter_filter!$B$2), ROW(balance_sheet_quarter[Company Name]) - ROW(INDEX(balance_sheet_quarter[Company Name], 1, 1)) + 1), ROW(65:65)), COLUMN(N:N)), "")</f>
        <v>0</v>
      </c>
      <c r="P67" s="14">
        <f t="array" ref="P67">IFERROR(INDEX(balance_sheet_quarter[#All], SMALL(IF(LOWER(balance_sheet_quarter[Company Name]) = LOWER(balance_sheet_quarter_filter!$B$2), ROW(balance_sheet_quarter[Company Name]) - ROW(INDEX(balance_sheet_quarter[Company Name], 1, 1)) + 1), ROW(65:65)), COLUMN(O:O)), "")</f>
        <v>0</v>
      </c>
    </row>
    <row r="68" spans="3:16" x14ac:dyDescent="0.35">
      <c r="C68" t="str">
        <f t="array" ref="C68">IFERROR(INDEX(balance_sheet_quarter[#All], SMALL(IF(LOWER(balance_sheet_quarter[Company Name]) = LOWER(balance_sheet_quarter_filter!$B$2), ROW(balance_sheet_quarter[Company Name]) - ROW(INDEX(balance_sheet_quarter[Company Name], 1, 1)) + 1), ROW(66:66)), COLUMN(B:B)), "")</f>
        <v>TỔNG CỘNG TÀI SẢN</v>
      </c>
      <c r="D68" s="14">
        <f>SUM(D5,D31)</f>
        <v>4662399572164</v>
      </c>
      <c r="E68" s="14">
        <f t="shared" ref="E68:P68" si="3">SUM(E5,E31)</f>
        <v>4717285454180</v>
      </c>
      <c r="F68" s="14">
        <f t="shared" si="3"/>
        <v>4716725151083</v>
      </c>
      <c r="G68" s="14">
        <f t="shared" si="3"/>
        <v>4737624948825</v>
      </c>
      <c r="H68" s="14">
        <f t="shared" si="3"/>
        <v>4699830748881</v>
      </c>
      <c r="I68" s="14">
        <f t="shared" si="3"/>
        <v>4746867199141</v>
      </c>
      <c r="J68" s="14">
        <f t="shared" si="3"/>
        <v>4745404690880</v>
      </c>
      <c r="K68" s="14">
        <f t="shared" si="3"/>
        <v>4706438603939</v>
      </c>
      <c r="L68" s="14">
        <f t="shared" si="3"/>
        <v>4663764293221</v>
      </c>
      <c r="M68" s="14">
        <f t="shared" si="3"/>
        <v>4605530855763</v>
      </c>
      <c r="N68" s="14">
        <f t="shared" si="3"/>
        <v>4543378042857</v>
      </c>
      <c r="O68" s="14">
        <f t="shared" si="3"/>
        <v>4461576514982</v>
      </c>
      <c r="P68" s="14">
        <f t="shared" si="3"/>
        <v>4450552403545</v>
      </c>
    </row>
    <row r="69" spans="3:16" x14ac:dyDescent="0.35">
      <c r="C69" t="str">
        <f t="array" ref="C69">IFERROR(INDEX(balance_sheet_quarter[#All], SMALL(IF(LOWER(balance_sheet_quarter[Company Name]) = LOWER(balance_sheet_quarter_filter!$B$2), ROW(balance_sheet_quarter[Company Name]) - ROW(INDEX(balance_sheet_quarter[Company Name], 1, 1)) + 1), ROW(67:67)), COLUMN(B:B)), "")</f>
        <v>NGUỒN VỐN</v>
      </c>
      <c r="D69" s="14">
        <f>SUM(D70,D100)</f>
        <v>4662399572164</v>
      </c>
      <c r="E69" s="14">
        <f t="shared" ref="E69:P69" si="4">SUM(E70,E100)</f>
        <v>4717285454180</v>
      </c>
      <c r="F69" s="14">
        <f t="shared" si="4"/>
        <v>4716725151083</v>
      </c>
      <c r="G69" s="14">
        <f t="shared" si="4"/>
        <v>4737624948825</v>
      </c>
      <c r="H69" s="14">
        <f t="shared" si="4"/>
        <v>4699830748881</v>
      </c>
      <c r="I69" s="14">
        <f t="shared" si="4"/>
        <v>4746867199141</v>
      </c>
      <c r="J69" s="14">
        <f t="shared" si="4"/>
        <v>4745404690880</v>
      </c>
      <c r="K69" s="14">
        <f t="shared" si="4"/>
        <v>4706438603939</v>
      </c>
      <c r="L69" s="14">
        <f t="shared" si="4"/>
        <v>4663764293221</v>
      </c>
      <c r="M69" s="14">
        <f t="shared" si="4"/>
        <v>4605530855763</v>
      </c>
      <c r="N69" s="14">
        <f t="shared" si="4"/>
        <v>4543378042857</v>
      </c>
      <c r="O69" s="14">
        <f t="shared" si="4"/>
        <v>4461576514982</v>
      </c>
      <c r="P69" s="14">
        <f t="shared" si="4"/>
        <v>4450552403545</v>
      </c>
    </row>
    <row r="70" spans="3:16" x14ac:dyDescent="0.35">
      <c r="C70" t="str">
        <f t="array" ref="C70">IFERROR(INDEX(balance_sheet_quarter[#All], SMALL(IF(LOWER(balance_sheet_quarter[Company Name]) = LOWER(balance_sheet_quarter_filter!$B$2), ROW(balance_sheet_quarter[Company Name]) - ROW(INDEX(balance_sheet_quarter[Company Name], 1, 1)) + 1), ROW(68:68)), COLUMN(B:B)), "")</f>
        <v>C. NỢ PHẢI TRẢ</v>
      </c>
      <c r="D70" s="14">
        <f t="array" ref="D70">IFERROR(INDEX(balance_sheet_quarter[#All], SMALL(IF(LOWER(balance_sheet_quarter[Company Name]) = LOWER(balance_sheet_quarter_filter!$B$2), ROW(balance_sheet_quarter[Company Name]) - ROW(INDEX(balance_sheet_quarter[Company Name], 1, 1)) + 1), ROW(68:68)), COLUMN(C:C)), "")</f>
        <v>3029083204678</v>
      </c>
      <c r="E70" s="14">
        <f t="array" ref="E70">IFERROR(INDEX(balance_sheet_quarter[#All], SMALL(IF(LOWER(balance_sheet_quarter[Company Name]) = LOWER(balance_sheet_quarter_filter!$B$2), ROW(balance_sheet_quarter[Company Name]) - ROW(INDEX(balance_sheet_quarter[Company Name], 1, 1)) + 1), ROW(68:68)), COLUMN(D:D)), "")</f>
        <v>3063837940933</v>
      </c>
      <c r="F70" s="14">
        <f t="array" ref="F70">IFERROR(INDEX(balance_sheet_quarter[#All], SMALL(IF(LOWER(balance_sheet_quarter[Company Name]) = LOWER(balance_sheet_quarter_filter!$B$2), ROW(balance_sheet_quarter[Company Name]) - ROW(INDEX(balance_sheet_quarter[Company Name], 1, 1)) + 1), ROW(68:68)), COLUMN(E:E)), "")</f>
        <v>3037593015739</v>
      </c>
      <c r="G70" s="14">
        <f t="array" ref="G70">IFERROR(INDEX(balance_sheet_quarter[#All], SMALL(IF(LOWER(balance_sheet_quarter[Company Name]) = LOWER(balance_sheet_quarter_filter!$B$2), ROW(balance_sheet_quarter[Company Name]) - ROW(INDEX(balance_sheet_quarter[Company Name], 1, 1)) + 1), ROW(68:68)), COLUMN(F:F)), "")</f>
        <v>3024970146731</v>
      </c>
      <c r="H70" s="14">
        <f t="array" ref="H70">IFERROR(INDEX(balance_sheet_quarter[#All], SMALL(IF(LOWER(balance_sheet_quarter[Company Name]) = LOWER(balance_sheet_quarter_filter!$B$2), ROW(balance_sheet_quarter[Company Name]) - ROW(INDEX(balance_sheet_quarter[Company Name], 1, 1)) + 1), ROW(68:68)), COLUMN(G:G)), "")</f>
        <v>2961466253555</v>
      </c>
      <c r="I70" s="14">
        <f t="array" ref="I70">IFERROR(INDEX(balance_sheet_quarter[#All], SMALL(IF(LOWER(balance_sheet_quarter[Company Name]) = LOWER(balance_sheet_quarter_filter!$B$2), ROW(balance_sheet_quarter[Company Name]) - ROW(INDEX(balance_sheet_quarter[Company Name], 1, 1)) + 1), ROW(68:68)), COLUMN(H:H)), "")</f>
        <v>2989101501682</v>
      </c>
      <c r="J70" s="14">
        <f t="array" ref="J70">IFERROR(INDEX(balance_sheet_quarter[#All], SMALL(IF(LOWER(balance_sheet_quarter[Company Name]) = LOWER(balance_sheet_quarter_filter!$B$2), ROW(balance_sheet_quarter[Company Name]) - ROW(INDEX(balance_sheet_quarter[Company Name], 1, 1)) + 1), ROW(68:68)), COLUMN(I:I)), "")</f>
        <v>2936462709627</v>
      </c>
      <c r="K70" s="14">
        <f t="array" ref="K70">IFERROR(INDEX(balance_sheet_quarter[#All], SMALL(IF(LOWER(balance_sheet_quarter[Company Name]) = LOWER(balance_sheet_quarter_filter!$B$2), ROW(balance_sheet_quarter[Company Name]) - ROW(INDEX(balance_sheet_quarter[Company Name], 1, 1)) + 1), ROW(68:68)), COLUMN(J:J)), "")</f>
        <v>2841149196805</v>
      </c>
      <c r="L70" s="14">
        <f t="array" ref="L70">IFERROR(INDEX(balance_sheet_quarter[#All], SMALL(IF(LOWER(balance_sheet_quarter[Company Name]) = LOWER(balance_sheet_quarter_filter!$B$2), ROW(balance_sheet_quarter[Company Name]) - ROW(INDEX(balance_sheet_quarter[Company Name], 1, 1)) + 1), ROW(68:68)), COLUMN(K:K)), "")</f>
        <v>2755284697640</v>
      </c>
      <c r="M70" s="14">
        <f t="array" ref="M70">IFERROR(INDEX(balance_sheet_quarter[#All], SMALL(IF(LOWER(balance_sheet_quarter[Company Name]) = LOWER(balance_sheet_quarter_filter!$B$2), ROW(balance_sheet_quarter[Company Name]) - ROW(INDEX(balance_sheet_quarter[Company Name], 1, 1)) + 1), ROW(68:68)), COLUMN(L:L)), "")</f>
        <v>2671810540433</v>
      </c>
      <c r="N70" s="14">
        <f t="array" ref="N70">IFERROR(INDEX(balance_sheet_quarter[#All], SMALL(IF(LOWER(balance_sheet_quarter[Company Name]) = LOWER(balance_sheet_quarter_filter!$B$2), ROW(balance_sheet_quarter[Company Name]) - ROW(INDEX(balance_sheet_quarter[Company Name], 1, 1)) + 1), ROW(68:68)), COLUMN(M:M)), "")</f>
        <v>2609911789114</v>
      </c>
      <c r="O70" s="14">
        <f t="array" ref="O70">IFERROR(INDEX(balance_sheet_quarter[#All], SMALL(IF(LOWER(balance_sheet_quarter[Company Name]) = LOWER(balance_sheet_quarter_filter!$B$2), ROW(balance_sheet_quarter[Company Name]) - ROW(INDEX(balance_sheet_quarter[Company Name], 1, 1)) + 1), ROW(68:68)), COLUMN(N:N)), "")</f>
        <v>2514750812095</v>
      </c>
      <c r="P70" s="14">
        <f t="array" ref="P70">IFERROR(INDEX(balance_sheet_quarter[#All], SMALL(IF(LOWER(balance_sheet_quarter[Company Name]) = LOWER(balance_sheet_quarter_filter!$B$2), ROW(balance_sheet_quarter[Company Name]) - ROW(INDEX(balance_sheet_quarter[Company Name], 1, 1)) + 1), ROW(68:68)), COLUMN(O:O)), "")</f>
        <v>2468799512793</v>
      </c>
    </row>
    <row r="71" spans="3:16" x14ac:dyDescent="0.35">
      <c r="C71" t="str">
        <f t="array" ref="C71">IFERROR(INDEX(balance_sheet_quarter[#All], SMALL(IF(LOWER(balance_sheet_quarter[Company Name]) = LOWER(balance_sheet_quarter_filter!$B$2), ROW(balance_sheet_quarter[Company Name]) - ROW(INDEX(balance_sheet_quarter[Company Name], 1, 1)) + 1), ROW(69:69)), COLUMN(B:B)), "")</f>
        <v>I. Nợ ngắn hạn</v>
      </c>
      <c r="D71" s="14">
        <f t="array" ref="D71">IFERROR(INDEX(balance_sheet_quarter[#All], SMALL(IF(LOWER(balance_sheet_quarter[Company Name]) = LOWER(balance_sheet_quarter_filter!$B$2), ROW(balance_sheet_quarter[Company Name]) - ROW(INDEX(balance_sheet_quarter[Company Name], 1, 1)) + 1), ROW(69:69)), COLUMN(C:C)), "")</f>
        <v>373210956092</v>
      </c>
      <c r="E71" s="14">
        <f t="array" ref="E71">IFERROR(INDEX(balance_sheet_quarter[#All], SMALL(IF(LOWER(balance_sheet_quarter[Company Name]) = LOWER(balance_sheet_quarter_filter!$B$2), ROW(balance_sheet_quarter[Company Name]) - ROW(INDEX(balance_sheet_quarter[Company Name], 1, 1)) + 1), ROW(69:69)), COLUMN(D:D)), "")</f>
        <v>404759380871</v>
      </c>
      <c r="F71" s="14">
        <f t="array" ref="F71">IFERROR(INDEX(balance_sheet_quarter[#All], SMALL(IF(LOWER(balance_sheet_quarter[Company Name]) = LOWER(balance_sheet_quarter_filter!$B$2), ROW(balance_sheet_quarter[Company Name]) - ROW(INDEX(balance_sheet_quarter[Company Name], 1, 1)) + 1), ROW(69:69)), COLUMN(E:E)), "")</f>
        <v>354635326025</v>
      </c>
      <c r="G71" s="14">
        <f t="array" ref="G71">IFERROR(INDEX(balance_sheet_quarter[#All], SMALL(IF(LOWER(balance_sheet_quarter[Company Name]) = LOWER(balance_sheet_quarter_filter!$B$2), ROW(balance_sheet_quarter[Company Name]) - ROW(INDEX(balance_sheet_quarter[Company Name], 1, 1)) + 1), ROW(69:69)), COLUMN(F:F)), "")</f>
        <v>495990091018</v>
      </c>
      <c r="H71" s="14">
        <f t="array" ref="H71">IFERROR(INDEX(balance_sheet_quarter[#All], SMALL(IF(LOWER(balance_sheet_quarter[Company Name]) = LOWER(balance_sheet_quarter_filter!$B$2), ROW(balance_sheet_quarter[Company Name]) - ROW(INDEX(balance_sheet_quarter[Company Name], 1, 1)) + 1), ROW(69:69)), COLUMN(G:G)), "")</f>
        <v>511017197843</v>
      </c>
      <c r="I71" s="14">
        <f t="array" ref="I71">IFERROR(INDEX(balance_sheet_quarter[#All], SMALL(IF(LOWER(balance_sheet_quarter[Company Name]) = LOWER(balance_sheet_quarter_filter!$B$2), ROW(balance_sheet_quarter[Company Name]) - ROW(INDEX(balance_sheet_quarter[Company Name], 1, 1)) + 1), ROW(69:69)), COLUMN(H:H)), "")</f>
        <v>421587495970</v>
      </c>
      <c r="J71" s="14">
        <f t="array" ref="J71">IFERROR(INDEX(balance_sheet_quarter[#All], SMALL(IF(LOWER(balance_sheet_quarter[Company Name]) = LOWER(balance_sheet_quarter_filter!$B$2), ROW(balance_sheet_quarter[Company Name]) - ROW(INDEX(balance_sheet_quarter[Company Name], 1, 1)) + 1), ROW(69:69)), COLUMN(I:I)), "")</f>
        <v>455618703916</v>
      </c>
      <c r="K71" s="14">
        <f t="array" ref="K71">IFERROR(INDEX(balance_sheet_quarter[#All], SMALL(IF(LOWER(balance_sheet_quarter[Company Name]) = LOWER(balance_sheet_quarter_filter!$B$2), ROW(balance_sheet_quarter[Company Name]) - ROW(INDEX(balance_sheet_quarter[Company Name], 1, 1)) + 1), ROW(69:69)), COLUMN(J:J)), "")</f>
        <v>448561408143</v>
      </c>
      <c r="L71" s="14">
        <f t="array" ref="L71">IFERROR(INDEX(balance_sheet_quarter[#All], SMALL(IF(LOWER(balance_sheet_quarter[Company Name]) = LOWER(balance_sheet_quarter_filter!$B$2), ROW(balance_sheet_quarter[Company Name]) - ROW(INDEX(balance_sheet_quarter[Company Name], 1, 1)) + 1), ROW(69:69)), COLUMN(K:K)), "")</f>
        <v>419557349345</v>
      </c>
      <c r="M71" s="14">
        <f t="array" ref="M71">IFERROR(INDEX(balance_sheet_quarter[#All], SMALL(IF(LOWER(balance_sheet_quarter[Company Name]) = LOWER(balance_sheet_quarter_filter!$B$2), ROW(balance_sheet_quarter[Company Name]) - ROW(INDEX(balance_sheet_quarter[Company Name], 1, 1)) + 1), ROW(69:69)), COLUMN(L:L)), "")</f>
        <v>395388602735</v>
      </c>
      <c r="N71" s="14">
        <f t="array" ref="N71">IFERROR(INDEX(balance_sheet_quarter[#All], SMALL(IF(LOWER(balance_sheet_quarter[Company Name]) = LOWER(balance_sheet_quarter_filter!$B$2), ROW(balance_sheet_quarter[Company Name]) - ROW(INDEX(balance_sheet_quarter[Company Name], 1, 1)) + 1), ROW(69:69)), COLUMN(M:M)), "")</f>
        <v>438836354591</v>
      </c>
      <c r="O71" s="14">
        <f t="array" ref="O71">IFERROR(INDEX(balance_sheet_quarter[#All], SMALL(IF(LOWER(balance_sheet_quarter[Company Name]) = LOWER(balance_sheet_quarter_filter!$B$2), ROW(balance_sheet_quarter[Company Name]) - ROW(INDEX(balance_sheet_quarter[Company Name], 1, 1)) + 1), ROW(69:69)), COLUMN(N:N)), "")</f>
        <v>408185377572</v>
      </c>
      <c r="P71" s="14">
        <f t="array" ref="P71">IFERROR(INDEX(balance_sheet_quarter[#All], SMALL(IF(LOWER(balance_sheet_quarter[Company Name]) = LOWER(balance_sheet_quarter_filter!$B$2), ROW(balance_sheet_quarter[Company Name]) - ROW(INDEX(balance_sheet_quarter[Company Name], 1, 1)) + 1), ROW(69:69)), COLUMN(O:O)), "")</f>
        <v>426884078271</v>
      </c>
    </row>
    <row r="72" spans="3:16" x14ac:dyDescent="0.35">
      <c r="C72" t="str">
        <f t="array" ref="C72">IFERROR(INDEX(balance_sheet_quarter[#All], SMALL(IF(LOWER(balance_sheet_quarter[Company Name]) = LOWER(balance_sheet_quarter_filter!$B$2), ROW(balance_sheet_quarter[Company Name]) - ROW(INDEX(balance_sheet_quarter[Company Name], 1, 1)) + 1), ROW(70:70)), COLUMN(B:B)), "")</f>
        <v>1. Phải trả người bán ngắn hạn</v>
      </c>
      <c r="D72" s="14">
        <f t="array" ref="D72">IFERROR(INDEX(balance_sheet_quarter[#All], SMALL(IF(LOWER(balance_sheet_quarter[Company Name]) = LOWER(balance_sheet_quarter_filter!$B$2), ROW(balance_sheet_quarter[Company Name]) - ROW(INDEX(balance_sheet_quarter[Company Name], 1, 1)) + 1), ROW(70:70)), COLUMN(C:C)), "")</f>
        <v>61682070946</v>
      </c>
      <c r="E72" s="14">
        <f t="array" ref="E72">IFERROR(INDEX(balance_sheet_quarter[#All], SMALL(IF(LOWER(balance_sheet_quarter[Company Name]) = LOWER(balance_sheet_quarter_filter!$B$2), ROW(balance_sheet_quarter[Company Name]) - ROW(INDEX(balance_sheet_quarter[Company Name], 1, 1)) + 1), ROW(70:70)), COLUMN(D:D)), "")</f>
        <v>77768371231</v>
      </c>
      <c r="F72" s="14">
        <f t="array" ref="F72">IFERROR(INDEX(balance_sheet_quarter[#All], SMALL(IF(LOWER(balance_sheet_quarter[Company Name]) = LOWER(balance_sheet_quarter_filter!$B$2), ROW(balance_sheet_quarter[Company Name]) - ROW(INDEX(balance_sheet_quarter[Company Name], 1, 1)) + 1), ROW(70:70)), COLUMN(E:E)), "")</f>
        <v>72113153233</v>
      </c>
      <c r="G72" s="14">
        <f t="array" ref="G72">IFERROR(INDEX(balance_sheet_quarter[#All], SMALL(IF(LOWER(balance_sheet_quarter[Company Name]) = LOWER(balance_sheet_quarter_filter!$B$2), ROW(balance_sheet_quarter[Company Name]) - ROW(INDEX(balance_sheet_quarter[Company Name], 1, 1)) + 1), ROW(70:70)), COLUMN(F:F)), "")</f>
        <v>59480494448</v>
      </c>
      <c r="H72" s="14">
        <f t="array" ref="H72">IFERROR(INDEX(balance_sheet_quarter[#All], SMALL(IF(LOWER(balance_sheet_quarter[Company Name]) = LOWER(balance_sheet_quarter_filter!$B$2), ROW(balance_sheet_quarter[Company Name]) - ROW(INDEX(balance_sheet_quarter[Company Name], 1, 1)) + 1), ROW(70:70)), COLUMN(G:G)), "")</f>
        <v>50033891697</v>
      </c>
      <c r="I72" s="14">
        <f t="array" ref="I72">IFERROR(INDEX(balance_sheet_quarter[#All], SMALL(IF(LOWER(balance_sheet_quarter[Company Name]) = LOWER(balance_sheet_quarter_filter!$B$2), ROW(balance_sheet_quarter[Company Name]) - ROW(INDEX(balance_sheet_quarter[Company Name], 1, 1)) + 1), ROW(70:70)), COLUMN(H:H)), "")</f>
        <v>10815865361</v>
      </c>
      <c r="J72" s="14">
        <f t="array" ref="J72">IFERROR(INDEX(balance_sheet_quarter[#All], SMALL(IF(LOWER(balance_sheet_quarter[Company Name]) = LOWER(balance_sheet_quarter_filter!$B$2), ROW(balance_sheet_quarter[Company Name]) - ROW(INDEX(balance_sheet_quarter[Company Name], 1, 1)) + 1), ROW(70:70)), COLUMN(I:I)), "")</f>
        <v>10448845321</v>
      </c>
      <c r="K72" s="14">
        <f t="array" ref="K72">IFERROR(INDEX(balance_sheet_quarter[#All], SMALL(IF(LOWER(balance_sheet_quarter[Company Name]) = LOWER(balance_sheet_quarter_filter!$B$2), ROW(balance_sheet_quarter[Company Name]) - ROW(INDEX(balance_sheet_quarter[Company Name], 1, 1)) + 1), ROW(70:70)), COLUMN(J:J)), "")</f>
        <v>10444201321</v>
      </c>
      <c r="L72" s="14">
        <f t="array" ref="L72">IFERROR(INDEX(balance_sheet_quarter[#All], SMALL(IF(LOWER(balance_sheet_quarter[Company Name]) = LOWER(balance_sheet_quarter_filter!$B$2), ROW(balance_sheet_quarter[Company Name]) - ROW(INDEX(balance_sheet_quarter[Company Name], 1, 1)) + 1), ROW(70:70)), COLUMN(K:K)), "")</f>
        <v>5721284502</v>
      </c>
      <c r="M72" s="14">
        <f t="array" ref="M72">IFERROR(INDEX(balance_sheet_quarter[#All], SMALL(IF(LOWER(balance_sheet_quarter[Company Name]) = LOWER(balance_sheet_quarter_filter!$B$2), ROW(balance_sheet_quarter[Company Name]) - ROW(INDEX(balance_sheet_quarter[Company Name], 1, 1)) + 1), ROW(70:70)), COLUMN(L:L)), "")</f>
        <v>2165020924</v>
      </c>
      <c r="N72" s="14">
        <f t="array" ref="N72">IFERROR(INDEX(balance_sheet_quarter[#All], SMALL(IF(LOWER(balance_sheet_quarter[Company Name]) = LOWER(balance_sheet_quarter_filter!$B$2), ROW(balance_sheet_quarter[Company Name]) - ROW(INDEX(balance_sheet_quarter[Company Name], 1, 1)) + 1), ROW(70:70)), COLUMN(M:M)), "")</f>
        <v>2193816924</v>
      </c>
      <c r="O72" s="14">
        <f t="array" ref="O72">IFERROR(INDEX(balance_sheet_quarter[#All], SMALL(IF(LOWER(balance_sheet_quarter[Company Name]) = LOWER(balance_sheet_quarter_filter!$B$2), ROW(balance_sheet_quarter[Company Name]) - ROW(INDEX(balance_sheet_quarter[Company Name], 1, 1)) + 1), ROW(70:70)), COLUMN(N:N)), "")</f>
        <v>4772818672</v>
      </c>
      <c r="P72" s="14">
        <f t="array" ref="P72">IFERROR(INDEX(balance_sheet_quarter[#All], SMALL(IF(LOWER(balance_sheet_quarter[Company Name]) = LOWER(balance_sheet_quarter_filter!$B$2), ROW(balance_sheet_quarter[Company Name]) - ROW(INDEX(balance_sheet_quarter[Company Name], 1, 1)) + 1), ROW(70:70)), COLUMN(O:O)), "")</f>
        <v>4895484500</v>
      </c>
    </row>
    <row r="73" spans="3:16" x14ac:dyDescent="0.35">
      <c r="C73" t="str">
        <f t="array" ref="C73">IFERROR(INDEX(balance_sheet_quarter[#All], SMALL(IF(LOWER(balance_sheet_quarter[Company Name]) = LOWER(balance_sheet_quarter_filter!$B$2), ROW(balance_sheet_quarter[Company Name]) - ROW(INDEX(balance_sheet_quarter[Company Name], 1, 1)) + 1), ROW(71:71)), COLUMN(B:B)), "")</f>
        <v>2. Người mua trả tiền trước ngắn hạn</v>
      </c>
      <c r="D73" s="14">
        <f t="array" ref="D73">IFERROR(INDEX(balance_sheet_quarter[#All], SMALL(IF(LOWER(balance_sheet_quarter[Company Name]) = LOWER(balance_sheet_quarter_filter!$B$2), ROW(balance_sheet_quarter[Company Name]) - ROW(INDEX(balance_sheet_quarter[Company Name], 1, 1)) + 1), ROW(71:71)), COLUMN(C:C)), "")</f>
        <v>0</v>
      </c>
      <c r="E73" s="14">
        <f t="array" ref="E73">IFERROR(INDEX(balance_sheet_quarter[#All], SMALL(IF(LOWER(balance_sheet_quarter[Company Name]) = LOWER(balance_sheet_quarter_filter!$B$2), ROW(balance_sheet_quarter[Company Name]) - ROW(INDEX(balance_sheet_quarter[Company Name], 1, 1)) + 1), ROW(71:71)), COLUMN(D:D)), "")</f>
        <v>0</v>
      </c>
      <c r="F73" s="14">
        <f t="array" ref="F73">IFERROR(INDEX(balance_sheet_quarter[#All], SMALL(IF(LOWER(balance_sheet_quarter[Company Name]) = LOWER(balance_sheet_quarter_filter!$B$2), ROW(balance_sheet_quarter[Company Name]) - ROW(INDEX(balance_sheet_quarter[Company Name], 1, 1)) + 1), ROW(71:71)), COLUMN(E:E)), "")</f>
        <v>0</v>
      </c>
      <c r="G73" s="14">
        <f t="array" ref="G73">IFERROR(INDEX(balance_sheet_quarter[#All], SMALL(IF(LOWER(balance_sheet_quarter[Company Name]) = LOWER(balance_sheet_quarter_filter!$B$2), ROW(balance_sheet_quarter[Company Name]) - ROW(INDEX(balance_sheet_quarter[Company Name], 1, 1)) + 1), ROW(71:71)), COLUMN(F:F)), "")</f>
        <v>0</v>
      </c>
      <c r="H73" s="14">
        <f t="array" ref="H73">IFERROR(INDEX(balance_sheet_quarter[#All], SMALL(IF(LOWER(balance_sheet_quarter[Company Name]) = LOWER(balance_sheet_quarter_filter!$B$2), ROW(balance_sheet_quarter[Company Name]) - ROW(INDEX(balance_sheet_quarter[Company Name], 1, 1)) + 1), ROW(71:71)), COLUMN(G:G)), "")</f>
        <v>0</v>
      </c>
      <c r="I73" s="14">
        <f t="array" ref="I73">IFERROR(INDEX(balance_sheet_quarter[#All], SMALL(IF(LOWER(balance_sheet_quarter[Company Name]) = LOWER(balance_sheet_quarter_filter!$B$2), ROW(balance_sheet_quarter[Company Name]) - ROW(INDEX(balance_sheet_quarter[Company Name], 1, 1)) + 1), ROW(71:71)), COLUMN(H:H)), "")</f>
        <v>0</v>
      </c>
      <c r="J73" s="14">
        <f t="array" ref="J73">IFERROR(INDEX(balance_sheet_quarter[#All], SMALL(IF(LOWER(balance_sheet_quarter[Company Name]) = LOWER(balance_sheet_quarter_filter!$B$2), ROW(balance_sheet_quarter[Company Name]) - ROW(INDEX(balance_sheet_quarter[Company Name], 1, 1)) + 1), ROW(71:71)), COLUMN(I:I)), "")</f>
        <v>0</v>
      </c>
      <c r="K73" s="14">
        <f t="array" ref="K73">IFERROR(INDEX(balance_sheet_quarter[#All], SMALL(IF(LOWER(balance_sheet_quarter[Company Name]) = LOWER(balance_sheet_quarter_filter!$B$2), ROW(balance_sheet_quarter[Company Name]) - ROW(INDEX(balance_sheet_quarter[Company Name], 1, 1)) + 1), ROW(71:71)), COLUMN(J:J)), "")</f>
        <v>0</v>
      </c>
      <c r="L73" s="14">
        <f t="array" ref="L73">IFERROR(INDEX(balance_sheet_quarter[#All], SMALL(IF(LOWER(balance_sheet_quarter[Company Name]) = LOWER(balance_sheet_quarter_filter!$B$2), ROW(balance_sheet_quarter[Company Name]) - ROW(INDEX(balance_sheet_quarter[Company Name], 1, 1)) + 1), ROW(71:71)), COLUMN(K:K)), "")</f>
        <v>0</v>
      </c>
      <c r="M73" s="14">
        <f t="array" ref="M73">IFERROR(INDEX(balance_sheet_quarter[#All], SMALL(IF(LOWER(balance_sheet_quarter[Company Name]) = LOWER(balance_sheet_quarter_filter!$B$2), ROW(balance_sheet_quarter[Company Name]) - ROW(INDEX(balance_sheet_quarter[Company Name], 1, 1)) + 1), ROW(71:71)), COLUMN(L:L)), "")</f>
        <v>0</v>
      </c>
      <c r="N73" s="14">
        <f t="array" ref="N73">IFERROR(INDEX(balance_sheet_quarter[#All], SMALL(IF(LOWER(balance_sheet_quarter[Company Name]) = LOWER(balance_sheet_quarter_filter!$B$2), ROW(balance_sheet_quarter[Company Name]) - ROW(INDEX(balance_sheet_quarter[Company Name], 1, 1)) + 1), ROW(71:71)), COLUMN(M:M)), "")</f>
        <v>0</v>
      </c>
      <c r="O73" s="14">
        <f t="array" ref="O73">IFERROR(INDEX(balance_sheet_quarter[#All], SMALL(IF(LOWER(balance_sheet_quarter[Company Name]) = LOWER(balance_sheet_quarter_filter!$B$2), ROW(balance_sheet_quarter[Company Name]) - ROW(INDEX(balance_sheet_quarter[Company Name], 1, 1)) + 1), ROW(71:71)), COLUMN(N:N)), "")</f>
        <v>0</v>
      </c>
      <c r="P73" s="14">
        <f t="array" ref="P73">IFERROR(INDEX(balance_sheet_quarter[#All], SMALL(IF(LOWER(balance_sheet_quarter[Company Name]) = LOWER(balance_sheet_quarter_filter!$B$2), ROW(balance_sheet_quarter[Company Name]) - ROW(INDEX(balance_sheet_quarter[Company Name], 1, 1)) + 1), ROW(71:71)), COLUMN(O:O)), "")</f>
        <v>0</v>
      </c>
    </row>
    <row r="74" spans="3:16" x14ac:dyDescent="0.35">
      <c r="C74" t="str">
        <f t="array" ref="C74">IFERROR(INDEX(balance_sheet_quarter[#All], SMALL(IF(LOWER(balance_sheet_quarter[Company Name]) = LOWER(balance_sheet_quarter_filter!$B$2), ROW(balance_sheet_quarter[Company Name]) - ROW(INDEX(balance_sheet_quarter[Company Name], 1, 1)) + 1), ROW(72:72)), COLUMN(B:B)), "")</f>
        <v>3. Thuế và các khoản phải nộp nhà nước</v>
      </c>
      <c r="D74" s="14">
        <f t="array" ref="D74">IFERROR(INDEX(balance_sheet_quarter[#All], SMALL(IF(LOWER(balance_sheet_quarter[Company Name]) = LOWER(balance_sheet_quarter_filter!$B$2), ROW(balance_sheet_quarter[Company Name]) - ROW(INDEX(balance_sheet_quarter[Company Name], 1, 1)) + 1), ROW(72:72)), COLUMN(C:C)), "")</f>
        <v>18477672757</v>
      </c>
      <c r="E74" s="14">
        <f t="array" ref="E74">IFERROR(INDEX(balance_sheet_quarter[#All], SMALL(IF(LOWER(balance_sheet_quarter[Company Name]) = LOWER(balance_sheet_quarter_filter!$B$2), ROW(balance_sheet_quarter[Company Name]) - ROW(INDEX(balance_sheet_quarter[Company Name], 1, 1)) + 1), ROW(72:72)), COLUMN(D:D)), "")</f>
        <v>12530087989</v>
      </c>
      <c r="F74" s="14">
        <f t="array" ref="F74">IFERROR(INDEX(balance_sheet_quarter[#All], SMALL(IF(LOWER(balance_sheet_quarter[Company Name]) = LOWER(balance_sheet_quarter_filter!$B$2), ROW(balance_sheet_quarter[Company Name]) - ROW(INDEX(balance_sheet_quarter[Company Name], 1, 1)) + 1), ROW(72:72)), COLUMN(E:E)), "")</f>
        <v>19361666392</v>
      </c>
      <c r="G74" s="14">
        <f t="array" ref="G74">IFERROR(INDEX(balance_sheet_quarter[#All], SMALL(IF(LOWER(balance_sheet_quarter[Company Name]) = LOWER(balance_sheet_quarter_filter!$B$2), ROW(balance_sheet_quarter[Company Name]) - ROW(INDEX(balance_sheet_quarter[Company Name], 1, 1)) + 1), ROW(72:72)), COLUMN(F:F)), "")</f>
        <v>27338559577</v>
      </c>
      <c r="H74" s="14">
        <f t="array" ref="H74">IFERROR(INDEX(balance_sheet_quarter[#All], SMALL(IF(LOWER(balance_sheet_quarter[Company Name]) = LOWER(balance_sheet_quarter_filter!$B$2), ROW(balance_sheet_quarter[Company Name]) - ROW(INDEX(balance_sheet_quarter[Company Name], 1, 1)) + 1), ROW(72:72)), COLUMN(G:G)), "")</f>
        <v>33196149407</v>
      </c>
      <c r="I74" s="14">
        <f t="array" ref="I74">IFERROR(INDEX(balance_sheet_quarter[#All], SMALL(IF(LOWER(balance_sheet_quarter[Company Name]) = LOWER(balance_sheet_quarter_filter!$B$2), ROW(balance_sheet_quarter[Company Name]) - ROW(INDEX(balance_sheet_quarter[Company Name], 1, 1)) + 1), ROW(72:72)), COLUMN(H:H)), "")</f>
        <v>25391287550</v>
      </c>
      <c r="J74" s="14">
        <f t="array" ref="J74">IFERROR(INDEX(balance_sheet_quarter[#All], SMALL(IF(LOWER(balance_sheet_quarter[Company Name]) = LOWER(balance_sheet_quarter_filter!$B$2), ROW(balance_sheet_quarter[Company Name]) - ROW(INDEX(balance_sheet_quarter[Company Name], 1, 1)) + 1), ROW(72:72)), COLUMN(I:I)), "")</f>
        <v>23630778774</v>
      </c>
      <c r="K74" s="14">
        <f t="array" ref="K74">IFERROR(INDEX(balance_sheet_quarter[#All], SMALL(IF(LOWER(balance_sheet_quarter[Company Name]) = LOWER(balance_sheet_quarter_filter!$B$2), ROW(balance_sheet_quarter[Company Name]) - ROW(INDEX(balance_sheet_quarter[Company Name], 1, 1)) + 1), ROW(72:72)), COLUMN(J:J)), "")</f>
        <v>22406335320</v>
      </c>
      <c r="L74" s="14">
        <f t="array" ref="L74">IFERROR(INDEX(balance_sheet_quarter[#All], SMALL(IF(LOWER(balance_sheet_quarter[Company Name]) = LOWER(balance_sheet_quarter_filter!$B$2), ROW(balance_sheet_quarter[Company Name]) - ROW(INDEX(balance_sheet_quarter[Company Name], 1, 1)) + 1), ROW(72:72)), COLUMN(K:K)), "")</f>
        <v>33117858622</v>
      </c>
      <c r="M74" s="14">
        <f t="array" ref="M74">IFERROR(INDEX(balance_sheet_quarter[#All], SMALL(IF(LOWER(balance_sheet_quarter[Company Name]) = LOWER(balance_sheet_quarter_filter!$B$2), ROW(balance_sheet_quarter[Company Name]) - ROW(INDEX(balance_sheet_quarter[Company Name], 1, 1)) + 1), ROW(72:72)), COLUMN(L:L)), "")</f>
        <v>27944444906</v>
      </c>
      <c r="N74" s="14">
        <f t="array" ref="N74">IFERROR(INDEX(balance_sheet_quarter[#All], SMALL(IF(LOWER(balance_sheet_quarter[Company Name]) = LOWER(balance_sheet_quarter_filter!$B$2), ROW(balance_sheet_quarter[Company Name]) - ROW(INDEX(balance_sheet_quarter[Company Name], 1, 1)) + 1), ROW(72:72)), COLUMN(M:M)), "")</f>
        <v>35913422400</v>
      </c>
      <c r="O74" s="14">
        <f t="array" ref="O74">IFERROR(INDEX(balance_sheet_quarter[#All], SMALL(IF(LOWER(balance_sheet_quarter[Company Name]) = LOWER(balance_sheet_quarter_filter!$B$2), ROW(balance_sheet_quarter[Company Name]) - ROW(INDEX(balance_sheet_quarter[Company Name], 1, 1)) + 1), ROW(72:72)), COLUMN(N:N)), "")</f>
        <v>30970002588</v>
      </c>
      <c r="P74" s="14">
        <f t="array" ref="P74">IFERROR(INDEX(balance_sheet_quarter[#All], SMALL(IF(LOWER(balance_sheet_quarter[Company Name]) = LOWER(balance_sheet_quarter_filter!$B$2), ROW(balance_sheet_quarter[Company Name]) - ROW(INDEX(balance_sheet_quarter[Company Name], 1, 1)) + 1), ROW(72:72)), COLUMN(O:O)), "")</f>
        <v>29372518402</v>
      </c>
    </row>
    <row r="75" spans="3:16" x14ac:dyDescent="0.35">
      <c r="C75" t="str">
        <f t="array" ref="C75">IFERROR(INDEX(balance_sheet_quarter[#All], SMALL(IF(LOWER(balance_sheet_quarter[Company Name]) = LOWER(balance_sheet_quarter_filter!$B$2), ROW(balance_sheet_quarter[Company Name]) - ROW(INDEX(balance_sheet_quarter[Company Name], 1, 1)) + 1), ROW(73:73)), COLUMN(B:B)), "")</f>
        <v>4. Phải trả người lao động</v>
      </c>
      <c r="D75" s="14">
        <f t="array" ref="D75">IFERROR(INDEX(balance_sheet_quarter[#All], SMALL(IF(LOWER(balance_sheet_quarter[Company Name]) = LOWER(balance_sheet_quarter_filter!$B$2), ROW(balance_sheet_quarter[Company Name]) - ROW(INDEX(balance_sheet_quarter[Company Name], 1, 1)) + 1), ROW(73:73)), COLUMN(C:C)), "")</f>
        <v>1467849277</v>
      </c>
      <c r="E75" s="14">
        <f t="array" ref="E75">IFERROR(INDEX(balance_sheet_quarter[#All], SMALL(IF(LOWER(balance_sheet_quarter[Company Name]) = LOWER(balance_sheet_quarter_filter!$B$2), ROW(balance_sheet_quarter[Company Name]) - ROW(INDEX(balance_sheet_quarter[Company Name], 1, 1)) + 1), ROW(73:73)), COLUMN(D:D)), "")</f>
        <v>3078357229</v>
      </c>
      <c r="F75" s="14">
        <f t="array" ref="F75">IFERROR(INDEX(balance_sheet_quarter[#All], SMALL(IF(LOWER(balance_sheet_quarter[Company Name]) = LOWER(balance_sheet_quarter_filter!$B$2), ROW(balance_sheet_quarter[Company Name]) - ROW(INDEX(balance_sheet_quarter[Company Name], 1, 1)) + 1), ROW(73:73)), COLUMN(E:E)), "")</f>
        <v>2554488070</v>
      </c>
      <c r="G75" s="14">
        <f t="array" ref="G75">IFERROR(INDEX(balance_sheet_quarter[#All], SMALL(IF(LOWER(balance_sheet_quarter[Company Name]) = LOWER(balance_sheet_quarter_filter!$B$2), ROW(balance_sheet_quarter[Company Name]) - ROW(INDEX(balance_sheet_quarter[Company Name], 1, 1)) + 1), ROW(73:73)), COLUMN(F:F)), "")</f>
        <v>1538815579</v>
      </c>
      <c r="H75" s="14">
        <f t="array" ref="H75">IFERROR(INDEX(balance_sheet_quarter[#All], SMALL(IF(LOWER(balance_sheet_quarter[Company Name]) = LOWER(balance_sheet_quarter_filter!$B$2), ROW(balance_sheet_quarter[Company Name]) - ROW(INDEX(balance_sheet_quarter[Company Name], 1, 1)) + 1), ROW(73:73)), COLUMN(G:G)), "")</f>
        <v>2245988897</v>
      </c>
      <c r="I75" s="14">
        <f t="array" ref="I75">IFERROR(INDEX(balance_sheet_quarter[#All], SMALL(IF(LOWER(balance_sheet_quarter[Company Name]) = LOWER(balance_sheet_quarter_filter!$B$2), ROW(balance_sheet_quarter[Company Name]) - ROW(INDEX(balance_sheet_quarter[Company Name], 1, 1)) + 1), ROW(73:73)), COLUMN(H:H)), "")</f>
        <v>1661202568</v>
      </c>
      <c r="J75" s="14">
        <f t="array" ref="J75">IFERROR(INDEX(balance_sheet_quarter[#All], SMALL(IF(LOWER(balance_sheet_quarter[Company Name]) = LOWER(balance_sheet_quarter_filter!$B$2), ROW(balance_sheet_quarter[Company Name]) - ROW(INDEX(balance_sheet_quarter[Company Name], 1, 1)) + 1), ROW(73:73)), COLUMN(I:I)), "")</f>
        <v>1600987840</v>
      </c>
      <c r="K75" s="14">
        <f t="array" ref="K75">IFERROR(INDEX(balance_sheet_quarter[#All], SMALL(IF(LOWER(balance_sheet_quarter[Company Name]) = LOWER(balance_sheet_quarter_filter!$B$2), ROW(balance_sheet_quarter[Company Name]) - ROW(INDEX(balance_sheet_quarter[Company Name], 1, 1)) + 1), ROW(73:73)), COLUMN(J:J)), "")</f>
        <v>1518628444</v>
      </c>
      <c r="L75" s="14">
        <f t="array" ref="L75">IFERROR(INDEX(balance_sheet_quarter[#All], SMALL(IF(LOWER(balance_sheet_quarter[Company Name]) = LOWER(balance_sheet_quarter_filter!$B$2), ROW(balance_sheet_quarter[Company Name]) - ROW(INDEX(balance_sheet_quarter[Company Name], 1, 1)) + 1), ROW(73:73)), COLUMN(K:K)), "")</f>
        <v>1747257788</v>
      </c>
      <c r="M75" s="14">
        <f t="array" ref="M75">IFERROR(INDEX(balance_sheet_quarter[#All], SMALL(IF(LOWER(balance_sheet_quarter[Company Name]) = LOWER(balance_sheet_quarter_filter!$B$2), ROW(balance_sheet_quarter[Company Name]) - ROW(INDEX(balance_sheet_quarter[Company Name], 1, 1)) + 1), ROW(73:73)), COLUMN(L:L)), "")</f>
        <v>4524745099</v>
      </c>
      <c r="N75" s="14">
        <f t="array" ref="N75">IFERROR(INDEX(balance_sheet_quarter[#All], SMALL(IF(LOWER(balance_sheet_quarter[Company Name]) = LOWER(balance_sheet_quarter_filter!$B$2), ROW(balance_sheet_quarter[Company Name]) - ROW(INDEX(balance_sheet_quarter[Company Name], 1, 1)) + 1), ROW(73:73)), COLUMN(M:M)), "")</f>
        <v>2009696308</v>
      </c>
      <c r="O75" s="14">
        <f t="array" ref="O75">IFERROR(INDEX(balance_sheet_quarter[#All], SMALL(IF(LOWER(balance_sheet_quarter[Company Name]) = LOWER(balance_sheet_quarter_filter!$B$2), ROW(balance_sheet_quarter[Company Name]) - ROW(INDEX(balance_sheet_quarter[Company Name], 1, 1)) + 1), ROW(73:73)), COLUMN(N:N)), "")</f>
        <v>1659401993</v>
      </c>
      <c r="P75" s="14">
        <f t="array" ref="P75">IFERROR(INDEX(balance_sheet_quarter[#All], SMALL(IF(LOWER(balance_sheet_quarter[Company Name]) = LOWER(balance_sheet_quarter_filter!$B$2), ROW(balance_sheet_quarter[Company Name]) - ROW(INDEX(balance_sheet_quarter[Company Name], 1, 1)) + 1), ROW(73:73)), COLUMN(O:O)), "")</f>
        <v>1224759606</v>
      </c>
    </row>
    <row r="76" spans="3:16" x14ac:dyDescent="0.35">
      <c r="C76" t="str">
        <f t="array" ref="C76">IFERROR(INDEX(balance_sheet_quarter[#All], SMALL(IF(LOWER(balance_sheet_quarter[Company Name]) = LOWER(balance_sheet_quarter_filter!$B$2), ROW(balance_sheet_quarter[Company Name]) - ROW(INDEX(balance_sheet_quarter[Company Name], 1, 1)) + 1), ROW(74:74)), COLUMN(B:B)), "")</f>
        <v>5. Chi phí phải trả ngắn hạn</v>
      </c>
      <c r="D76" s="14">
        <f t="array" ref="D76">IFERROR(INDEX(balance_sheet_quarter[#All], SMALL(IF(LOWER(balance_sheet_quarter[Company Name]) = LOWER(balance_sheet_quarter_filter!$B$2), ROW(balance_sheet_quarter[Company Name]) - ROW(INDEX(balance_sheet_quarter[Company Name], 1, 1)) + 1), ROW(74:74)), COLUMN(C:C)), "")</f>
        <v>27182447166</v>
      </c>
      <c r="E76" s="14">
        <f t="array" ref="E76">IFERROR(INDEX(balance_sheet_quarter[#All], SMALL(IF(LOWER(balance_sheet_quarter[Company Name]) = LOWER(balance_sheet_quarter_filter!$B$2), ROW(balance_sheet_quarter[Company Name]) - ROW(INDEX(balance_sheet_quarter[Company Name], 1, 1)) + 1), ROW(74:74)), COLUMN(D:D)), "")</f>
        <v>14025165845</v>
      </c>
      <c r="F76" s="14">
        <f t="array" ref="F76">IFERROR(INDEX(balance_sheet_quarter[#All], SMALL(IF(LOWER(balance_sheet_quarter[Company Name]) = LOWER(balance_sheet_quarter_filter!$B$2), ROW(balance_sheet_quarter[Company Name]) - ROW(INDEX(balance_sheet_quarter[Company Name], 1, 1)) + 1), ROW(74:74)), COLUMN(E:E)), "")</f>
        <v>14099680001</v>
      </c>
      <c r="G76" s="14">
        <f t="array" ref="G76">IFERROR(INDEX(balance_sheet_quarter[#All], SMALL(IF(LOWER(balance_sheet_quarter[Company Name]) = LOWER(balance_sheet_quarter_filter!$B$2), ROW(balance_sheet_quarter[Company Name]) - ROW(INDEX(balance_sheet_quarter[Company Name], 1, 1)) + 1), ROW(74:74)), COLUMN(F:F)), "")</f>
        <v>9791965092</v>
      </c>
      <c r="H76" s="14">
        <f t="array" ref="H76">IFERROR(INDEX(balance_sheet_quarter[#All], SMALL(IF(LOWER(balance_sheet_quarter[Company Name]) = LOWER(balance_sheet_quarter_filter!$B$2), ROW(balance_sheet_quarter[Company Name]) - ROW(INDEX(balance_sheet_quarter[Company Name], 1, 1)) + 1), ROW(74:74)), COLUMN(G:G)), "")</f>
        <v>4709000001</v>
      </c>
      <c r="I76" s="14">
        <f t="array" ref="I76">IFERROR(INDEX(balance_sheet_quarter[#All], SMALL(IF(LOWER(balance_sheet_quarter[Company Name]) = LOWER(balance_sheet_quarter_filter!$B$2), ROW(balance_sheet_quarter[Company Name]) - ROW(INDEX(balance_sheet_quarter[Company Name], 1, 1)) + 1), ROW(74:74)), COLUMN(H:H)), "")</f>
        <v>10946564874</v>
      </c>
      <c r="J76" s="14">
        <f t="array" ref="J76">IFERROR(INDEX(balance_sheet_quarter[#All], SMALL(IF(LOWER(balance_sheet_quarter[Company Name]) = LOWER(balance_sheet_quarter_filter!$B$2), ROW(balance_sheet_quarter[Company Name]) - ROW(INDEX(balance_sheet_quarter[Company Name], 1, 1)) + 1), ROW(74:74)), COLUMN(I:I)), "")</f>
        <v>28135697740</v>
      </c>
      <c r="K76" s="14">
        <f t="array" ref="K76">IFERROR(INDEX(balance_sheet_quarter[#All], SMALL(IF(LOWER(balance_sheet_quarter[Company Name]) = LOWER(balance_sheet_quarter_filter!$B$2), ROW(balance_sheet_quarter[Company Name]) - ROW(INDEX(balance_sheet_quarter[Company Name], 1, 1)) + 1), ROW(74:74)), COLUMN(J:J)), "")</f>
        <v>12292277075</v>
      </c>
      <c r="L76" s="14">
        <f t="array" ref="L76">IFERROR(INDEX(balance_sheet_quarter[#All], SMALL(IF(LOWER(balance_sheet_quarter[Company Name]) = LOWER(balance_sheet_quarter_filter!$B$2), ROW(balance_sheet_quarter[Company Name]) - ROW(INDEX(balance_sheet_quarter[Company Name], 1, 1)) + 1), ROW(74:74)), COLUMN(K:K)), "")</f>
        <v>13271842885</v>
      </c>
      <c r="M76" s="14">
        <f t="array" ref="M76">IFERROR(INDEX(balance_sheet_quarter[#All], SMALL(IF(LOWER(balance_sheet_quarter[Company Name]) = LOWER(balance_sheet_quarter_filter!$B$2), ROW(balance_sheet_quarter[Company Name]) - ROW(INDEX(balance_sheet_quarter[Company Name], 1, 1)) + 1), ROW(74:74)), COLUMN(L:L)), "")</f>
        <v>13140579203</v>
      </c>
      <c r="N76" s="14">
        <f t="array" ref="N76">IFERROR(INDEX(balance_sheet_quarter[#All], SMALL(IF(LOWER(balance_sheet_quarter[Company Name]) = LOWER(balance_sheet_quarter_filter!$B$2), ROW(balance_sheet_quarter[Company Name]) - ROW(INDEX(balance_sheet_quarter[Company Name], 1, 1)) + 1), ROW(74:74)), COLUMN(M:M)), "")</f>
        <v>25075249792</v>
      </c>
      <c r="O76" s="14">
        <f t="array" ref="O76">IFERROR(INDEX(balance_sheet_quarter[#All], SMALL(IF(LOWER(balance_sheet_quarter[Company Name]) = LOWER(balance_sheet_quarter_filter!$B$2), ROW(balance_sheet_quarter[Company Name]) - ROW(INDEX(balance_sheet_quarter[Company Name], 1, 1)) + 1), ROW(74:74)), COLUMN(N:N)), "")</f>
        <v>5422842884</v>
      </c>
      <c r="P76" s="14">
        <f t="array" ref="P76">IFERROR(INDEX(balance_sheet_quarter[#All], SMALL(IF(LOWER(balance_sheet_quarter[Company Name]) = LOWER(balance_sheet_quarter_filter!$B$2), ROW(balance_sheet_quarter[Company Name]) - ROW(INDEX(balance_sheet_quarter[Company Name], 1, 1)) + 1), ROW(74:74)), COLUMN(O:O)), "")</f>
        <v>17888368218</v>
      </c>
    </row>
    <row r="77" spans="3:16" x14ac:dyDescent="0.35">
      <c r="C77" t="str">
        <f t="array" ref="C77">IFERROR(INDEX(balance_sheet_quarter[#All], SMALL(IF(LOWER(balance_sheet_quarter[Company Name]) = LOWER(balance_sheet_quarter_filter!$B$2), ROW(balance_sheet_quarter[Company Name]) - ROW(INDEX(balance_sheet_quarter[Company Name], 1, 1)) + 1), ROW(75:75)), COLUMN(B:B)), "")</f>
        <v>6. Phải trả nội bộ ngắn hạn</v>
      </c>
      <c r="D77" s="14">
        <f t="array" ref="D77">IFERROR(INDEX(balance_sheet_quarter[#All], SMALL(IF(LOWER(balance_sheet_quarter[Company Name]) = LOWER(balance_sheet_quarter_filter!$B$2), ROW(balance_sheet_quarter[Company Name]) - ROW(INDEX(balance_sheet_quarter[Company Name], 1, 1)) + 1), ROW(75:75)), COLUMN(C:C)), "")</f>
        <v>0</v>
      </c>
      <c r="E77" s="14">
        <f t="array" ref="E77">IFERROR(INDEX(balance_sheet_quarter[#All], SMALL(IF(LOWER(balance_sheet_quarter[Company Name]) = LOWER(balance_sheet_quarter_filter!$B$2), ROW(balance_sheet_quarter[Company Name]) - ROW(INDEX(balance_sheet_quarter[Company Name], 1, 1)) + 1), ROW(75:75)), COLUMN(D:D)), "")</f>
        <v>0</v>
      </c>
      <c r="F77" s="14">
        <f t="array" ref="F77">IFERROR(INDEX(balance_sheet_quarter[#All], SMALL(IF(LOWER(balance_sheet_quarter[Company Name]) = LOWER(balance_sheet_quarter_filter!$B$2), ROW(balance_sheet_quarter[Company Name]) - ROW(INDEX(balance_sheet_quarter[Company Name], 1, 1)) + 1), ROW(75:75)), COLUMN(E:E)), "")</f>
        <v>0</v>
      </c>
      <c r="G77" s="14">
        <f t="array" ref="G77">IFERROR(INDEX(balance_sheet_quarter[#All], SMALL(IF(LOWER(balance_sheet_quarter[Company Name]) = LOWER(balance_sheet_quarter_filter!$B$2), ROW(balance_sheet_quarter[Company Name]) - ROW(INDEX(balance_sheet_quarter[Company Name], 1, 1)) + 1), ROW(75:75)), COLUMN(F:F)), "")</f>
        <v>0</v>
      </c>
      <c r="H77" s="14">
        <f t="array" ref="H77">IFERROR(INDEX(balance_sheet_quarter[#All], SMALL(IF(LOWER(balance_sheet_quarter[Company Name]) = LOWER(balance_sheet_quarter_filter!$B$2), ROW(balance_sheet_quarter[Company Name]) - ROW(INDEX(balance_sheet_quarter[Company Name], 1, 1)) + 1), ROW(75:75)), COLUMN(G:G)), "")</f>
        <v>0</v>
      </c>
      <c r="I77" s="14">
        <f t="array" ref="I77">IFERROR(INDEX(balance_sheet_quarter[#All], SMALL(IF(LOWER(balance_sheet_quarter[Company Name]) = LOWER(balance_sheet_quarter_filter!$B$2), ROW(balance_sheet_quarter[Company Name]) - ROW(INDEX(balance_sheet_quarter[Company Name], 1, 1)) + 1), ROW(75:75)), COLUMN(H:H)), "")</f>
        <v>0</v>
      </c>
      <c r="J77" s="14">
        <f t="array" ref="J77">IFERROR(INDEX(balance_sheet_quarter[#All], SMALL(IF(LOWER(balance_sheet_quarter[Company Name]) = LOWER(balance_sheet_quarter_filter!$B$2), ROW(balance_sheet_quarter[Company Name]) - ROW(INDEX(balance_sheet_quarter[Company Name], 1, 1)) + 1), ROW(75:75)), COLUMN(I:I)), "")</f>
        <v>0</v>
      </c>
      <c r="K77" s="14">
        <f t="array" ref="K77">IFERROR(INDEX(balance_sheet_quarter[#All], SMALL(IF(LOWER(balance_sheet_quarter[Company Name]) = LOWER(balance_sheet_quarter_filter!$B$2), ROW(balance_sheet_quarter[Company Name]) - ROW(INDEX(balance_sheet_quarter[Company Name], 1, 1)) + 1), ROW(75:75)), COLUMN(J:J)), "")</f>
        <v>0</v>
      </c>
      <c r="L77" s="14">
        <f t="array" ref="L77">IFERROR(INDEX(balance_sheet_quarter[#All], SMALL(IF(LOWER(balance_sheet_quarter[Company Name]) = LOWER(balance_sheet_quarter_filter!$B$2), ROW(balance_sheet_quarter[Company Name]) - ROW(INDEX(balance_sheet_quarter[Company Name], 1, 1)) + 1), ROW(75:75)), COLUMN(K:K)), "")</f>
        <v>0</v>
      </c>
      <c r="M77" s="14">
        <f t="array" ref="M77">IFERROR(INDEX(balance_sheet_quarter[#All], SMALL(IF(LOWER(balance_sheet_quarter[Company Name]) = LOWER(balance_sheet_quarter_filter!$B$2), ROW(balance_sheet_quarter[Company Name]) - ROW(INDEX(balance_sheet_quarter[Company Name], 1, 1)) + 1), ROW(75:75)), COLUMN(L:L)), "")</f>
        <v>0</v>
      </c>
      <c r="N77" s="14">
        <f t="array" ref="N77">IFERROR(INDEX(balance_sheet_quarter[#All], SMALL(IF(LOWER(balance_sheet_quarter[Company Name]) = LOWER(balance_sheet_quarter_filter!$B$2), ROW(balance_sheet_quarter[Company Name]) - ROW(INDEX(balance_sheet_quarter[Company Name], 1, 1)) + 1), ROW(75:75)), COLUMN(M:M)), "")</f>
        <v>0</v>
      </c>
      <c r="O77" s="14">
        <f t="array" ref="O77">IFERROR(INDEX(balance_sheet_quarter[#All], SMALL(IF(LOWER(balance_sheet_quarter[Company Name]) = LOWER(balance_sheet_quarter_filter!$B$2), ROW(balance_sheet_quarter[Company Name]) - ROW(INDEX(balance_sheet_quarter[Company Name], 1, 1)) + 1), ROW(75:75)), COLUMN(N:N)), "")</f>
        <v>0</v>
      </c>
      <c r="P77" s="14">
        <f t="array" ref="P77">IFERROR(INDEX(balance_sheet_quarter[#All], SMALL(IF(LOWER(balance_sheet_quarter[Company Name]) = LOWER(balance_sheet_quarter_filter!$B$2), ROW(balance_sheet_quarter[Company Name]) - ROW(INDEX(balance_sheet_quarter[Company Name], 1, 1)) + 1), ROW(75:75)), COLUMN(O:O)), "")</f>
        <v>0</v>
      </c>
    </row>
    <row r="78" spans="3:16" x14ac:dyDescent="0.35">
      <c r="C78" t="str">
        <f t="array" ref="C78">IFERROR(INDEX(balance_sheet_quarter[#All], SMALL(IF(LOWER(balance_sheet_quarter[Company Name]) = LOWER(balance_sheet_quarter_filter!$B$2), ROW(balance_sheet_quarter[Company Name]) - ROW(INDEX(balance_sheet_quarter[Company Name], 1, 1)) + 1), ROW(76:76)), COLUMN(B:B)), "")</f>
        <v>7. Phải trả theo tiến độ kế hoạch hợp đồng xây dựng</v>
      </c>
      <c r="D78" s="14">
        <f t="array" ref="D78">IFERROR(INDEX(balance_sheet_quarter[#All], SMALL(IF(LOWER(balance_sheet_quarter[Company Name]) = LOWER(balance_sheet_quarter_filter!$B$2), ROW(balance_sheet_quarter[Company Name]) - ROW(INDEX(balance_sheet_quarter[Company Name], 1, 1)) + 1), ROW(76:76)), COLUMN(C:C)), "")</f>
        <v>0</v>
      </c>
      <c r="E78" s="14">
        <f t="array" ref="E78">IFERROR(INDEX(balance_sheet_quarter[#All], SMALL(IF(LOWER(balance_sheet_quarter[Company Name]) = LOWER(balance_sheet_quarter_filter!$B$2), ROW(balance_sheet_quarter[Company Name]) - ROW(INDEX(balance_sheet_quarter[Company Name], 1, 1)) + 1), ROW(76:76)), COLUMN(D:D)), "")</f>
        <v>0</v>
      </c>
      <c r="F78" s="14">
        <f t="array" ref="F78">IFERROR(INDEX(balance_sheet_quarter[#All], SMALL(IF(LOWER(balance_sheet_quarter[Company Name]) = LOWER(balance_sheet_quarter_filter!$B$2), ROW(balance_sheet_quarter[Company Name]) - ROW(INDEX(balance_sheet_quarter[Company Name], 1, 1)) + 1), ROW(76:76)), COLUMN(E:E)), "")</f>
        <v>0</v>
      </c>
      <c r="G78" s="14">
        <f t="array" ref="G78">IFERROR(INDEX(balance_sheet_quarter[#All], SMALL(IF(LOWER(balance_sheet_quarter[Company Name]) = LOWER(balance_sheet_quarter_filter!$B$2), ROW(balance_sheet_quarter[Company Name]) - ROW(INDEX(balance_sheet_quarter[Company Name], 1, 1)) + 1), ROW(76:76)), COLUMN(F:F)), "")</f>
        <v>0</v>
      </c>
      <c r="H78" s="14">
        <f t="array" ref="H78">IFERROR(INDEX(balance_sheet_quarter[#All], SMALL(IF(LOWER(balance_sheet_quarter[Company Name]) = LOWER(balance_sheet_quarter_filter!$B$2), ROW(balance_sheet_quarter[Company Name]) - ROW(INDEX(balance_sheet_quarter[Company Name], 1, 1)) + 1), ROW(76:76)), COLUMN(G:G)), "")</f>
        <v>0</v>
      </c>
      <c r="I78" s="14">
        <f t="array" ref="I78">IFERROR(INDEX(balance_sheet_quarter[#All], SMALL(IF(LOWER(balance_sheet_quarter[Company Name]) = LOWER(balance_sheet_quarter_filter!$B$2), ROW(balance_sheet_quarter[Company Name]) - ROW(INDEX(balance_sheet_quarter[Company Name], 1, 1)) + 1), ROW(76:76)), COLUMN(H:H)), "")</f>
        <v>0</v>
      </c>
      <c r="J78" s="14">
        <f t="array" ref="J78">IFERROR(INDEX(balance_sheet_quarter[#All], SMALL(IF(LOWER(balance_sheet_quarter[Company Name]) = LOWER(balance_sheet_quarter_filter!$B$2), ROW(balance_sheet_quarter[Company Name]) - ROW(INDEX(balance_sheet_quarter[Company Name], 1, 1)) + 1), ROW(76:76)), COLUMN(I:I)), "")</f>
        <v>0</v>
      </c>
      <c r="K78" s="14">
        <f t="array" ref="K78">IFERROR(INDEX(balance_sheet_quarter[#All], SMALL(IF(LOWER(balance_sheet_quarter[Company Name]) = LOWER(balance_sheet_quarter_filter!$B$2), ROW(balance_sheet_quarter[Company Name]) - ROW(INDEX(balance_sheet_quarter[Company Name], 1, 1)) + 1), ROW(76:76)), COLUMN(J:J)), "")</f>
        <v>0</v>
      </c>
      <c r="L78" s="14">
        <f t="array" ref="L78">IFERROR(INDEX(balance_sheet_quarter[#All], SMALL(IF(LOWER(balance_sheet_quarter[Company Name]) = LOWER(balance_sheet_quarter_filter!$B$2), ROW(balance_sheet_quarter[Company Name]) - ROW(INDEX(balance_sheet_quarter[Company Name], 1, 1)) + 1), ROW(76:76)), COLUMN(K:K)), "")</f>
        <v>0</v>
      </c>
      <c r="M78" s="14">
        <f t="array" ref="M78">IFERROR(INDEX(balance_sheet_quarter[#All], SMALL(IF(LOWER(balance_sheet_quarter[Company Name]) = LOWER(balance_sheet_quarter_filter!$B$2), ROW(balance_sheet_quarter[Company Name]) - ROW(INDEX(balance_sheet_quarter[Company Name], 1, 1)) + 1), ROW(76:76)), COLUMN(L:L)), "")</f>
        <v>0</v>
      </c>
      <c r="N78" s="14">
        <f t="array" ref="N78">IFERROR(INDEX(balance_sheet_quarter[#All], SMALL(IF(LOWER(balance_sheet_quarter[Company Name]) = LOWER(balance_sheet_quarter_filter!$B$2), ROW(balance_sheet_quarter[Company Name]) - ROW(INDEX(balance_sheet_quarter[Company Name], 1, 1)) + 1), ROW(76:76)), COLUMN(M:M)), "")</f>
        <v>0</v>
      </c>
      <c r="O78" s="14">
        <f t="array" ref="O78">IFERROR(INDEX(balance_sheet_quarter[#All], SMALL(IF(LOWER(balance_sheet_quarter[Company Name]) = LOWER(balance_sheet_quarter_filter!$B$2), ROW(balance_sheet_quarter[Company Name]) - ROW(INDEX(balance_sheet_quarter[Company Name], 1, 1)) + 1), ROW(76:76)), COLUMN(N:N)), "")</f>
        <v>0</v>
      </c>
      <c r="P78" s="14">
        <f t="array" ref="P78">IFERROR(INDEX(balance_sheet_quarter[#All], SMALL(IF(LOWER(balance_sheet_quarter[Company Name]) = LOWER(balance_sheet_quarter_filter!$B$2), ROW(balance_sheet_quarter[Company Name]) - ROW(INDEX(balance_sheet_quarter[Company Name], 1, 1)) + 1), ROW(76:76)), COLUMN(O:O)), "")</f>
        <v>0</v>
      </c>
    </row>
    <row r="79" spans="3:16" x14ac:dyDescent="0.35">
      <c r="C79" t="str">
        <f t="array" ref="C79">IFERROR(INDEX(balance_sheet_quarter[#All], SMALL(IF(LOWER(balance_sheet_quarter[Company Name]) = LOWER(balance_sheet_quarter_filter!$B$2), ROW(balance_sheet_quarter[Company Name]) - ROW(INDEX(balance_sheet_quarter[Company Name], 1, 1)) + 1), ROW(77:77)), COLUMN(B:B)), "")</f>
        <v>8. Doanh thu chưa thực hiện ngắn hạn</v>
      </c>
      <c r="D79" s="14">
        <f t="array" ref="D79">IFERROR(INDEX(balance_sheet_quarter[#All], SMALL(IF(LOWER(balance_sheet_quarter[Company Name]) = LOWER(balance_sheet_quarter_filter!$B$2), ROW(balance_sheet_quarter[Company Name]) - ROW(INDEX(balance_sheet_quarter[Company Name], 1, 1)) + 1), ROW(77:77)), COLUMN(C:C)), "")</f>
        <v>0</v>
      </c>
      <c r="E79" s="14">
        <f t="array" ref="E79">IFERROR(INDEX(balance_sheet_quarter[#All], SMALL(IF(LOWER(balance_sheet_quarter[Company Name]) = LOWER(balance_sheet_quarter_filter!$B$2), ROW(balance_sheet_quarter[Company Name]) - ROW(INDEX(balance_sheet_quarter[Company Name], 1, 1)) + 1), ROW(77:77)), COLUMN(D:D)), "")</f>
        <v>0</v>
      </c>
      <c r="F79" s="14">
        <f t="array" ref="F79">IFERROR(INDEX(balance_sheet_quarter[#All], SMALL(IF(LOWER(balance_sheet_quarter[Company Name]) = LOWER(balance_sheet_quarter_filter!$B$2), ROW(balance_sheet_quarter[Company Name]) - ROW(INDEX(balance_sheet_quarter[Company Name], 1, 1)) + 1), ROW(77:77)), COLUMN(E:E)), "")</f>
        <v>0</v>
      </c>
      <c r="G79" s="14">
        <f t="array" ref="G79">IFERROR(INDEX(balance_sheet_quarter[#All], SMALL(IF(LOWER(balance_sheet_quarter[Company Name]) = LOWER(balance_sheet_quarter_filter!$B$2), ROW(balance_sheet_quarter[Company Name]) - ROW(INDEX(balance_sheet_quarter[Company Name], 1, 1)) + 1), ROW(77:77)), COLUMN(F:F)), "")</f>
        <v>0</v>
      </c>
      <c r="H79" s="14">
        <f t="array" ref="H79">IFERROR(INDEX(balance_sheet_quarter[#All], SMALL(IF(LOWER(balance_sheet_quarter[Company Name]) = LOWER(balance_sheet_quarter_filter!$B$2), ROW(balance_sheet_quarter[Company Name]) - ROW(INDEX(balance_sheet_quarter[Company Name], 1, 1)) + 1), ROW(77:77)), COLUMN(G:G)), "")</f>
        <v>0</v>
      </c>
      <c r="I79" s="14">
        <f t="array" ref="I79">IFERROR(INDEX(balance_sheet_quarter[#All], SMALL(IF(LOWER(balance_sheet_quarter[Company Name]) = LOWER(balance_sheet_quarter_filter!$B$2), ROW(balance_sheet_quarter[Company Name]) - ROW(INDEX(balance_sheet_quarter[Company Name], 1, 1)) + 1), ROW(77:77)), COLUMN(H:H)), "")</f>
        <v>0</v>
      </c>
      <c r="J79" s="14">
        <f t="array" ref="J79">IFERROR(INDEX(balance_sheet_quarter[#All], SMALL(IF(LOWER(balance_sheet_quarter[Company Name]) = LOWER(balance_sheet_quarter_filter!$B$2), ROW(balance_sheet_quarter[Company Name]) - ROW(INDEX(balance_sheet_quarter[Company Name], 1, 1)) + 1), ROW(77:77)), COLUMN(I:I)), "")</f>
        <v>0</v>
      </c>
      <c r="K79" s="14">
        <f t="array" ref="K79">IFERROR(INDEX(balance_sheet_quarter[#All], SMALL(IF(LOWER(balance_sheet_quarter[Company Name]) = LOWER(balance_sheet_quarter_filter!$B$2), ROW(balance_sheet_quarter[Company Name]) - ROW(INDEX(balance_sheet_quarter[Company Name], 1, 1)) + 1), ROW(77:77)), COLUMN(J:J)), "")</f>
        <v>0</v>
      </c>
      <c r="L79" s="14">
        <f t="array" ref="L79">IFERROR(INDEX(balance_sheet_quarter[#All], SMALL(IF(LOWER(balance_sheet_quarter[Company Name]) = LOWER(balance_sheet_quarter_filter!$B$2), ROW(balance_sheet_quarter[Company Name]) - ROW(INDEX(balance_sheet_quarter[Company Name], 1, 1)) + 1), ROW(77:77)), COLUMN(K:K)), "")</f>
        <v>0</v>
      </c>
      <c r="M79" s="14">
        <f t="array" ref="M79">IFERROR(INDEX(balance_sheet_quarter[#All], SMALL(IF(LOWER(balance_sheet_quarter[Company Name]) = LOWER(balance_sheet_quarter_filter!$B$2), ROW(balance_sheet_quarter[Company Name]) - ROW(INDEX(balance_sheet_quarter[Company Name], 1, 1)) + 1), ROW(77:77)), COLUMN(L:L)), "")</f>
        <v>0</v>
      </c>
      <c r="N79" s="14">
        <f t="array" ref="N79">IFERROR(INDEX(balance_sheet_quarter[#All], SMALL(IF(LOWER(balance_sheet_quarter[Company Name]) = LOWER(balance_sheet_quarter_filter!$B$2), ROW(balance_sheet_quarter[Company Name]) - ROW(INDEX(balance_sheet_quarter[Company Name], 1, 1)) + 1), ROW(77:77)), COLUMN(M:M)), "")</f>
        <v>0</v>
      </c>
      <c r="O79" s="14">
        <f t="array" ref="O79">IFERROR(INDEX(balance_sheet_quarter[#All], SMALL(IF(LOWER(balance_sheet_quarter[Company Name]) = LOWER(balance_sheet_quarter_filter!$B$2), ROW(balance_sheet_quarter[Company Name]) - ROW(INDEX(balance_sheet_quarter[Company Name], 1, 1)) + 1), ROW(77:77)), COLUMN(N:N)), "")</f>
        <v>0</v>
      </c>
      <c r="P79" s="14">
        <f t="array" ref="P79">IFERROR(INDEX(balance_sheet_quarter[#All], SMALL(IF(LOWER(balance_sheet_quarter[Company Name]) = LOWER(balance_sheet_quarter_filter!$B$2), ROW(balance_sheet_quarter[Company Name]) - ROW(INDEX(balance_sheet_quarter[Company Name], 1, 1)) + 1), ROW(77:77)), COLUMN(O:O)), "")</f>
        <v>0</v>
      </c>
    </row>
    <row r="80" spans="3:16" x14ac:dyDescent="0.35">
      <c r="C80" t="str">
        <f t="array" ref="C80">IFERROR(INDEX(balance_sheet_quarter[#All], SMALL(IF(LOWER(balance_sheet_quarter[Company Name]) = LOWER(balance_sheet_quarter_filter!$B$2), ROW(balance_sheet_quarter[Company Name]) - ROW(INDEX(balance_sheet_quarter[Company Name], 1, 1)) + 1), ROW(78:78)), COLUMN(B:B)), "")</f>
        <v>9. Phải trả ngắn hạn khác</v>
      </c>
      <c r="D80" s="14">
        <f t="array" ref="D80">IFERROR(INDEX(balance_sheet_quarter[#All], SMALL(IF(LOWER(balance_sheet_quarter[Company Name]) = LOWER(balance_sheet_quarter_filter!$B$2), ROW(balance_sheet_quarter[Company Name]) - ROW(INDEX(balance_sheet_quarter[Company Name], 1, 1)) + 1), ROW(78:78)), COLUMN(C:C)), "")</f>
        <v>17707461230</v>
      </c>
      <c r="E80" s="14">
        <f t="array" ref="E80">IFERROR(INDEX(balance_sheet_quarter[#All], SMALL(IF(LOWER(balance_sheet_quarter[Company Name]) = LOWER(balance_sheet_quarter_filter!$B$2), ROW(balance_sheet_quarter[Company Name]) - ROW(INDEX(balance_sheet_quarter[Company Name], 1, 1)) + 1), ROW(78:78)), COLUMN(D:D)), "")</f>
        <v>23795398577</v>
      </c>
      <c r="F80" s="14">
        <f t="array" ref="F80">IFERROR(INDEX(balance_sheet_quarter[#All], SMALL(IF(LOWER(balance_sheet_quarter[Company Name]) = LOWER(balance_sheet_quarter_filter!$B$2), ROW(balance_sheet_quarter[Company Name]) - ROW(INDEX(balance_sheet_quarter[Company Name], 1, 1)) + 1), ROW(78:78)), COLUMN(E:E)), "")</f>
        <v>28209338329</v>
      </c>
      <c r="G80" s="14">
        <f t="array" ref="G80">IFERROR(INDEX(balance_sheet_quarter[#All], SMALL(IF(LOWER(balance_sheet_quarter[Company Name]) = LOWER(balance_sheet_quarter_filter!$B$2), ROW(balance_sheet_quarter[Company Name]) - ROW(INDEX(balance_sheet_quarter[Company Name], 1, 1)) + 1), ROW(78:78)), COLUMN(F:F)), "")</f>
        <v>33080024559</v>
      </c>
      <c r="H80" s="14">
        <f t="array" ref="H80">IFERROR(INDEX(balance_sheet_quarter[#All], SMALL(IF(LOWER(balance_sheet_quarter[Company Name]) = LOWER(balance_sheet_quarter_filter!$B$2), ROW(balance_sheet_quarter[Company Name]) - ROW(INDEX(balance_sheet_quarter[Company Name], 1, 1)) + 1), ROW(78:78)), COLUMN(G:G)), "")</f>
        <v>36404333436</v>
      </c>
      <c r="I80" s="14">
        <f t="array" ref="I80">IFERROR(INDEX(balance_sheet_quarter[#All], SMALL(IF(LOWER(balance_sheet_quarter[Company Name]) = LOWER(balance_sheet_quarter_filter!$B$2), ROW(balance_sheet_quarter[Company Name]) - ROW(INDEX(balance_sheet_quarter[Company Name], 1, 1)) + 1), ROW(78:78)), COLUMN(H:H)), "")</f>
        <v>19245863805</v>
      </c>
      <c r="J80" s="14">
        <f t="array" ref="J80">IFERROR(INDEX(balance_sheet_quarter[#All], SMALL(IF(LOWER(balance_sheet_quarter[Company Name]) = LOWER(balance_sheet_quarter_filter!$B$2), ROW(balance_sheet_quarter[Company Name]) - ROW(INDEX(balance_sheet_quarter[Company Name], 1, 1)) + 1), ROW(78:78)), COLUMN(I:I)), "")</f>
        <v>27768084186</v>
      </c>
      <c r="K80" s="14">
        <f t="array" ref="K80">IFERROR(INDEX(balance_sheet_quarter[#All], SMALL(IF(LOWER(balance_sheet_quarter[Company Name]) = LOWER(balance_sheet_quarter_filter!$B$2), ROW(balance_sheet_quarter[Company Name]) - ROW(INDEX(balance_sheet_quarter[Company Name], 1, 1)) + 1), ROW(78:78)), COLUMN(J:J)), "")</f>
        <v>41802289585</v>
      </c>
      <c r="L80" s="14">
        <f t="array" ref="L80">IFERROR(INDEX(balance_sheet_quarter[#All], SMALL(IF(LOWER(balance_sheet_quarter[Company Name]) = LOWER(balance_sheet_quarter_filter!$B$2), ROW(balance_sheet_quarter[Company Name]) - ROW(INDEX(balance_sheet_quarter[Company Name], 1, 1)) + 1), ROW(78:78)), COLUMN(K:K)), "")</f>
        <v>31951922489</v>
      </c>
      <c r="M80" s="14">
        <f t="array" ref="M80">IFERROR(INDEX(balance_sheet_quarter[#All], SMALL(IF(LOWER(balance_sheet_quarter[Company Name]) = LOWER(balance_sheet_quarter_filter!$B$2), ROW(balance_sheet_quarter[Company Name]) - ROW(INDEX(balance_sheet_quarter[Company Name], 1, 1)) + 1), ROW(78:78)), COLUMN(L:L)), "")</f>
        <v>41489903675</v>
      </c>
      <c r="N80" s="14">
        <f t="array" ref="N80">IFERROR(INDEX(balance_sheet_quarter[#All], SMALL(IF(LOWER(balance_sheet_quarter[Company Name]) = LOWER(balance_sheet_quarter_filter!$B$2), ROW(balance_sheet_quarter[Company Name]) - ROW(INDEX(balance_sheet_quarter[Company Name], 1, 1)) + 1), ROW(78:78)), COLUMN(M:M)), "")</f>
        <v>47493543113</v>
      </c>
      <c r="O80" s="14">
        <f t="array" ref="O80">IFERROR(INDEX(balance_sheet_quarter[#All], SMALL(IF(LOWER(balance_sheet_quarter[Company Name]) = LOWER(balance_sheet_quarter_filter!$B$2), ROW(balance_sheet_quarter[Company Name]) - ROW(INDEX(balance_sheet_quarter[Company Name], 1, 1)) + 1), ROW(78:78)), COLUMN(N:N)), "")</f>
        <v>53066284652</v>
      </c>
      <c r="P80" s="14">
        <f t="array" ref="P80">IFERROR(INDEX(balance_sheet_quarter[#All], SMALL(IF(LOWER(balance_sheet_quarter[Company Name]) = LOWER(balance_sheet_quarter_filter!$B$2), ROW(balance_sheet_quarter[Company Name]) - ROW(INDEX(balance_sheet_quarter[Company Name], 1, 1)) + 1), ROW(78:78)), COLUMN(O:O)), "")</f>
        <v>47889173655</v>
      </c>
    </row>
    <row r="81" spans="3:16" x14ac:dyDescent="0.35">
      <c r="C81" t="str">
        <f t="array" ref="C81">IFERROR(INDEX(balance_sheet_quarter[#All], SMALL(IF(LOWER(balance_sheet_quarter[Company Name]) = LOWER(balance_sheet_quarter_filter!$B$2), ROW(balance_sheet_quarter[Company Name]) - ROW(INDEX(balance_sheet_quarter[Company Name], 1, 1)) + 1), ROW(79:79)), COLUMN(B:B)), "")</f>
        <v>10. Vay và nợ thuê tài chính ngắn hạn</v>
      </c>
      <c r="D81" s="14">
        <f t="array" ref="D81">IFERROR(INDEX(balance_sheet_quarter[#All], SMALL(IF(LOWER(balance_sheet_quarter[Company Name]) = LOWER(balance_sheet_quarter_filter!$B$2), ROW(balance_sheet_quarter[Company Name]) - ROW(INDEX(balance_sheet_quarter[Company Name], 1, 1)) + 1), ROW(79:79)), COLUMN(C:C)), "")</f>
        <v>246693454716</v>
      </c>
      <c r="E81" s="14">
        <f t="array" ref="E81">IFERROR(INDEX(balance_sheet_quarter[#All], SMALL(IF(LOWER(balance_sheet_quarter[Company Name]) = LOWER(balance_sheet_quarter_filter!$B$2), ROW(balance_sheet_quarter[Company Name]) - ROW(INDEX(balance_sheet_quarter[Company Name], 1, 1)) + 1), ROW(79:79)), COLUMN(D:D)), "")</f>
        <v>273562000000</v>
      </c>
      <c r="F81" s="14">
        <f t="array" ref="F81">IFERROR(INDEX(balance_sheet_quarter[#All], SMALL(IF(LOWER(balance_sheet_quarter[Company Name]) = LOWER(balance_sheet_quarter_filter!$B$2), ROW(balance_sheet_quarter[Company Name]) - ROW(INDEX(balance_sheet_quarter[Company Name], 1, 1)) + 1), ROW(79:79)), COLUMN(E:E)), "")</f>
        <v>218297000000</v>
      </c>
      <c r="G81" s="14">
        <f t="array" ref="G81">IFERROR(INDEX(balance_sheet_quarter[#All], SMALL(IF(LOWER(balance_sheet_quarter[Company Name]) = LOWER(balance_sheet_quarter_filter!$B$2), ROW(balance_sheet_quarter[Company Name]) - ROW(INDEX(balance_sheet_quarter[Company Name], 1, 1)) + 1), ROW(79:79)), COLUMN(F:F)), "")</f>
        <v>357423153951</v>
      </c>
      <c r="H81" s="14">
        <f t="array" ref="H81">IFERROR(INDEX(balance_sheet_quarter[#All], SMALL(IF(LOWER(balance_sheet_quarter[Company Name]) = LOWER(balance_sheet_quarter_filter!$B$2), ROW(balance_sheet_quarter[Company Name]) - ROW(INDEX(balance_sheet_quarter[Company Name], 1, 1)) + 1), ROW(79:79)), COLUMN(G:G)), "")</f>
        <v>377090756593</v>
      </c>
      <c r="I81" s="14">
        <f t="array" ref="I81">IFERROR(INDEX(balance_sheet_quarter[#All], SMALL(IF(LOWER(balance_sheet_quarter[Company Name]) = LOWER(balance_sheet_quarter_filter!$B$2), ROW(balance_sheet_quarter[Company Name]) - ROW(INDEX(balance_sheet_quarter[Company Name], 1, 1)) + 1), ROW(79:79)), COLUMN(H:H)), "")</f>
        <v>346189634000</v>
      </c>
      <c r="J81" s="14">
        <f t="array" ref="J81">IFERROR(INDEX(balance_sheet_quarter[#All], SMALL(IF(LOWER(balance_sheet_quarter[Company Name]) = LOWER(balance_sheet_quarter_filter!$B$2), ROW(balance_sheet_quarter[Company Name]) - ROW(INDEX(balance_sheet_quarter[Company Name], 1, 1)) + 1), ROW(79:79)), COLUMN(I:I)), "")</f>
        <v>358692524443</v>
      </c>
      <c r="K81" s="14">
        <f t="array" ref="K81">IFERROR(INDEX(balance_sheet_quarter[#All], SMALL(IF(LOWER(balance_sheet_quarter[Company Name]) = LOWER(balance_sheet_quarter_filter!$B$2), ROW(balance_sheet_quarter[Company Name]) - ROW(INDEX(balance_sheet_quarter[Company Name], 1, 1)) + 1), ROW(79:79)), COLUMN(J:J)), "")</f>
        <v>346879245068</v>
      </c>
      <c r="L81" s="14">
        <f t="array" ref="L81">IFERROR(INDEX(balance_sheet_quarter[#All], SMALL(IF(LOWER(balance_sheet_quarter[Company Name]) = LOWER(balance_sheet_quarter_filter!$B$2), ROW(balance_sheet_quarter[Company Name]) - ROW(INDEX(balance_sheet_quarter[Company Name], 1, 1)) + 1), ROW(79:79)), COLUMN(K:K)), "")</f>
        <v>320528751729</v>
      </c>
      <c r="M81" s="14">
        <f t="array" ref="M81">IFERROR(INDEX(balance_sheet_quarter[#All], SMALL(IF(LOWER(balance_sheet_quarter[Company Name]) = LOWER(balance_sheet_quarter_filter!$B$2), ROW(balance_sheet_quarter[Company Name]) - ROW(INDEX(balance_sheet_quarter[Company Name], 1, 1)) + 1), ROW(79:79)), COLUMN(L:L)), "")</f>
        <v>292905477598</v>
      </c>
      <c r="N81" s="14">
        <f t="array" ref="N81">IFERROR(INDEX(balance_sheet_quarter[#All], SMALL(IF(LOWER(balance_sheet_quarter[Company Name]) = LOWER(balance_sheet_quarter_filter!$B$2), ROW(balance_sheet_quarter[Company Name]) - ROW(INDEX(balance_sheet_quarter[Company Name], 1, 1)) + 1), ROW(79:79)), COLUMN(M:M)), "")</f>
        <v>312932194724</v>
      </c>
      <c r="O81" s="14">
        <f t="array" ref="O81">IFERROR(INDEX(balance_sheet_quarter[#All], SMALL(IF(LOWER(balance_sheet_quarter[Company Name]) = LOWER(balance_sheet_quarter_filter!$B$2), ROW(balance_sheet_quarter[Company Name]) - ROW(INDEX(balance_sheet_quarter[Company Name], 1, 1)) + 1), ROW(79:79)), COLUMN(N:N)), "")</f>
        <v>288277290431</v>
      </c>
      <c r="P81" s="14">
        <f t="array" ref="P81">IFERROR(INDEX(balance_sheet_quarter[#All], SMALL(IF(LOWER(balance_sheet_quarter[Company Name]) = LOWER(balance_sheet_quarter_filter!$B$2), ROW(balance_sheet_quarter[Company Name]) - ROW(INDEX(balance_sheet_quarter[Company Name], 1, 1)) + 1), ROW(79:79)), COLUMN(O:O)), "")</f>
        <v>301597037538</v>
      </c>
    </row>
    <row r="82" spans="3:16" x14ac:dyDescent="0.35">
      <c r="C82" t="str">
        <f t="array" ref="C82:C83">IFERROR(INDEX(balance_sheet_quarter[#All], SMALL(IF(LOWER(balance_sheet_quarter[Company Name]) = LOWER(balance_sheet_quarter_filter!$B$2), ROW(balance_sheet_quarter[Company Name]) - ROW(INDEX(balance_sheet_quarter[Company Name], 1, 1)) + 1), ROW(80:80)), COLUMN(B:B)), "")</f>
        <v>11. Dự phòng phải trả ngắn hạn</v>
      </c>
      <c r="D82" s="14">
        <f t="array" ref="D82">IFERROR(INDEX(balance_sheet_quarter[#All], SMALL(IF(LOWER(balance_sheet_quarter[Company Name]) = LOWER(balance_sheet_quarter_filter!$B$2), ROW(balance_sheet_quarter[Company Name]) - ROW(INDEX(balance_sheet_quarter[Company Name], 1, 1)) + 1), ROW(80:80)), COLUMN(C:C)), "")</f>
        <v>0</v>
      </c>
      <c r="E82" s="14">
        <f t="array" ref="E82">IFERROR(INDEX(balance_sheet_quarter[#All], SMALL(IF(LOWER(balance_sheet_quarter[Company Name]) = LOWER(balance_sheet_quarter_filter!$B$2), ROW(balance_sheet_quarter[Company Name]) - ROW(INDEX(balance_sheet_quarter[Company Name], 1, 1)) + 1), ROW(80:80)), COLUMN(D:D)), "")</f>
        <v>0</v>
      </c>
      <c r="F82" s="14">
        <f t="array" ref="F82">IFERROR(INDEX(balance_sheet_quarter[#All], SMALL(IF(LOWER(balance_sheet_quarter[Company Name]) = LOWER(balance_sheet_quarter_filter!$B$2), ROW(balance_sheet_quarter[Company Name]) - ROW(INDEX(balance_sheet_quarter[Company Name], 1, 1)) + 1), ROW(80:80)), COLUMN(E:E)), "")</f>
        <v>0</v>
      </c>
      <c r="G82" s="14">
        <f t="array" ref="G82">IFERROR(INDEX(balance_sheet_quarter[#All], SMALL(IF(LOWER(balance_sheet_quarter[Company Name]) = LOWER(balance_sheet_quarter_filter!$B$2), ROW(balance_sheet_quarter[Company Name]) - ROW(INDEX(balance_sheet_quarter[Company Name], 1, 1)) + 1), ROW(80:80)), COLUMN(F:F)), "")</f>
        <v>0</v>
      </c>
      <c r="H82" s="14">
        <f t="array" ref="H82">IFERROR(INDEX(balance_sheet_quarter[#All], SMALL(IF(LOWER(balance_sheet_quarter[Company Name]) = LOWER(balance_sheet_quarter_filter!$B$2), ROW(balance_sheet_quarter[Company Name]) - ROW(INDEX(balance_sheet_quarter[Company Name], 1, 1)) + 1), ROW(80:80)), COLUMN(G:G)), "")</f>
        <v>0</v>
      </c>
      <c r="I82" s="14">
        <f t="array" ref="I82">IFERROR(INDEX(balance_sheet_quarter[#All], SMALL(IF(LOWER(balance_sheet_quarter[Company Name]) = LOWER(balance_sheet_quarter_filter!$B$2), ROW(balance_sheet_quarter[Company Name]) - ROW(INDEX(balance_sheet_quarter[Company Name], 1, 1)) + 1), ROW(80:80)), COLUMN(H:H)), "")</f>
        <v>0</v>
      </c>
      <c r="J82" s="14">
        <f t="array" ref="J82">IFERROR(INDEX(balance_sheet_quarter[#All], SMALL(IF(LOWER(balance_sheet_quarter[Company Name]) = LOWER(balance_sheet_quarter_filter!$B$2), ROW(balance_sheet_quarter[Company Name]) - ROW(INDEX(balance_sheet_quarter[Company Name], 1, 1)) + 1), ROW(80:80)), COLUMN(I:I)), "")</f>
        <v>0</v>
      </c>
      <c r="K82" s="14">
        <f t="array" ref="K82">IFERROR(INDEX(balance_sheet_quarter[#All], SMALL(IF(LOWER(balance_sheet_quarter[Company Name]) = LOWER(balance_sheet_quarter_filter!$B$2), ROW(balance_sheet_quarter[Company Name]) - ROW(INDEX(balance_sheet_quarter[Company Name], 1, 1)) + 1), ROW(80:80)), COLUMN(J:J)), "")</f>
        <v>0</v>
      </c>
      <c r="L82" s="14">
        <f t="array" ref="L82">IFERROR(INDEX(balance_sheet_quarter[#All], SMALL(IF(LOWER(balance_sheet_quarter[Company Name]) = LOWER(balance_sheet_quarter_filter!$B$2), ROW(balance_sheet_quarter[Company Name]) - ROW(INDEX(balance_sheet_quarter[Company Name], 1, 1)) + 1), ROW(80:80)), COLUMN(K:K)), "")</f>
        <v>0</v>
      </c>
      <c r="M82" s="14">
        <f t="array" ref="M82">IFERROR(INDEX(balance_sheet_quarter[#All], SMALL(IF(LOWER(balance_sheet_quarter[Company Name]) = LOWER(balance_sheet_quarter_filter!$B$2), ROW(balance_sheet_quarter[Company Name]) - ROW(INDEX(balance_sheet_quarter[Company Name], 1, 1)) + 1), ROW(80:80)), COLUMN(L:L)), "")</f>
        <v>0</v>
      </c>
      <c r="N82" s="14">
        <f t="array" ref="N82">IFERROR(INDEX(balance_sheet_quarter[#All], SMALL(IF(LOWER(balance_sheet_quarter[Company Name]) = LOWER(balance_sheet_quarter_filter!$B$2), ROW(balance_sheet_quarter[Company Name]) - ROW(INDEX(balance_sheet_quarter[Company Name], 1, 1)) + 1), ROW(80:80)), COLUMN(M:M)), "")</f>
        <v>0</v>
      </c>
      <c r="O82" s="14">
        <f t="array" ref="O82">IFERROR(INDEX(balance_sheet_quarter[#All], SMALL(IF(LOWER(balance_sheet_quarter[Company Name]) = LOWER(balance_sheet_quarter_filter!$B$2), ROW(balance_sheet_quarter[Company Name]) - ROW(INDEX(balance_sheet_quarter[Company Name], 1, 1)) + 1), ROW(80:80)), COLUMN(N:N)), "")</f>
        <v>0</v>
      </c>
      <c r="P82" s="14">
        <f t="array" ref="P82">IFERROR(INDEX(balance_sheet_quarter[#All], SMALL(IF(LOWER(balance_sheet_quarter[Company Name]) = LOWER(balance_sheet_quarter_filter!$B$2), ROW(balance_sheet_quarter[Company Name]) - ROW(INDEX(balance_sheet_quarter[Company Name], 1, 1)) + 1), ROW(80:80)), COLUMN(O:O)), "")</f>
        <v>0</v>
      </c>
    </row>
    <row r="83" spans="3:16" x14ac:dyDescent="0.35">
      <c r="C83" t="str">
        <v>11. Dự phòng phải trả ngắn hạn</v>
      </c>
      <c r="D83" s="14">
        <f t="array" ref="D83">IFERROR(INDEX(balance_sheet_quarter[#All], SMALL(IF(LOWER(balance_sheet_quarter[Company Name]) = LOWER(balance_sheet_quarter_filter!$B$2), ROW(balance_sheet_quarter[Company Name]) - ROW(INDEX(balance_sheet_quarter[Company Name], 1, 1)) + 1), ROW(81:81)), COLUMN(C:C)), "")</f>
        <v>0</v>
      </c>
      <c r="E83" s="14">
        <f t="array" ref="E83">IFERROR(INDEX(balance_sheet_quarter[#All], SMALL(IF(LOWER(balance_sheet_quarter[Company Name]) = LOWER(balance_sheet_quarter_filter!$B$2), ROW(balance_sheet_quarter[Company Name]) - ROW(INDEX(balance_sheet_quarter[Company Name], 1, 1)) + 1), ROW(81:81)), COLUMN(D:D)), "")</f>
        <v>0</v>
      </c>
      <c r="F83" s="14">
        <f t="array" ref="F83">IFERROR(INDEX(balance_sheet_quarter[#All], SMALL(IF(LOWER(balance_sheet_quarter[Company Name]) = LOWER(balance_sheet_quarter_filter!$B$2), ROW(balance_sheet_quarter[Company Name]) - ROW(INDEX(balance_sheet_quarter[Company Name], 1, 1)) + 1), ROW(81:81)), COLUMN(E:E)), "")</f>
        <v>0</v>
      </c>
      <c r="G83" s="14">
        <f t="array" ref="G83">IFERROR(INDEX(balance_sheet_quarter[#All], SMALL(IF(LOWER(balance_sheet_quarter[Company Name]) = LOWER(balance_sheet_quarter_filter!$B$2), ROW(balance_sheet_quarter[Company Name]) - ROW(INDEX(balance_sheet_quarter[Company Name], 1, 1)) + 1), ROW(81:81)), COLUMN(F:F)), "")</f>
        <v>7337077812</v>
      </c>
      <c r="H83" s="14">
        <f t="array" ref="H83">IFERROR(INDEX(balance_sheet_quarter[#All], SMALL(IF(LOWER(balance_sheet_quarter[Company Name]) = LOWER(balance_sheet_quarter_filter!$B$2), ROW(balance_sheet_quarter[Company Name]) - ROW(INDEX(balance_sheet_quarter[Company Name], 1, 1)) + 1), ROW(81:81)), COLUMN(G:G)), "")</f>
        <v>7337077812</v>
      </c>
      <c r="I83" s="14">
        <f t="array" ref="I83">IFERROR(INDEX(balance_sheet_quarter[#All], SMALL(IF(LOWER(balance_sheet_quarter[Company Name]) = LOWER(balance_sheet_quarter_filter!$B$2), ROW(balance_sheet_quarter[Company Name]) - ROW(INDEX(balance_sheet_quarter[Company Name], 1, 1)) + 1), ROW(81:81)), COLUMN(H:H)), "")</f>
        <v>7337077812</v>
      </c>
      <c r="J83" s="14">
        <f t="array" ref="J83">IFERROR(INDEX(balance_sheet_quarter[#All], SMALL(IF(LOWER(balance_sheet_quarter[Company Name]) = LOWER(balance_sheet_quarter_filter!$B$2), ROW(balance_sheet_quarter[Company Name]) - ROW(INDEX(balance_sheet_quarter[Company Name], 1, 1)) + 1), ROW(81:81)), COLUMN(I:I)), "")</f>
        <v>5341785612</v>
      </c>
      <c r="K83" s="14">
        <f t="array" ref="K83">IFERROR(INDEX(balance_sheet_quarter[#All], SMALL(IF(LOWER(balance_sheet_quarter[Company Name]) = LOWER(balance_sheet_quarter_filter!$B$2), ROW(balance_sheet_quarter[Company Name]) - ROW(INDEX(balance_sheet_quarter[Company Name], 1, 1)) + 1), ROW(81:81)), COLUMN(J:J)), "")</f>
        <v>13218431330</v>
      </c>
      <c r="L83" s="14">
        <f t="array" ref="L83">IFERROR(INDEX(balance_sheet_quarter[#All], SMALL(IF(LOWER(balance_sheet_quarter[Company Name]) = LOWER(balance_sheet_quarter_filter!$B$2), ROW(balance_sheet_quarter[Company Name]) - ROW(INDEX(balance_sheet_quarter[Company Name], 1, 1)) + 1), ROW(81:81)), COLUMN(K:K)), "")</f>
        <v>13218431330</v>
      </c>
      <c r="M83" s="14">
        <f t="array" ref="M83">IFERROR(INDEX(balance_sheet_quarter[#All], SMALL(IF(LOWER(balance_sheet_quarter[Company Name]) = LOWER(balance_sheet_quarter_filter!$B$2), ROW(balance_sheet_quarter[Company Name]) - ROW(INDEX(balance_sheet_quarter[Company Name], 1, 1)) + 1), ROW(81:81)), COLUMN(L:L)), "")</f>
        <v>13218431330</v>
      </c>
      <c r="N83" s="14">
        <f t="array" ref="N83">IFERROR(INDEX(balance_sheet_quarter[#All], SMALL(IF(LOWER(balance_sheet_quarter[Company Name]) = LOWER(balance_sheet_quarter_filter!$B$2), ROW(balance_sheet_quarter[Company Name]) - ROW(INDEX(balance_sheet_quarter[Company Name], 1, 1)) + 1), ROW(81:81)), COLUMN(M:M)), "")</f>
        <v>13218431330</v>
      </c>
      <c r="O83" s="14">
        <f t="array" ref="O83">IFERROR(INDEX(balance_sheet_quarter[#All], SMALL(IF(LOWER(balance_sheet_quarter[Company Name]) = LOWER(balance_sheet_quarter_filter!$B$2), ROW(balance_sheet_quarter[Company Name]) - ROW(INDEX(balance_sheet_quarter[Company Name], 1, 1)) + 1), ROW(81:81)), COLUMN(N:N)), "")</f>
        <v>24016736352</v>
      </c>
      <c r="P83" s="14">
        <f t="array" ref="P83">IFERROR(INDEX(balance_sheet_quarter[#All], SMALL(IF(LOWER(balance_sheet_quarter[Company Name]) = LOWER(balance_sheet_quarter_filter!$B$2), ROW(balance_sheet_quarter[Company Name]) - ROW(INDEX(balance_sheet_quarter[Company Name], 1, 1)) + 1), ROW(81:81)), COLUMN(O:O)), "")</f>
        <v>24016736352</v>
      </c>
    </row>
    <row r="84" spans="3:16" x14ac:dyDescent="0.35">
      <c r="C84" t="str">
        <f t="array" ref="C84">IFERROR(INDEX(balance_sheet_quarter[#All], SMALL(IF(LOWER(balance_sheet_quarter[Company Name]) = LOWER(balance_sheet_quarter_filter!$B$2), ROW(balance_sheet_quarter[Company Name]) - ROW(INDEX(balance_sheet_quarter[Company Name], 1, 1)) + 1), ROW(82:82)), COLUMN(B:B)), "")</f>
        <v>13. Quỹ bình ổn giá</v>
      </c>
      <c r="D84" s="14">
        <f t="array" ref="D84">IFERROR(INDEX(balance_sheet_quarter[#All], SMALL(IF(LOWER(balance_sheet_quarter[Company Name]) = LOWER(balance_sheet_quarter_filter!$B$2), ROW(balance_sheet_quarter[Company Name]) - ROW(INDEX(balance_sheet_quarter[Company Name], 1, 1)) + 1), ROW(82:82)), COLUMN(C:C)), "")</f>
        <v>0</v>
      </c>
      <c r="E84" s="14">
        <f t="array" ref="E84">IFERROR(INDEX(balance_sheet_quarter[#All], SMALL(IF(LOWER(balance_sheet_quarter[Company Name]) = LOWER(balance_sheet_quarter_filter!$B$2), ROW(balance_sheet_quarter[Company Name]) - ROW(INDEX(balance_sheet_quarter[Company Name], 1, 1)) + 1), ROW(82:82)), COLUMN(D:D)), "")</f>
        <v>0</v>
      </c>
      <c r="F84" s="14">
        <f t="array" ref="F84">IFERROR(INDEX(balance_sheet_quarter[#All], SMALL(IF(LOWER(balance_sheet_quarter[Company Name]) = LOWER(balance_sheet_quarter_filter!$B$2), ROW(balance_sheet_quarter[Company Name]) - ROW(INDEX(balance_sheet_quarter[Company Name], 1, 1)) + 1), ROW(82:82)), COLUMN(E:E)), "")</f>
        <v>0</v>
      </c>
      <c r="G84" s="14">
        <f t="array" ref="G84">IFERROR(INDEX(balance_sheet_quarter[#All], SMALL(IF(LOWER(balance_sheet_quarter[Company Name]) = LOWER(balance_sheet_quarter_filter!$B$2), ROW(balance_sheet_quarter[Company Name]) - ROW(INDEX(balance_sheet_quarter[Company Name], 1, 1)) + 1), ROW(82:82)), COLUMN(F:F)), "")</f>
        <v>0</v>
      </c>
      <c r="H84" s="14">
        <f t="array" ref="H84">IFERROR(INDEX(balance_sheet_quarter[#All], SMALL(IF(LOWER(balance_sheet_quarter[Company Name]) = LOWER(balance_sheet_quarter_filter!$B$2), ROW(balance_sheet_quarter[Company Name]) - ROW(INDEX(balance_sheet_quarter[Company Name], 1, 1)) + 1), ROW(82:82)), COLUMN(G:G)), "")</f>
        <v>0</v>
      </c>
      <c r="I84" s="14">
        <f t="array" ref="I84">IFERROR(INDEX(balance_sheet_quarter[#All], SMALL(IF(LOWER(balance_sheet_quarter[Company Name]) = LOWER(balance_sheet_quarter_filter!$B$2), ROW(balance_sheet_quarter[Company Name]) - ROW(INDEX(balance_sheet_quarter[Company Name], 1, 1)) + 1), ROW(82:82)), COLUMN(H:H)), "")</f>
        <v>0</v>
      </c>
      <c r="J84" s="14">
        <f t="array" ref="J84">IFERROR(INDEX(balance_sheet_quarter[#All], SMALL(IF(LOWER(balance_sheet_quarter[Company Name]) = LOWER(balance_sheet_quarter_filter!$B$2), ROW(balance_sheet_quarter[Company Name]) - ROW(INDEX(balance_sheet_quarter[Company Name], 1, 1)) + 1), ROW(82:82)), COLUMN(I:I)), "")</f>
        <v>0</v>
      </c>
      <c r="K84" s="14">
        <f t="array" ref="K84">IFERROR(INDEX(balance_sheet_quarter[#All], SMALL(IF(LOWER(balance_sheet_quarter[Company Name]) = LOWER(balance_sheet_quarter_filter!$B$2), ROW(balance_sheet_quarter[Company Name]) - ROW(INDEX(balance_sheet_quarter[Company Name], 1, 1)) + 1), ROW(82:82)), COLUMN(J:J)), "")</f>
        <v>0</v>
      </c>
      <c r="L84" s="14">
        <f t="array" ref="L84">IFERROR(INDEX(balance_sheet_quarter[#All], SMALL(IF(LOWER(balance_sheet_quarter[Company Name]) = LOWER(balance_sheet_quarter_filter!$B$2), ROW(balance_sheet_quarter[Company Name]) - ROW(INDEX(balance_sheet_quarter[Company Name], 1, 1)) + 1), ROW(82:82)), COLUMN(K:K)), "")</f>
        <v>0</v>
      </c>
      <c r="M84" s="14">
        <f t="array" ref="M84">IFERROR(INDEX(balance_sheet_quarter[#All], SMALL(IF(LOWER(balance_sheet_quarter[Company Name]) = LOWER(balance_sheet_quarter_filter!$B$2), ROW(balance_sheet_quarter[Company Name]) - ROW(INDEX(balance_sheet_quarter[Company Name], 1, 1)) + 1), ROW(82:82)), COLUMN(L:L)), "")</f>
        <v>0</v>
      </c>
      <c r="N84" s="14">
        <f t="array" ref="N84">IFERROR(INDEX(balance_sheet_quarter[#All], SMALL(IF(LOWER(balance_sheet_quarter[Company Name]) = LOWER(balance_sheet_quarter_filter!$B$2), ROW(balance_sheet_quarter[Company Name]) - ROW(INDEX(balance_sheet_quarter[Company Name], 1, 1)) + 1), ROW(82:82)), COLUMN(M:M)), "")</f>
        <v>0</v>
      </c>
      <c r="O84" s="14">
        <f t="array" ref="O84">IFERROR(INDEX(balance_sheet_quarter[#All], SMALL(IF(LOWER(balance_sheet_quarter[Company Name]) = LOWER(balance_sheet_quarter_filter!$B$2), ROW(balance_sheet_quarter[Company Name]) - ROW(INDEX(balance_sheet_quarter[Company Name], 1, 1)) + 1), ROW(82:82)), COLUMN(N:N)), "")</f>
        <v>0</v>
      </c>
      <c r="P84" s="14">
        <f t="array" ref="P84">IFERROR(INDEX(balance_sheet_quarter[#All], SMALL(IF(LOWER(balance_sheet_quarter[Company Name]) = LOWER(balance_sheet_quarter_filter!$B$2), ROW(balance_sheet_quarter[Company Name]) - ROW(INDEX(balance_sheet_quarter[Company Name], 1, 1)) + 1), ROW(82:82)), COLUMN(O:O)), "")</f>
        <v>0</v>
      </c>
    </row>
    <row r="85" spans="3:16" x14ac:dyDescent="0.35">
      <c r="C85" t="str">
        <f t="array" ref="C85">IFERROR(INDEX(balance_sheet_quarter[#All], SMALL(IF(LOWER(balance_sheet_quarter[Company Name]) = LOWER(balance_sheet_quarter_filter!$B$2), ROW(balance_sheet_quarter[Company Name]) - ROW(INDEX(balance_sheet_quarter[Company Name], 1, 1)) + 1), ROW(83:83)), COLUMN(B:B)), "")</f>
        <v>14. Giao dịch mua bán lại trái phiếu Chính phủ</v>
      </c>
      <c r="D85" s="14">
        <f t="array" ref="D85">IFERROR(INDEX(balance_sheet_quarter[#All], SMALL(IF(LOWER(balance_sheet_quarter[Company Name]) = LOWER(balance_sheet_quarter_filter!$B$2), ROW(balance_sheet_quarter[Company Name]) - ROW(INDEX(balance_sheet_quarter[Company Name], 1, 1)) + 1), ROW(83:83)), COLUMN(C:C)), "")</f>
        <v>0</v>
      </c>
      <c r="E85" s="14">
        <f t="array" ref="E85">IFERROR(INDEX(balance_sheet_quarter[#All], SMALL(IF(LOWER(balance_sheet_quarter[Company Name]) = LOWER(balance_sheet_quarter_filter!$B$2), ROW(balance_sheet_quarter[Company Name]) - ROW(INDEX(balance_sheet_quarter[Company Name], 1, 1)) + 1), ROW(83:83)), COLUMN(D:D)), "")</f>
        <v>0</v>
      </c>
      <c r="F85" s="14">
        <f t="array" ref="F85">IFERROR(INDEX(balance_sheet_quarter[#All], SMALL(IF(LOWER(balance_sheet_quarter[Company Name]) = LOWER(balance_sheet_quarter_filter!$B$2), ROW(balance_sheet_quarter[Company Name]) - ROW(INDEX(balance_sheet_quarter[Company Name], 1, 1)) + 1), ROW(83:83)), COLUMN(E:E)), "")</f>
        <v>0</v>
      </c>
      <c r="G85" s="14">
        <f t="array" ref="G85">IFERROR(INDEX(balance_sheet_quarter[#All], SMALL(IF(LOWER(balance_sheet_quarter[Company Name]) = LOWER(balance_sheet_quarter_filter!$B$2), ROW(balance_sheet_quarter[Company Name]) - ROW(INDEX(balance_sheet_quarter[Company Name], 1, 1)) + 1), ROW(83:83)), COLUMN(F:F)), "")</f>
        <v>0</v>
      </c>
      <c r="H85" s="14">
        <f t="array" ref="H85">IFERROR(INDEX(balance_sheet_quarter[#All], SMALL(IF(LOWER(balance_sheet_quarter[Company Name]) = LOWER(balance_sheet_quarter_filter!$B$2), ROW(balance_sheet_quarter[Company Name]) - ROW(INDEX(balance_sheet_quarter[Company Name], 1, 1)) + 1), ROW(83:83)), COLUMN(G:G)), "")</f>
        <v>0</v>
      </c>
      <c r="I85" s="14">
        <f t="array" ref="I85">IFERROR(INDEX(balance_sheet_quarter[#All], SMALL(IF(LOWER(balance_sheet_quarter[Company Name]) = LOWER(balance_sheet_quarter_filter!$B$2), ROW(balance_sheet_quarter[Company Name]) - ROW(INDEX(balance_sheet_quarter[Company Name], 1, 1)) + 1), ROW(83:83)), COLUMN(H:H)), "")</f>
        <v>0</v>
      </c>
      <c r="J85" s="14">
        <f t="array" ref="J85">IFERROR(INDEX(balance_sheet_quarter[#All], SMALL(IF(LOWER(balance_sheet_quarter[Company Name]) = LOWER(balance_sheet_quarter_filter!$B$2), ROW(balance_sheet_quarter[Company Name]) - ROW(INDEX(balance_sheet_quarter[Company Name], 1, 1)) + 1), ROW(83:83)), COLUMN(I:I)), "")</f>
        <v>0</v>
      </c>
      <c r="K85" s="14">
        <f t="array" ref="K85">IFERROR(INDEX(balance_sheet_quarter[#All], SMALL(IF(LOWER(balance_sheet_quarter[Company Name]) = LOWER(balance_sheet_quarter_filter!$B$2), ROW(balance_sheet_quarter[Company Name]) - ROW(INDEX(balance_sheet_quarter[Company Name], 1, 1)) + 1), ROW(83:83)), COLUMN(J:J)), "")</f>
        <v>0</v>
      </c>
      <c r="L85" s="14">
        <f t="array" ref="L85">IFERROR(INDEX(balance_sheet_quarter[#All], SMALL(IF(LOWER(balance_sheet_quarter[Company Name]) = LOWER(balance_sheet_quarter_filter!$B$2), ROW(balance_sheet_quarter[Company Name]) - ROW(INDEX(balance_sheet_quarter[Company Name], 1, 1)) + 1), ROW(83:83)), COLUMN(K:K)), "")</f>
        <v>0</v>
      </c>
      <c r="M85" s="14">
        <f t="array" ref="M85">IFERROR(INDEX(balance_sheet_quarter[#All], SMALL(IF(LOWER(balance_sheet_quarter[Company Name]) = LOWER(balance_sheet_quarter_filter!$B$2), ROW(balance_sheet_quarter[Company Name]) - ROW(INDEX(balance_sheet_quarter[Company Name], 1, 1)) + 1), ROW(83:83)), COLUMN(L:L)), "")</f>
        <v>0</v>
      </c>
      <c r="N85" s="14">
        <f t="array" ref="N85">IFERROR(INDEX(balance_sheet_quarter[#All], SMALL(IF(LOWER(balance_sheet_quarter[Company Name]) = LOWER(balance_sheet_quarter_filter!$B$2), ROW(balance_sheet_quarter[Company Name]) - ROW(INDEX(balance_sheet_quarter[Company Name], 1, 1)) + 1), ROW(83:83)), COLUMN(M:M)), "")</f>
        <v>0</v>
      </c>
      <c r="O85" s="14">
        <f t="array" ref="O85">IFERROR(INDEX(balance_sheet_quarter[#All], SMALL(IF(LOWER(balance_sheet_quarter[Company Name]) = LOWER(balance_sheet_quarter_filter!$B$2), ROW(balance_sheet_quarter[Company Name]) - ROW(INDEX(balance_sheet_quarter[Company Name], 1, 1)) + 1), ROW(83:83)), COLUMN(N:N)), "")</f>
        <v>0</v>
      </c>
      <c r="P85" s="14">
        <f t="array" ref="P85">IFERROR(INDEX(balance_sheet_quarter[#All], SMALL(IF(LOWER(balance_sheet_quarter[Company Name]) = LOWER(balance_sheet_quarter_filter!$B$2), ROW(balance_sheet_quarter[Company Name]) - ROW(INDEX(balance_sheet_quarter[Company Name], 1, 1)) + 1), ROW(83:83)), COLUMN(O:O)), "")</f>
        <v>0</v>
      </c>
    </row>
    <row r="86" spans="3:16" x14ac:dyDescent="0.35">
      <c r="C86" t="str">
        <f t="array" ref="C86">IFERROR(INDEX(balance_sheet_quarter[#All], SMALL(IF(LOWER(balance_sheet_quarter[Company Name]) = LOWER(balance_sheet_quarter_filter!$B$2), ROW(balance_sheet_quarter[Company Name]) - ROW(INDEX(balance_sheet_quarter[Company Name], 1, 1)) + 1), ROW(84:84)), COLUMN(B:B)), "")</f>
        <v>II. Nợ dài hạn</v>
      </c>
      <c r="D86" s="14">
        <f t="array" ref="D86">IFERROR(INDEX(balance_sheet_quarter[#All], SMALL(IF(LOWER(balance_sheet_quarter[Company Name]) = LOWER(balance_sheet_quarter_filter!$B$2), ROW(balance_sheet_quarter[Company Name]) - ROW(INDEX(balance_sheet_quarter[Company Name], 1, 1)) + 1), ROW(84:84)), COLUMN(C:C)), "")</f>
        <v>2655872248586</v>
      </c>
      <c r="E86" s="14">
        <f t="array" ref="E86">IFERROR(INDEX(balance_sheet_quarter[#All], SMALL(IF(LOWER(balance_sheet_quarter[Company Name]) = LOWER(balance_sheet_quarter_filter!$B$2), ROW(balance_sheet_quarter[Company Name]) - ROW(INDEX(balance_sheet_quarter[Company Name], 1, 1)) + 1), ROW(84:84)), COLUMN(D:D)), "")</f>
        <v>2659078560062</v>
      </c>
      <c r="F86" s="14">
        <f t="array" ref="F86">IFERROR(INDEX(balance_sheet_quarter[#All], SMALL(IF(LOWER(balance_sheet_quarter[Company Name]) = LOWER(balance_sheet_quarter_filter!$B$2), ROW(balance_sheet_quarter[Company Name]) - ROW(INDEX(balance_sheet_quarter[Company Name], 1, 1)) + 1), ROW(84:84)), COLUMN(E:E)), "")</f>
        <v>2682957689714</v>
      </c>
      <c r="G86" s="14">
        <f t="array" ref="G86">IFERROR(INDEX(balance_sheet_quarter[#All], SMALL(IF(LOWER(balance_sheet_quarter[Company Name]) = LOWER(balance_sheet_quarter_filter!$B$2), ROW(balance_sheet_quarter[Company Name]) - ROW(INDEX(balance_sheet_quarter[Company Name], 1, 1)) + 1), ROW(84:84)), COLUMN(F:F)), "")</f>
        <v>2528980055713</v>
      </c>
      <c r="H86" s="14">
        <f t="array" ref="H86">IFERROR(INDEX(balance_sheet_quarter[#All], SMALL(IF(LOWER(balance_sheet_quarter[Company Name]) = LOWER(balance_sheet_quarter_filter!$B$2), ROW(balance_sheet_quarter[Company Name]) - ROW(INDEX(balance_sheet_quarter[Company Name], 1, 1)) + 1), ROW(84:84)), COLUMN(G:G)), "")</f>
        <v>2450449055712</v>
      </c>
      <c r="I86" s="14">
        <f t="array" ref="I86">IFERROR(INDEX(balance_sheet_quarter[#All], SMALL(IF(LOWER(balance_sheet_quarter[Company Name]) = LOWER(balance_sheet_quarter_filter!$B$2), ROW(balance_sheet_quarter[Company Name]) - ROW(INDEX(balance_sheet_quarter[Company Name], 1, 1)) + 1), ROW(84:84)), COLUMN(H:H)), "")</f>
        <v>2567514005712</v>
      </c>
      <c r="J86" s="14">
        <f t="array" ref="J86">IFERROR(INDEX(balance_sheet_quarter[#All], SMALL(IF(LOWER(balance_sheet_quarter[Company Name]) = LOWER(balance_sheet_quarter_filter!$B$2), ROW(balance_sheet_quarter[Company Name]) - ROW(INDEX(balance_sheet_quarter[Company Name], 1, 1)) + 1), ROW(84:84)), COLUMN(I:I)), "")</f>
        <v>2480844005711</v>
      </c>
      <c r="K86" s="14">
        <f t="array" ref="K86">IFERROR(INDEX(balance_sheet_quarter[#All], SMALL(IF(LOWER(balance_sheet_quarter[Company Name]) = LOWER(balance_sheet_quarter_filter!$B$2), ROW(balance_sheet_quarter[Company Name]) - ROW(INDEX(balance_sheet_quarter[Company Name], 1, 1)) + 1), ROW(84:84)), COLUMN(J:J)), "")</f>
        <v>2392587788662</v>
      </c>
      <c r="L86" s="14">
        <f t="array" ref="L86">IFERROR(INDEX(balance_sheet_quarter[#All], SMALL(IF(LOWER(balance_sheet_quarter[Company Name]) = LOWER(balance_sheet_quarter_filter!$B$2), ROW(balance_sheet_quarter[Company Name]) - ROW(INDEX(balance_sheet_quarter[Company Name], 1, 1)) + 1), ROW(84:84)), COLUMN(K:K)), "")</f>
        <v>2335727348295</v>
      </c>
      <c r="M86" s="14">
        <f t="array" ref="M86">IFERROR(INDEX(balance_sheet_quarter[#All], SMALL(IF(LOWER(balance_sheet_quarter[Company Name]) = LOWER(balance_sheet_quarter_filter!$B$2), ROW(balance_sheet_quarter[Company Name]) - ROW(INDEX(balance_sheet_quarter[Company Name], 1, 1)) + 1), ROW(84:84)), COLUMN(L:L)), "")</f>
        <v>2276421937698</v>
      </c>
      <c r="N86" s="14">
        <f t="array" ref="N86">IFERROR(INDEX(balance_sheet_quarter[#All], SMALL(IF(LOWER(balance_sheet_quarter[Company Name]) = LOWER(balance_sheet_quarter_filter!$B$2), ROW(balance_sheet_quarter[Company Name]) - ROW(INDEX(balance_sheet_quarter[Company Name], 1, 1)) + 1), ROW(84:84)), COLUMN(M:M)), "")</f>
        <v>2171075434523</v>
      </c>
      <c r="O86" s="14">
        <f t="array" ref="O86">IFERROR(INDEX(balance_sheet_quarter[#All], SMALL(IF(LOWER(balance_sheet_quarter[Company Name]) = LOWER(balance_sheet_quarter_filter!$B$2), ROW(balance_sheet_quarter[Company Name]) - ROW(INDEX(balance_sheet_quarter[Company Name], 1, 1)) + 1), ROW(84:84)), COLUMN(N:N)), "")</f>
        <v>2106565434523</v>
      </c>
      <c r="P86" s="14">
        <f t="array" ref="P86">IFERROR(INDEX(balance_sheet_quarter[#All], SMALL(IF(LOWER(balance_sheet_quarter[Company Name]) = LOWER(balance_sheet_quarter_filter!$B$2), ROW(balance_sheet_quarter[Company Name]) - ROW(INDEX(balance_sheet_quarter[Company Name], 1, 1)) + 1), ROW(84:84)), COLUMN(O:O)), "")</f>
        <v>2041915434522</v>
      </c>
    </row>
    <row r="87" spans="3:16" x14ac:dyDescent="0.35">
      <c r="C87" t="str">
        <f t="array" ref="C87">IFERROR(INDEX(balance_sheet_quarter[#All], SMALL(IF(LOWER(balance_sheet_quarter[Company Name]) = LOWER(balance_sheet_quarter_filter!$B$2), ROW(balance_sheet_quarter[Company Name]) - ROW(INDEX(balance_sheet_quarter[Company Name], 1, 1)) + 1), ROW(85:85)), COLUMN(B:B)), "")</f>
        <v>1. Phải trả người bán dài hạn</v>
      </c>
      <c r="D87" s="14">
        <f t="array" ref="D87">IFERROR(INDEX(balance_sheet_quarter[#All], SMALL(IF(LOWER(balance_sheet_quarter[Company Name]) = LOWER(balance_sheet_quarter_filter!$B$2), ROW(balance_sheet_quarter[Company Name]) - ROW(INDEX(balance_sheet_quarter[Company Name], 1, 1)) + 1), ROW(85:85)), COLUMN(C:C)), "")</f>
        <v>349019359914</v>
      </c>
      <c r="E87" s="14">
        <f t="array" ref="E87">IFERROR(INDEX(balance_sheet_quarter[#All], SMALL(IF(LOWER(balance_sheet_quarter[Company Name]) = LOWER(balance_sheet_quarter_filter!$B$2), ROW(balance_sheet_quarter[Company Name]) - ROW(INDEX(balance_sheet_quarter[Company Name], 1, 1)) + 1), ROW(85:85)), COLUMN(D:D)), "")</f>
        <v>378808650231</v>
      </c>
      <c r="F87" s="14">
        <f t="array" ref="F87">IFERROR(INDEX(balance_sheet_quarter[#All], SMALL(IF(LOWER(balance_sheet_quarter[Company Name]) = LOWER(balance_sheet_quarter_filter!$B$2), ROW(balance_sheet_quarter[Company Name]) - ROW(INDEX(balance_sheet_quarter[Company Name], 1, 1)) + 1), ROW(85:85)), COLUMN(E:E)), "")</f>
        <v>378808650231</v>
      </c>
      <c r="G87" s="14">
        <f t="array" ref="G87">IFERROR(INDEX(balance_sheet_quarter[#All], SMALL(IF(LOWER(balance_sheet_quarter[Company Name]) = LOWER(balance_sheet_quarter_filter!$B$2), ROW(balance_sheet_quarter[Company Name]) - ROW(INDEX(balance_sheet_quarter[Company Name], 1, 1)) + 1), ROW(85:85)), COLUMN(F:F)), "")</f>
        <v>378808650231</v>
      </c>
      <c r="H87" s="14">
        <f t="array" ref="H87">IFERROR(INDEX(balance_sheet_quarter[#All], SMALL(IF(LOWER(balance_sheet_quarter[Company Name]) = LOWER(balance_sheet_quarter_filter!$B$2), ROW(balance_sheet_quarter[Company Name]) - ROW(INDEX(balance_sheet_quarter[Company Name], 1, 1)) + 1), ROW(85:85)), COLUMN(G:G)), "")</f>
        <v>378808650231</v>
      </c>
      <c r="I87" s="14">
        <f t="array" ref="I87">IFERROR(INDEX(balance_sheet_quarter[#All], SMALL(IF(LOWER(balance_sheet_quarter[Company Name]) = LOWER(balance_sheet_quarter_filter!$B$2), ROW(balance_sheet_quarter[Company Name]) - ROW(INDEX(balance_sheet_quarter[Company Name], 1, 1)) + 1), ROW(85:85)), COLUMN(H:H)), "")</f>
        <v>375051600231</v>
      </c>
      <c r="J87" s="14">
        <f t="array" ref="J87">IFERROR(INDEX(balance_sheet_quarter[#All], SMALL(IF(LOWER(balance_sheet_quarter[Company Name]) = LOWER(balance_sheet_quarter_filter!$B$2), ROW(balance_sheet_quarter[Company Name]) - ROW(INDEX(balance_sheet_quarter[Company Name], 1, 1)) + 1), ROW(85:85)), COLUMN(I:I)), "")</f>
        <v>375051600231</v>
      </c>
      <c r="K87" s="14">
        <f t="array" ref="K87">IFERROR(INDEX(balance_sheet_quarter[#All], SMALL(IF(LOWER(balance_sheet_quarter[Company Name]) = LOWER(balance_sheet_quarter_filter!$B$2), ROW(balance_sheet_quarter[Company Name]) - ROW(INDEX(balance_sheet_quarter[Company Name], 1, 1)) + 1), ROW(85:85)), COLUMN(J:J)), "")</f>
        <v>382402350000</v>
      </c>
      <c r="L87" s="14">
        <f t="array" ref="L87">IFERROR(INDEX(balance_sheet_quarter[#All], SMALL(IF(LOWER(balance_sheet_quarter[Company Name]) = LOWER(balance_sheet_quarter_filter!$B$2), ROW(balance_sheet_quarter[Company Name]) - ROW(INDEX(balance_sheet_quarter[Company Name], 1, 1)) + 1), ROW(85:85)), COLUMN(K:K)), "")</f>
        <v>270786100218</v>
      </c>
      <c r="M87" s="14">
        <f t="array" ref="M87">IFERROR(INDEX(balance_sheet_quarter[#All], SMALL(IF(LOWER(balance_sheet_quarter[Company Name]) = LOWER(balance_sheet_quarter_filter!$B$2), ROW(balance_sheet_quarter[Company Name]) - ROW(INDEX(balance_sheet_quarter[Company Name], 1, 1)) + 1), ROW(85:85)), COLUMN(L:L)), "")</f>
        <v>267510689621</v>
      </c>
      <c r="N87" s="14">
        <f t="array" ref="N87">IFERROR(INDEX(balance_sheet_quarter[#All], SMALL(IF(LOWER(balance_sheet_quarter[Company Name]) = LOWER(balance_sheet_quarter_filter!$B$2), ROW(balance_sheet_quarter[Company Name]) - ROW(INDEX(balance_sheet_quarter[Company Name], 1, 1)) + 1), ROW(85:85)), COLUMN(M:M)), "")</f>
        <v>0</v>
      </c>
      <c r="O87" s="14">
        <f t="array" ref="O87">IFERROR(INDEX(balance_sheet_quarter[#All], SMALL(IF(LOWER(balance_sheet_quarter[Company Name]) = LOWER(balance_sheet_quarter_filter!$B$2), ROW(balance_sheet_quarter[Company Name]) - ROW(INDEX(balance_sheet_quarter[Company Name], 1, 1)) + 1), ROW(85:85)), COLUMN(N:N)), "")</f>
        <v>0</v>
      </c>
      <c r="P87" s="14">
        <f t="array" ref="P87">IFERROR(INDEX(balance_sheet_quarter[#All], SMALL(IF(LOWER(balance_sheet_quarter[Company Name]) = LOWER(balance_sheet_quarter_filter!$B$2), ROW(balance_sheet_quarter[Company Name]) - ROW(INDEX(balance_sheet_quarter[Company Name], 1, 1)) + 1), ROW(85:85)), COLUMN(O:O)), "")</f>
        <v>0</v>
      </c>
    </row>
    <row r="88" spans="3:16" x14ac:dyDescent="0.35">
      <c r="C88" t="str">
        <f t="array" ref="C88">IFERROR(INDEX(balance_sheet_quarter[#All], SMALL(IF(LOWER(balance_sheet_quarter[Company Name]) = LOWER(balance_sheet_quarter_filter!$B$2), ROW(balance_sheet_quarter[Company Name]) - ROW(INDEX(balance_sheet_quarter[Company Name], 1, 1)) + 1), ROW(86:86)), COLUMN(B:B)), "")</f>
        <v>2. Người mua trả tiền trước dài hạn</v>
      </c>
      <c r="D88" s="14">
        <f t="array" ref="D88">IFERROR(INDEX(balance_sheet_quarter[#All], SMALL(IF(LOWER(balance_sheet_quarter[Company Name]) = LOWER(balance_sheet_quarter_filter!$B$2), ROW(balance_sheet_quarter[Company Name]) - ROW(INDEX(balance_sheet_quarter[Company Name], 1, 1)) + 1), ROW(86:86)), COLUMN(C:C)), "")</f>
        <v>0</v>
      </c>
      <c r="E88" s="14">
        <f t="array" ref="E88">IFERROR(INDEX(balance_sheet_quarter[#All], SMALL(IF(LOWER(balance_sheet_quarter[Company Name]) = LOWER(balance_sheet_quarter_filter!$B$2), ROW(balance_sheet_quarter[Company Name]) - ROW(INDEX(balance_sheet_quarter[Company Name], 1, 1)) + 1), ROW(86:86)), COLUMN(D:D)), "")</f>
        <v>0</v>
      </c>
      <c r="F88" s="14">
        <f t="array" ref="F88">IFERROR(INDEX(balance_sheet_quarter[#All], SMALL(IF(LOWER(balance_sheet_quarter[Company Name]) = LOWER(balance_sheet_quarter_filter!$B$2), ROW(balance_sheet_quarter[Company Name]) - ROW(INDEX(balance_sheet_quarter[Company Name], 1, 1)) + 1), ROW(86:86)), COLUMN(E:E)), "")</f>
        <v>0</v>
      </c>
      <c r="G88" s="14">
        <f t="array" ref="G88">IFERROR(INDEX(balance_sheet_quarter[#All], SMALL(IF(LOWER(balance_sheet_quarter[Company Name]) = LOWER(balance_sheet_quarter_filter!$B$2), ROW(balance_sheet_quarter[Company Name]) - ROW(INDEX(balance_sheet_quarter[Company Name], 1, 1)) + 1), ROW(86:86)), COLUMN(F:F)), "")</f>
        <v>0</v>
      </c>
      <c r="H88" s="14">
        <f t="array" ref="H88">IFERROR(INDEX(balance_sheet_quarter[#All], SMALL(IF(LOWER(balance_sheet_quarter[Company Name]) = LOWER(balance_sheet_quarter_filter!$B$2), ROW(balance_sheet_quarter[Company Name]) - ROW(INDEX(balance_sheet_quarter[Company Name], 1, 1)) + 1), ROW(86:86)), COLUMN(G:G)), "")</f>
        <v>0</v>
      </c>
      <c r="I88" s="14">
        <f t="array" ref="I88">IFERROR(INDEX(balance_sheet_quarter[#All], SMALL(IF(LOWER(balance_sheet_quarter[Company Name]) = LOWER(balance_sheet_quarter_filter!$B$2), ROW(balance_sheet_quarter[Company Name]) - ROW(INDEX(balance_sheet_quarter[Company Name], 1, 1)) + 1), ROW(86:86)), COLUMN(H:H)), "")</f>
        <v>0</v>
      </c>
      <c r="J88" s="14">
        <f t="array" ref="J88">IFERROR(INDEX(balance_sheet_quarter[#All], SMALL(IF(LOWER(balance_sheet_quarter[Company Name]) = LOWER(balance_sheet_quarter_filter!$B$2), ROW(balance_sheet_quarter[Company Name]) - ROW(INDEX(balance_sheet_quarter[Company Name], 1, 1)) + 1), ROW(86:86)), COLUMN(I:I)), "")</f>
        <v>0</v>
      </c>
      <c r="K88" s="14">
        <f t="array" ref="K88">IFERROR(INDEX(balance_sheet_quarter[#All], SMALL(IF(LOWER(balance_sheet_quarter[Company Name]) = LOWER(balance_sheet_quarter_filter!$B$2), ROW(balance_sheet_quarter[Company Name]) - ROW(INDEX(balance_sheet_quarter[Company Name], 1, 1)) + 1), ROW(86:86)), COLUMN(J:J)), "")</f>
        <v>0</v>
      </c>
      <c r="L88" s="14">
        <f t="array" ref="L88">IFERROR(INDEX(balance_sheet_quarter[#All], SMALL(IF(LOWER(balance_sheet_quarter[Company Name]) = LOWER(balance_sheet_quarter_filter!$B$2), ROW(balance_sheet_quarter[Company Name]) - ROW(INDEX(balance_sheet_quarter[Company Name], 1, 1)) + 1), ROW(86:86)), COLUMN(K:K)), "")</f>
        <v>0</v>
      </c>
      <c r="M88" s="14">
        <f t="array" ref="M88">IFERROR(INDEX(balance_sheet_quarter[#All], SMALL(IF(LOWER(balance_sheet_quarter[Company Name]) = LOWER(balance_sheet_quarter_filter!$B$2), ROW(balance_sheet_quarter[Company Name]) - ROW(INDEX(balance_sheet_quarter[Company Name], 1, 1)) + 1), ROW(86:86)), COLUMN(L:L)), "")</f>
        <v>0</v>
      </c>
      <c r="N88" s="14">
        <f t="array" ref="N88">IFERROR(INDEX(balance_sheet_quarter[#All], SMALL(IF(LOWER(balance_sheet_quarter[Company Name]) = LOWER(balance_sheet_quarter_filter!$B$2), ROW(balance_sheet_quarter[Company Name]) - ROW(INDEX(balance_sheet_quarter[Company Name], 1, 1)) + 1), ROW(86:86)), COLUMN(M:M)), "")</f>
        <v>0</v>
      </c>
      <c r="O88" s="14">
        <f t="array" ref="O88">IFERROR(INDEX(balance_sheet_quarter[#All], SMALL(IF(LOWER(balance_sheet_quarter[Company Name]) = LOWER(balance_sheet_quarter_filter!$B$2), ROW(balance_sheet_quarter[Company Name]) - ROW(INDEX(balance_sheet_quarter[Company Name], 1, 1)) + 1), ROW(86:86)), COLUMN(N:N)), "")</f>
        <v>0</v>
      </c>
      <c r="P88" s="14">
        <f t="array" ref="P88">IFERROR(INDEX(balance_sheet_quarter[#All], SMALL(IF(LOWER(balance_sheet_quarter[Company Name]) = LOWER(balance_sheet_quarter_filter!$B$2), ROW(balance_sheet_quarter[Company Name]) - ROW(INDEX(balance_sheet_quarter[Company Name], 1, 1)) + 1), ROW(86:86)), COLUMN(O:O)), "")</f>
        <v>0</v>
      </c>
    </row>
    <row r="89" spans="3:16" x14ac:dyDescent="0.35">
      <c r="C89" t="str">
        <f t="array" ref="C89">IFERROR(INDEX(balance_sheet_quarter[#All], SMALL(IF(LOWER(balance_sheet_quarter[Company Name]) = LOWER(balance_sheet_quarter_filter!$B$2), ROW(balance_sheet_quarter[Company Name]) - ROW(INDEX(balance_sheet_quarter[Company Name], 1, 1)) + 1), ROW(87:87)), COLUMN(B:B)), "")</f>
        <v>3. Chi phí phải trả dài hạn</v>
      </c>
      <c r="D89" s="14">
        <f t="array" ref="D89">IFERROR(INDEX(balance_sheet_quarter[#All], SMALL(IF(LOWER(balance_sheet_quarter[Company Name]) = LOWER(balance_sheet_quarter_filter!$B$2), ROW(balance_sheet_quarter[Company Name]) - ROW(INDEX(balance_sheet_quarter[Company Name], 1, 1)) + 1), ROW(87:87)), COLUMN(C:C)), "")</f>
        <v>0</v>
      </c>
      <c r="E89" s="14">
        <f t="array" ref="E89">IFERROR(INDEX(balance_sheet_quarter[#All], SMALL(IF(LOWER(balance_sheet_quarter[Company Name]) = LOWER(balance_sheet_quarter_filter!$B$2), ROW(balance_sheet_quarter[Company Name]) - ROW(INDEX(balance_sheet_quarter[Company Name], 1, 1)) + 1), ROW(87:87)), COLUMN(D:D)), "")</f>
        <v>0</v>
      </c>
      <c r="F89" s="14">
        <f t="array" ref="F89">IFERROR(INDEX(balance_sheet_quarter[#All], SMALL(IF(LOWER(balance_sheet_quarter[Company Name]) = LOWER(balance_sheet_quarter_filter!$B$2), ROW(balance_sheet_quarter[Company Name]) - ROW(INDEX(balance_sheet_quarter[Company Name], 1, 1)) + 1), ROW(87:87)), COLUMN(E:E)), "")</f>
        <v>0</v>
      </c>
      <c r="G89" s="14">
        <f t="array" ref="G89">IFERROR(INDEX(balance_sheet_quarter[#All], SMALL(IF(LOWER(balance_sheet_quarter[Company Name]) = LOWER(balance_sheet_quarter_filter!$B$2), ROW(balance_sheet_quarter[Company Name]) - ROW(INDEX(balance_sheet_quarter[Company Name], 1, 1)) + 1), ROW(87:87)), COLUMN(F:F)), "")</f>
        <v>0</v>
      </c>
      <c r="H89" s="14">
        <f t="array" ref="H89">IFERROR(INDEX(balance_sheet_quarter[#All], SMALL(IF(LOWER(balance_sheet_quarter[Company Name]) = LOWER(balance_sheet_quarter_filter!$B$2), ROW(balance_sheet_quarter[Company Name]) - ROW(INDEX(balance_sheet_quarter[Company Name], 1, 1)) + 1), ROW(87:87)), COLUMN(G:G)), "")</f>
        <v>0</v>
      </c>
      <c r="I89" s="14">
        <f t="array" ref="I89">IFERROR(INDEX(balance_sheet_quarter[#All], SMALL(IF(LOWER(balance_sheet_quarter[Company Name]) = LOWER(balance_sheet_quarter_filter!$B$2), ROW(balance_sheet_quarter[Company Name]) - ROW(INDEX(balance_sheet_quarter[Company Name], 1, 1)) + 1), ROW(87:87)), COLUMN(H:H)), "")</f>
        <v>0</v>
      </c>
      <c r="J89" s="14">
        <f t="array" ref="J89">IFERROR(INDEX(balance_sheet_quarter[#All], SMALL(IF(LOWER(balance_sheet_quarter[Company Name]) = LOWER(balance_sheet_quarter_filter!$B$2), ROW(balance_sheet_quarter[Company Name]) - ROW(INDEX(balance_sheet_quarter[Company Name], 1, 1)) + 1), ROW(87:87)), COLUMN(I:I)), "")</f>
        <v>0</v>
      </c>
      <c r="K89" s="14">
        <f t="array" ref="K89">IFERROR(INDEX(balance_sheet_quarter[#All], SMALL(IF(LOWER(balance_sheet_quarter[Company Name]) = LOWER(balance_sheet_quarter_filter!$B$2), ROW(balance_sheet_quarter[Company Name]) - ROW(INDEX(balance_sheet_quarter[Company Name], 1, 1)) + 1), ROW(87:87)), COLUMN(J:J)), "")</f>
        <v>0</v>
      </c>
      <c r="L89" s="14">
        <f t="array" ref="L89">IFERROR(INDEX(balance_sheet_quarter[#All], SMALL(IF(LOWER(balance_sheet_quarter[Company Name]) = LOWER(balance_sheet_quarter_filter!$B$2), ROW(balance_sheet_quarter[Company Name]) - ROW(INDEX(balance_sheet_quarter[Company Name], 1, 1)) + 1), ROW(87:87)), COLUMN(K:K)), "")</f>
        <v>0</v>
      </c>
      <c r="M89" s="14">
        <f t="array" ref="M89">IFERROR(INDEX(balance_sheet_quarter[#All], SMALL(IF(LOWER(balance_sheet_quarter[Company Name]) = LOWER(balance_sheet_quarter_filter!$B$2), ROW(balance_sheet_quarter[Company Name]) - ROW(INDEX(balance_sheet_quarter[Company Name], 1, 1)) + 1), ROW(87:87)), COLUMN(L:L)), "")</f>
        <v>0</v>
      </c>
      <c r="N89" s="14">
        <f t="array" ref="N89">IFERROR(INDEX(balance_sheet_quarter[#All], SMALL(IF(LOWER(balance_sheet_quarter[Company Name]) = LOWER(balance_sheet_quarter_filter!$B$2), ROW(balance_sheet_quarter[Company Name]) - ROW(INDEX(balance_sheet_quarter[Company Name], 1, 1)) + 1), ROW(87:87)), COLUMN(M:M)), "")</f>
        <v>0</v>
      </c>
      <c r="O89" s="14">
        <f t="array" ref="O89">IFERROR(INDEX(balance_sheet_quarter[#All], SMALL(IF(LOWER(balance_sheet_quarter[Company Name]) = LOWER(balance_sheet_quarter_filter!$B$2), ROW(balance_sheet_quarter[Company Name]) - ROW(INDEX(balance_sheet_quarter[Company Name], 1, 1)) + 1), ROW(87:87)), COLUMN(N:N)), "")</f>
        <v>0</v>
      </c>
      <c r="P89" s="14">
        <f t="array" ref="P89">IFERROR(INDEX(balance_sheet_quarter[#All], SMALL(IF(LOWER(balance_sheet_quarter[Company Name]) = LOWER(balance_sheet_quarter_filter!$B$2), ROW(balance_sheet_quarter[Company Name]) - ROW(INDEX(balance_sheet_quarter[Company Name], 1, 1)) + 1), ROW(87:87)), COLUMN(O:O)), "")</f>
        <v>0</v>
      </c>
    </row>
    <row r="90" spans="3:16" x14ac:dyDescent="0.35">
      <c r="C90" t="str">
        <f t="array" ref="C90">IFERROR(INDEX(balance_sheet_quarter[#All], SMALL(IF(LOWER(balance_sheet_quarter[Company Name]) = LOWER(balance_sheet_quarter_filter!$B$2), ROW(balance_sheet_quarter[Company Name]) - ROW(INDEX(balance_sheet_quarter[Company Name], 1, 1)) + 1), ROW(88:88)), COLUMN(B:B)), "")</f>
        <v>4. Phải trả nội bộ về vốn kinh doanh</v>
      </c>
      <c r="D90" s="14">
        <f t="array" ref="D90">IFERROR(INDEX(balance_sheet_quarter[#All], SMALL(IF(LOWER(balance_sheet_quarter[Company Name]) = LOWER(balance_sheet_quarter_filter!$B$2), ROW(balance_sheet_quarter[Company Name]) - ROW(INDEX(balance_sheet_quarter[Company Name], 1, 1)) + 1), ROW(88:88)), COLUMN(C:C)), "")</f>
        <v>0</v>
      </c>
      <c r="E90" s="14">
        <f t="array" ref="E90">IFERROR(INDEX(balance_sheet_quarter[#All], SMALL(IF(LOWER(balance_sheet_quarter[Company Name]) = LOWER(balance_sheet_quarter_filter!$B$2), ROW(balance_sheet_quarter[Company Name]) - ROW(INDEX(balance_sheet_quarter[Company Name], 1, 1)) + 1), ROW(88:88)), COLUMN(D:D)), "")</f>
        <v>0</v>
      </c>
      <c r="F90" s="14">
        <f t="array" ref="F90">IFERROR(INDEX(balance_sheet_quarter[#All], SMALL(IF(LOWER(balance_sheet_quarter[Company Name]) = LOWER(balance_sheet_quarter_filter!$B$2), ROW(balance_sheet_quarter[Company Name]) - ROW(INDEX(balance_sheet_quarter[Company Name], 1, 1)) + 1), ROW(88:88)), COLUMN(E:E)), "")</f>
        <v>0</v>
      </c>
      <c r="G90" s="14">
        <f t="array" ref="G90">IFERROR(INDEX(balance_sheet_quarter[#All], SMALL(IF(LOWER(balance_sheet_quarter[Company Name]) = LOWER(balance_sheet_quarter_filter!$B$2), ROW(balance_sheet_quarter[Company Name]) - ROW(INDEX(balance_sheet_quarter[Company Name], 1, 1)) + 1), ROW(88:88)), COLUMN(F:F)), "")</f>
        <v>0</v>
      </c>
      <c r="H90" s="14">
        <f t="array" ref="H90">IFERROR(INDEX(balance_sheet_quarter[#All], SMALL(IF(LOWER(balance_sheet_quarter[Company Name]) = LOWER(balance_sheet_quarter_filter!$B$2), ROW(balance_sheet_quarter[Company Name]) - ROW(INDEX(balance_sheet_quarter[Company Name], 1, 1)) + 1), ROW(88:88)), COLUMN(G:G)), "")</f>
        <v>0</v>
      </c>
      <c r="I90" s="14">
        <f t="array" ref="I90">IFERROR(INDEX(balance_sheet_quarter[#All], SMALL(IF(LOWER(balance_sheet_quarter[Company Name]) = LOWER(balance_sheet_quarter_filter!$B$2), ROW(balance_sheet_quarter[Company Name]) - ROW(INDEX(balance_sheet_quarter[Company Name], 1, 1)) + 1), ROW(88:88)), COLUMN(H:H)), "")</f>
        <v>0</v>
      </c>
      <c r="J90" s="14">
        <f t="array" ref="J90">IFERROR(INDEX(balance_sheet_quarter[#All], SMALL(IF(LOWER(balance_sheet_quarter[Company Name]) = LOWER(balance_sheet_quarter_filter!$B$2), ROW(balance_sheet_quarter[Company Name]) - ROW(INDEX(balance_sheet_quarter[Company Name], 1, 1)) + 1), ROW(88:88)), COLUMN(I:I)), "")</f>
        <v>0</v>
      </c>
      <c r="K90" s="14">
        <f t="array" ref="K90">IFERROR(INDEX(balance_sheet_quarter[#All], SMALL(IF(LOWER(balance_sheet_quarter[Company Name]) = LOWER(balance_sheet_quarter_filter!$B$2), ROW(balance_sheet_quarter[Company Name]) - ROW(INDEX(balance_sheet_quarter[Company Name], 1, 1)) + 1), ROW(88:88)), COLUMN(J:J)), "")</f>
        <v>0</v>
      </c>
      <c r="L90" s="14">
        <f t="array" ref="L90">IFERROR(INDEX(balance_sheet_quarter[#All], SMALL(IF(LOWER(balance_sheet_quarter[Company Name]) = LOWER(balance_sheet_quarter_filter!$B$2), ROW(balance_sheet_quarter[Company Name]) - ROW(INDEX(balance_sheet_quarter[Company Name], 1, 1)) + 1), ROW(88:88)), COLUMN(K:K)), "")</f>
        <v>0</v>
      </c>
      <c r="M90" s="14">
        <f t="array" ref="M90">IFERROR(INDEX(balance_sheet_quarter[#All], SMALL(IF(LOWER(balance_sheet_quarter[Company Name]) = LOWER(balance_sheet_quarter_filter!$B$2), ROW(balance_sheet_quarter[Company Name]) - ROW(INDEX(balance_sheet_quarter[Company Name], 1, 1)) + 1), ROW(88:88)), COLUMN(L:L)), "")</f>
        <v>0</v>
      </c>
      <c r="N90" s="14">
        <f t="array" ref="N90">IFERROR(INDEX(balance_sheet_quarter[#All], SMALL(IF(LOWER(balance_sheet_quarter[Company Name]) = LOWER(balance_sheet_quarter_filter!$B$2), ROW(balance_sheet_quarter[Company Name]) - ROW(INDEX(balance_sheet_quarter[Company Name], 1, 1)) + 1), ROW(88:88)), COLUMN(M:M)), "")</f>
        <v>0</v>
      </c>
      <c r="O90" s="14">
        <f t="array" ref="O90">IFERROR(INDEX(balance_sheet_quarter[#All], SMALL(IF(LOWER(balance_sheet_quarter[Company Name]) = LOWER(balance_sheet_quarter_filter!$B$2), ROW(balance_sheet_quarter[Company Name]) - ROW(INDEX(balance_sheet_quarter[Company Name], 1, 1)) + 1), ROW(88:88)), COLUMN(N:N)), "")</f>
        <v>0</v>
      </c>
      <c r="P90" s="14">
        <f t="array" ref="P90">IFERROR(INDEX(balance_sheet_quarter[#All], SMALL(IF(LOWER(balance_sheet_quarter[Company Name]) = LOWER(balance_sheet_quarter_filter!$B$2), ROW(balance_sheet_quarter[Company Name]) - ROW(INDEX(balance_sheet_quarter[Company Name], 1, 1)) + 1), ROW(88:88)), COLUMN(O:O)), "")</f>
        <v>0</v>
      </c>
    </row>
    <row r="91" spans="3:16" x14ac:dyDescent="0.35">
      <c r="C91" t="str">
        <f t="array" ref="C91">IFERROR(INDEX(balance_sheet_quarter[#All], SMALL(IF(LOWER(balance_sheet_quarter[Company Name]) = LOWER(balance_sheet_quarter_filter!$B$2), ROW(balance_sheet_quarter[Company Name]) - ROW(INDEX(balance_sheet_quarter[Company Name], 1, 1)) + 1), ROW(89:89)), COLUMN(B:B)), "")</f>
        <v>5. Phải trả nội bộ dài hạn</v>
      </c>
      <c r="D91" s="14">
        <f t="array" ref="D91">IFERROR(INDEX(balance_sheet_quarter[#All], SMALL(IF(LOWER(balance_sheet_quarter[Company Name]) = LOWER(balance_sheet_quarter_filter!$B$2), ROW(balance_sheet_quarter[Company Name]) - ROW(INDEX(balance_sheet_quarter[Company Name], 1, 1)) + 1), ROW(89:89)), COLUMN(C:C)), "")</f>
        <v>0</v>
      </c>
      <c r="E91" s="14">
        <f t="array" ref="E91">IFERROR(INDEX(balance_sheet_quarter[#All], SMALL(IF(LOWER(balance_sheet_quarter[Company Name]) = LOWER(balance_sheet_quarter_filter!$B$2), ROW(balance_sheet_quarter[Company Name]) - ROW(INDEX(balance_sheet_quarter[Company Name], 1, 1)) + 1), ROW(89:89)), COLUMN(D:D)), "")</f>
        <v>0</v>
      </c>
      <c r="F91" s="14">
        <f t="array" ref="F91">IFERROR(INDEX(balance_sheet_quarter[#All], SMALL(IF(LOWER(balance_sheet_quarter[Company Name]) = LOWER(balance_sheet_quarter_filter!$B$2), ROW(balance_sheet_quarter[Company Name]) - ROW(INDEX(balance_sheet_quarter[Company Name], 1, 1)) + 1), ROW(89:89)), COLUMN(E:E)), "")</f>
        <v>0</v>
      </c>
      <c r="G91" s="14">
        <f t="array" ref="G91">IFERROR(INDEX(balance_sheet_quarter[#All], SMALL(IF(LOWER(balance_sheet_quarter[Company Name]) = LOWER(balance_sheet_quarter_filter!$B$2), ROW(balance_sheet_quarter[Company Name]) - ROW(INDEX(balance_sheet_quarter[Company Name], 1, 1)) + 1), ROW(89:89)), COLUMN(F:F)), "")</f>
        <v>0</v>
      </c>
      <c r="H91" s="14">
        <f t="array" ref="H91">IFERROR(INDEX(balance_sheet_quarter[#All], SMALL(IF(LOWER(balance_sheet_quarter[Company Name]) = LOWER(balance_sheet_quarter_filter!$B$2), ROW(balance_sheet_quarter[Company Name]) - ROW(INDEX(balance_sheet_quarter[Company Name], 1, 1)) + 1), ROW(89:89)), COLUMN(G:G)), "")</f>
        <v>0</v>
      </c>
      <c r="I91" s="14">
        <f t="array" ref="I91">IFERROR(INDEX(balance_sheet_quarter[#All], SMALL(IF(LOWER(balance_sheet_quarter[Company Name]) = LOWER(balance_sheet_quarter_filter!$B$2), ROW(balance_sheet_quarter[Company Name]) - ROW(INDEX(balance_sheet_quarter[Company Name], 1, 1)) + 1), ROW(89:89)), COLUMN(H:H)), "")</f>
        <v>0</v>
      </c>
      <c r="J91" s="14">
        <f t="array" ref="J91">IFERROR(INDEX(balance_sheet_quarter[#All], SMALL(IF(LOWER(balance_sheet_quarter[Company Name]) = LOWER(balance_sheet_quarter_filter!$B$2), ROW(balance_sheet_quarter[Company Name]) - ROW(INDEX(balance_sheet_quarter[Company Name], 1, 1)) + 1), ROW(89:89)), COLUMN(I:I)), "")</f>
        <v>0</v>
      </c>
      <c r="K91" s="14">
        <f t="array" ref="K91">IFERROR(INDEX(balance_sheet_quarter[#All], SMALL(IF(LOWER(balance_sheet_quarter[Company Name]) = LOWER(balance_sheet_quarter_filter!$B$2), ROW(balance_sheet_quarter[Company Name]) - ROW(INDEX(balance_sheet_quarter[Company Name], 1, 1)) + 1), ROW(89:89)), COLUMN(J:J)), "")</f>
        <v>0</v>
      </c>
      <c r="L91" s="14">
        <f t="array" ref="L91">IFERROR(INDEX(balance_sheet_quarter[#All], SMALL(IF(LOWER(balance_sheet_quarter[Company Name]) = LOWER(balance_sheet_quarter_filter!$B$2), ROW(balance_sheet_quarter[Company Name]) - ROW(INDEX(balance_sheet_quarter[Company Name], 1, 1)) + 1), ROW(89:89)), COLUMN(K:K)), "")</f>
        <v>0</v>
      </c>
      <c r="M91" s="14">
        <f t="array" ref="M91">IFERROR(INDEX(balance_sheet_quarter[#All], SMALL(IF(LOWER(balance_sheet_quarter[Company Name]) = LOWER(balance_sheet_quarter_filter!$B$2), ROW(balance_sheet_quarter[Company Name]) - ROW(INDEX(balance_sheet_quarter[Company Name], 1, 1)) + 1), ROW(89:89)), COLUMN(L:L)), "")</f>
        <v>0</v>
      </c>
      <c r="N91" s="14">
        <f t="array" ref="N91">IFERROR(INDEX(balance_sheet_quarter[#All], SMALL(IF(LOWER(balance_sheet_quarter[Company Name]) = LOWER(balance_sheet_quarter_filter!$B$2), ROW(balance_sheet_quarter[Company Name]) - ROW(INDEX(balance_sheet_quarter[Company Name], 1, 1)) + 1), ROW(89:89)), COLUMN(M:M)), "")</f>
        <v>0</v>
      </c>
      <c r="O91" s="14">
        <f t="array" ref="O91">IFERROR(INDEX(balance_sheet_quarter[#All], SMALL(IF(LOWER(balance_sheet_quarter[Company Name]) = LOWER(balance_sheet_quarter_filter!$B$2), ROW(balance_sheet_quarter[Company Name]) - ROW(INDEX(balance_sheet_quarter[Company Name], 1, 1)) + 1), ROW(89:89)), COLUMN(N:N)), "")</f>
        <v>0</v>
      </c>
      <c r="P91" s="14">
        <f t="array" ref="P91">IFERROR(INDEX(balance_sheet_quarter[#All], SMALL(IF(LOWER(balance_sheet_quarter[Company Name]) = LOWER(balance_sheet_quarter_filter!$B$2), ROW(balance_sheet_quarter[Company Name]) - ROW(INDEX(balance_sheet_quarter[Company Name], 1, 1)) + 1), ROW(89:89)), COLUMN(O:O)), "")</f>
        <v>0</v>
      </c>
    </row>
    <row r="92" spans="3:16" x14ac:dyDescent="0.35">
      <c r="C92" t="str">
        <f t="array" ref="C92">IFERROR(INDEX(balance_sheet_quarter[#All], SMALL(IF(LOWER(balance_sheet_quarter[Company Name]) = LOWER(balance_sheet_quarter_filter!$B$2), ROW(balance_sheet_quarter[Company Name]) - ROW(INDEX(balance_sheet_quarter[Company Name], 1, 1)) + 1), ROW(90:90)), COLUMN(B:B)), "")</f>
        <v>6. Doanh thu chưa thực hiện dài hạn</v>
      </c>
      <c r="D92" s="14">
        <f t="array" ref="D92">IFERROR(INDEX(balance_sheet_quarter[#All], SMALL(IF(LOWER(balance_sheet_quarter[Company Name]) = LOWER(balance_sheet_quarter_filter!$B$2), ROW(balance_sheet_quarter[Company Name]) - ROW(INDEX(balance_sheet_quarter[Company Name], 1, 1)) + 1), ROW(90:90)), COLUMN(C:C)), "")</f>
        <v>0</v>
      </c>
      <c r="E92" s="14">
        <f t="array" ref="E92">IFERROR(INDEX(balance_sheet_quarter[#All], SMALL(IF(LOWER(balance_sheet_quarter[Company Name]) = LOWER(balance_sheet_quarter_filter!$B$2), ROW(balance_sheet_quarter[Company Name]) - ROW(INDEX(balance_sheet_quarter[Company Name], 1, 1)) + 1), ROW(90:90)), COLUMN(D:D)), "")</f>
        <v>0</v>
      </c>
      <c r="F92" s="14">
        <f t="array" ref="F92">IFERROR(INDEX(balance_sheet_quarter[#All], SMALL(IF(LOWER(balance_sheet_quarter[Company Name]) = LOWER(balance_sheet_quarter_filter!$B$2), ROW(balance_sheet_quarter[Company Name]) - ROW(INDEX(balance_sheet_quarter[Company Name], 1, 1)) + 1), ROW(90:90)), COLUMN(E:E)), "")</f>
        <v>0</v>
      </c>
      <c r="G92" s="14">
        <f t="array" ref="G92">IFERROR(INDEX(balance_sheet_quarter[#All], SMALL(IF(LOWER(balance_sheet_quarter[Company Name]) = LOWER(balance_sheet_quarter_filter!$B$2), ROW(balance_sheet_quarter[Company Name]) - ROW(INDEX(balance_sheet_quarter[Company Name], 1, 1)) + 1), ROW(90:90)), COLUMN(F:F)), "")</f>
        <v>0</v>
      </c>
      <c r="H92" s="14">
        <f t="array" ref="H92">IFERROR(INDEX(balance_sheet_quarter[#All], SMALL(IF(LOWER(balance_sheet_quarter[Company Name]) = LOWER(balance_sheet_quarter_filter!$B$2), ROW(balance_sheet_quarter[Company Name]) - ROW(INDEX(balance_sheet_quarter[Company Name], 1, 1)) + 1), ROW(90:90)), COLUMN(G:G)), "")</f>
        <v>0</v>
      </c>
      <c r="I92" s="14">
        <f t="array" ref="I92">IFERROR(INDEX(balance_sheet_quarter[#All], SMALL(IF(LOWER(balance_sheet_quarter[Company Name]) = LOWER(balance_sheet_quarter_filter!$B$2), ROW(balance_sheet_quarter[Company Name]) - ROW(INDEX(balance_sheet_quarter[Company Name], 1, 1)) + 1), ROW(90:90)), COLUMN(H:H)), "")</f>
        <v>0</v>
      </c>
      <c r="J92" s="14">
        <f t="array" ref="J92">IFERROR(INDEX(balance_sheet_quarter[#All], SMALL(IF(LOWER(balance_sheet_quarter[Company Name]) = LOWER(balance_sheet_quarter_filter!$B$2), ROW(balance_sheet_quarter[Company Name]) - ROW(INDEX(balance_sheet_quarter[Company Name], 1, 1)) + 1), ROW(90:90)), COLUMN(I:I)), "")</f>
        <v>0</v>
      </c>
      <c r="K92" s="14">
        <f t="array" ref="K92">IFERROR(INDEX(balance_sheet_quarter[#All], SMALL(IF(LOWER(balance_sheet_quarter[Company Name]) = LOWER(balance_sheet_quarter_filter!$B$2), ROW(balance_sheet_quarter[Company Name]) - ROW(INDEX(balance_sheet_quarter[Company Name], 1, 1)) + 1), ROW(90:90)), COLUMN(J:J)), "")</f>
        <v>0</v>
      </c>
      <c r="L92" s="14">
        <f t="array" ref="L92">IFERROR(INDEX(balance_sheet_quarter[#All], SMALL(IF(LOWER(balance_sheet_quarter[Company Name]) = LOWER(balance_sheet_quarter_filter!$B$2), ROW(balance_sheet_quarter[Company Name]) - ROW(INDEX(balance_sheet_quarter[Company Name], 1, 1)) + 1), ROW(90:90)), COLUMN(K:K)), "")</f>
        <v>0</v>
      </c>
      <c r="M92" s="14">
        <f t="array" ref="M92">IFERROR(INDEX(balance_sheet_quarter[#All], SMALL(IF(LOWER(balance_sheet_quarter[Company Name]) = LOWER(balance_sheet_quarter_filter!$B$2), ROW(balance_sheet_quarter[Company Name]) - ROW(INDEX(balance_sheet_quarter[Company Name], 1, 1)) + 1), ROW(90:90)), COLUMN(L:L)), "")</f>
        <v>0</v>
      </c>
      <c r="N92" s="14">
        <f t="array" ref="N92">IFERROR(INDEX(balance_sheet_quarter[#All], SMALL(IF(LOWER(balance_sheet_quarter[Company Name]) = LOWER(balance_sheet_quarter_filter!$B$2), ROW(balance_sheet_quarter[Company Name]) - ROW(INDEX(balance_sheet_quarter[Company Name], 1, 1)) + 1), ROW(90:90)), COLUMN(M:M)), "")</f>
        <v>0</v>
      </c>
      <c r="O92" s="14">
        <f t="array" ref="O92">IFERROR(INDEX(balance_sheet_quarter[#All], SMALL(IF(LOWER(balance_sheet_quarter[Company Name]) = LOWER(balance_sheet_quarter_filter!$B$2), ROW(balance_sheet_quarter[Company Name]) - ROW(INDEX(balance_sheet_quarter[Company Name], 1, 1)) + 1), ROW(90:90)), COLUMN(N:N)), "")</f>
        <v>0</v>
      </c>
      <c r="P92" s="14">
        <f t="array" ref="P92">IFERROR(INDEX(balance_sheet_quarter[#All], SMALL(IF(LOWER(balance_sheet_quarter[Company Name]) = LOWER(balance_sheet_quarter_filter!$B$2), ROW(balance_sheet_quarter[Company Name]) - ROW(INDEX(balance_sheet_quarter[Company Name], 1, 1)) + 1), ROW(90:90)), COLUMN(O:O)), "")</f>
        <v>0</v>
      </c>
    </row>
    <row r="93" spans="3:16" x14ac:dyDescent="0.35">
      <c r="C93" t="str">
        <f t="array" ref="C93">IFERROR(INDEX(balance_sheet_quarter[#All], SMALL(IF(LOWER(balance_sheet_quarter[Company Name]) = LOWER(balance_sheet_quarter_filter!$B$2), ROW(balance_sheet_quarter[Company Name]) - ROW(INDEX(balance_sheet_quarter[Company Name], 1, 1)) + 1), ROW(91:91)), COLUMN(B:B)), "")</f>
        <v>7. Phải trả dài hạn khác</v>
      </c>
      <c r="D93" s="14">
        <f t="array" ref="D93">IFERROR(INDEX(balance_sheet_quarter[#All], SMALL(IF(LOWER(balance_sheet_quarter[Company Name]) = LOWER(balance_sheet_quarter_filter!$B$2), ROW(balance_sheet_quarter[Company Name]) - ROW(INDEX(balance_sheet_quarter[Company Name], 1, 1)) + 1), ROW(91:91)), COLUMN(C:C)), "")</f>
        <v>122307948000</v>
      </c>
      <c r="E93" s="14">
        <f t="array" ref="E93">IFERROR(INDEX(balance_sheet_quarter[#All], SMALL(IF(LOWER(balance_sheet_quarter[Company Name]) = LOWER(balance_sheet_quarter_filter!$B$2), ROW(balance_sheet_quarter[Company Name]) - ROW(INDEX(balance_sheet_quarter[Company Name], 1, 1)) + 1), ROW(91:91)), COLUMN(D:D)), "")</f>
        <v>125307948000</v>
      </c>
      <c r="F93" s="14">
        <f t="array" ref="F93">IFERROR(INDEX(balance_sheet_quarter[#All], SMALL(IF(LOWER(balance_sheet_quarter[Company Name]) = LOWER(balance_sheet_quarter_filter!$B$2), ROW(balance_sheet_quarter[Company Name]) - ROW(INDEX(balance_sheet_quarter[Company Name], 1, 1)) + 1), ROW(91:91)), COLUMN(E:E)), "")</f>
        <v>125307948000</v>
      </c>
      <c r="G93" s="14">
        <f t="array" ref="G93">IFERROR(INDEX(balance_sheet_quarter[#All], SMALL(IF(LOWER(balance_sheet_quarter[Company Name]) = LOWER(balance_sheet_quarter_filter!$B$2), ROW(balance_sheet_quarter[Company Name]) - ROW(INDEX(balance_sheet_quarter[Company Name], 1, 1)) + 1), ROW(91:91)), COLUMN(F:F)), "")</f>
        <v>125307948000</v>
      </c>
      <c r="H93" s="14">
        <f t="array" ref="H93">IFERROR(INDEX(balance_sheet_quarter[#All], SMALL(IF(LOWER(balance_sheet_quarter[Company Name]) = LOWER(balance_sheet_quarter_filter!$B$2), ROW(balance_sheet_quarter[Company Name]) - ROW(INDEX(balance_sheet_quarter[Company Name], 1, 1)) + 1), ROW(91:91)), COLUMN(G:G)), "")</f>
        <v>125307948000</v>
      </c>
      <c r="I93" s="14">
        <f t="array" ref="I93">IFERROR(INDEX(balance_sheet_quarter[#All], SMALL(IF(LOWER(balance_sheet_quarter[Company Name]) = LOWER(balance_sheet_quarter_filter!$B$2), ROW(balance_sheet_quarter[Company Name]) - ROW(INDEX(balance_sheet_quarter[Company Name], 1, 1)) + 1), ROW(91:91)), COLUMN(H:H)), "")</f>
        <v>125307948000</v>
      </c>
      <c r="J93" s="14">
        <f t="array" ref="J93">IFERROR(INDEX(balance_sheet_quarter[#All], SMALL(IF(LOWER(balance_sheet_quarter[Company Name]) = LOWER(balance_sheet_quarter_filter!$B$2), ROW(balance_sheet_quarter[Company Name]) - ROW(INDEX(balance_sheet_quarter[Company Name], 1, 1)) + 1), ROW(91:91)), COLUMN(I:I)), "")</f>
        <v>125307948000</v>
      </c>
      <c r="K93" s="14">
        <f t="array" ref="K93">IFERROR(INDEX(balance_sheet_quarter[#All], SMALL(IF(LOWER(balance_sheet_quarter[Company Name]) = LOWER(balance_sheet_quarter_filter!$B$2), ROW(balance_sheet_quarter[Company Name]) - ROW(INDEX(balance_sheet_quarter[Company Name], 1, 1)) + 1), ROW(91:91)), COLUMN(J:J)), "")</f>
        <v>125307948000</v>
      </c>
      <c r="L93" s="14">
        <f t="array" ref="L93">IFERROR(INDEX(balance_sheet_quarter[#All], SMALL(IF(LOWER(balance_sheet_quarter[Company Name]) = LOWER(balance_sheet_quarter_filter!$B$2), ROW(balance_sheet_quarter[Company Name]) - ROW(INDEX(balance_sheet_quarter[Company Name], 1, 1)) + 1), ROW(91:91)), COLUMN(K:K)), "")</f>
        <v>125307948000</v>
      </c>
      <c r="M93" s="14">
        <f t="array" ref="M93">IFERROR(INDEX(balance_sheet_quarter[#All], SMALL(IF(LOWER(balance_sheet_quarter[Company Name]) = LOWER(balance_sheet_quarter_filter!$B$2), ROW(balance_sheet_quarter[Company Name]) - ROW(INDEX(balance_sheet_quarter[Company Name], 1, 1)) + 1), ROW(91:91)), COLUMN(L:L)), "")</f>
        <v>125307948000</v>
      </c>
      <c r="N93" s="14">
        <f t="array" ref="N93">IFERROR(INDEX(balance_sheet_quarter[#All], SMALL(IF(LOWER(balance_sheet_quarter[Company Name]) = LOWER(balance_sheet_quarter_filter!$B$2), ROW(balance_sheet_quarter[Company Name]) - ROW(INDEX(balance_sheet_quarter[Company Name], 1, 1)) + 1), ROW(91:91)), COLUMN(M:M)), "")</f>
        <v>125307948000</v>
      </c>
      <c r="O93" s="14">
        <f t="array" ref="O93">IFERROR(INDEX(balance_sheet_quarter[#All], SMALL(IF(LOWER(balance_sheet_quarter[Company Name]) = LOWER(balance_sheet_quarter_filter!$B$2), ROW(balance_sheet_quarter[Company Name]) - ROW(INDEX(balance_sheet_quarter[Company Name], 1, 1)) + 1), ROW(91:91)), COLUMN(N:N)), "")</f>
        <v>125307948000</v>
      </c>
      <c r="P93" s="14">
        <f t="array" ref="P93">IFERROR(INDEX(balance_sheet_quarter[#All], SMALL(IF(LOWER(balance_sheet_quarter[Company Name]) = LOWER(balance_sheet_quarter_filter!$B$2), ROW(balance_sheet_quarter[Company Name]) - ROW(INDEX(balance_sheet_quarter[Company Name], 1, 1)) + 1), ROW(91:91)), COLUMN(O:O)), "")</f>
        <v>125307948000</v>
      </c>
    </row>
    <row r="94" spans="3:16" x14ac:dyDescent="0.35">
      <c r="C94" t="str">
        <f t="array" ref="C94">IFERROR(INDEX(balance_sheet_quarter[#All], SMALL(IF(LOWER(balance_sheet_quarter[Company Name]) = LOWER(balance_sheet_quarter_filter!$B$2), ROW(balance_sheet_quarter[Company Name]) - ROW(INDEX(balance_sheet_quarter[Company Name], 1, 1)) + 1), ROW(92:92)), COLUMN(B:B)), "")</f>
        <v>8. Vay và nợ thuê tài chính dài hạn</v>
      </c>
      <c r="D94" s="14">
        <f t="array" ref="D94">IFERROR(INDEX(balance_sheet_quarter[#All], SMALL(IF(LOWER(balance_sheet_quarter[Company Name]) = LOWER(balance_sheet_quarter_filter!$B$2), ROW(balance_sheet_quarter[Company Name]) - ROW(INDEX(balance_sheet_quarter[Company Name], 1, 1)) + 1), ROW(92:92)), COLUMN(C:C)), "")</f>
        <v>2184544940672</v>
      </c>
      <c r="E94" s="14">
        <f t="array" ref="E94">IFERROR(INDEX(balance_sheet_quarter[#All], SMALL(IF(LOWER(balance_sheet_quarter[Company Name]) = LOWER(balance_sheet_quarter_filter!$B$2), ROW(balance_sheet_quarter[Company Name]) - ROW(INDEX(balance_sheet_quarter[Company Name], 1, 1)) + 1), ROW(92:92)), COLUMN(D:D)), "")</f>
        <v>2154961961831</v>
      </c>
      <c r="F94" s="14">
        <f t="array" ref="F94">IFERROR(INDEX(balance_sheet_quarter[#All], SMALL(IF(LOWER(balance_sheet_quarter[Company Name]) = LOWER(balance_sheet_quarter_filter!$B$2), ROW(balance_sheet_quarter[Company Name]) - ROW(INDEX(balance_sheet_quarter[Company Name], 1, 1)) + 1), ROW(92:92)), COLUMN(E:E)), "")</f>
        <v>2178841091483</v>
      </c>
      <c r="G94" s="14">
        <f t="array" ref="G94">IFERROR(INDEX(balance_sheet_quarter[#All], SMALL(IF(LOWER(balance_sheet_quarter[Company Name]) = LOWER(balance_sheet_quarter_filter!$B$2), ROW(balance_sheet_quarter[Company Name]) - ROW(INDEX(balance_sheet_quarter[Company Name], 1, 1)) + 1), ROW(92:92)), COLUMN(F:F)), "")</f>
        <v>2024863457482</v>
      </c>
      <c r="H94" s="14">
        <f t="array" ref="H94">IFERROR(INDEX(balance_sheet_quarter[#All], SMALL(IF(LOWER(balance_sheet_quarter[Company Name]) = LOWER(balance_sheet_quarter_filter!$B$2), ROW(balance_sheet_quarter[Company Name]) - ROW(INDEX(balance_sheet_quarter[Company Name], 1, 1)) + 1), ROW(92:92)), COLUMN(G:G)), "")</f>
        <v>1946332457481</v>
      </c>
      <c r="I94" s="14">
        <f t="array" ref="I94">IFERROR(INDEX(balance_sheet_quarter[#All], SMALL(IF(LOWER(balance_sheet_quarter[Company Name]) = LOWER(balance_sheet_quarter_filter!$B$2), ROW(balance_sheet_quarter[Company Name]) - ROW(INDEX(balance_sheet_quarter[Company Name], 1, 1)) + 1), ROW(92:92)), COLUMN(H:H)), "")</f>
        <v>2067154457481</v>
      </c>
      <c r="J94" s="14">
        <f t="array" ref="J94">IFERROR(INDEX(balance_sheet_quarter[#All], SMALL(IF(LOWER(balance_sheet_quarter[Company Name]) = LOWER(balance_sheet_quarter_filter!$B$2), ROW(balance_sheet_quarter[Company Name]) - ROW(INDEX(balance_sheet_quarter[Company Name], 1, 1)) + 1), ROW(92:92)), COLUMN(I:I)), "")</f>
        <v>1980484457480</v>
      </c>
      <c r="K94" s="14">
        <f t="array" ref="K94">IFERROR(INDEX(balance_sheet_quarter[#All], SMALL(IF(LOWER(balance_sheet_quarter[Company Name]) = LOWER(balance_sheet_quarter_filter!$B$2), ROW(balance_sheet_quarter[Company Name]) - ROW(INDEX(balance_sheet_quarter[Company Name], 1, 1)) + 1), ROW(92:92)), COLUMN(J:J)), "")</f>
        <v>1884877490662</v>
      </c>
      <c r="L94" s="14">
        <f t="array" ref="L94">IFERROR(INDEX(balance_sheet_quarter[#All], SMALL(IF(LOWER(balance_sheet_quarter[Company Name]) = LOWER(balance_sheet_quarter_filter!$B$2), ROW(balance_sheet_quarter[Company Name]) - ROW(INDEX(balance_sheet_quarter[Company Name], 1, 1)) + 1), ROW(92:92)), COLUMN(K:K)), "")</f>
        <v>1939633300077</v>
      </c>
      <c r="M94" s="14">
        <f t="array" ref="M94">IFERROR(INDEX(balance_sheet_quarter[#All], SMALL(IF(LOWER(balance_sheet_quarter[Company Name]) = LOWER(balance_sheet_quarter_filter!$B$2), ROW(balance_sheet_quarter[Company Name]) - ROW(INDEX(balance_sheet_quarter[Company Name], 1, 1)) + 1), ROW(92:92)), COLUMN(L:L)), "")</f>
        <v>1883603300077</v>
      </c>
      <c r="N94" s="14">
        <f t="array" ref="N94">IFERROR(INDEX(balance_sheet_quarter[#All], SMALL(IF(LOWER(balance_sheet_quarter[Company Name]) = LOWER(balance_sheet_quarter_filter!$B$2), ROW(balance_sheet_quarter[Company Name]) - ROW(INDEX(balance_sheet_quarter[Company Name], 1, 1)) + 1), ROW(92:92)), COLUMN(M:M)), "")</f>
        <v>2045767486523</v>
      </c>
      <c r="O94" s="14">
        <f t="array" ref="O94">IFERROR(INDEX(balance_sheet_quarter[#All], SMALL(IF(LOWER(balance_sheet_quarter[Company Name]) = LOWER(balance_sheet_quarter_filter!$B$2), ROW(balance_sheet_quarter[Company Name]) - ROW(INDEX(balance_sheet_quarter[Company Name], 1, 1)) + 1), ROW(92:92)), COLUMN(N:N)), "")</f>
        <v>1981257486523</v>
      </c>
      <c r="P94" s="14">
        <f t="array" ref="P94">IFERROR(INDEX(balance_sheet_quarter[#All], SMALL(IF(LOWER(balance_sheet_quarter[Company Name]) = LOWER(balance_sheet_quarter_filter!$B$2), ROW(balance_sheet_quarter[Company Name]) - ROW(INDEX(balance_sheet_quarter[Company Name], 1, 1)) + 1), ROW(92:92)), COLUMN(O:O)), "")</f>
        <v>1916607486522</v>
      </c>
    </row>
    <row r="95" spans="3:16" x14ac:dyDescent="0.35">
      <c r="C95" t="str">
        <f t="array" ref="C95">IFERROR(INDEX(balance_sheet_quarter[#All], SMALL(IF(LOWER(balance_sheet_quarter[Company Name]) = LOWER(balance_sheet_quarter_filter!$B$2), ROW(balance_sheet_quarter[Company Name]) - ROW(INDEX(balance_sheet_quarter[Company Name], 1, 1)) + 1), ROW(93:93)), COLUMN(B:B)), "")</f>
        <v>9. Trái phiếu chuyển đổi</v>
      </c>
      <c r="D95" s="14">
        <f t="array" ref="D95">IFERROR(INDEX(balance_sheet_quarter[#All], SMALL(IF(LOWER(balance_sheet_quarter[Company Name]) = LOWER(balance_sheet_quarter_filter!$B$2), ROW(balance_sheet_quarter[Company Name]) - ROW(INDEX(balance_sheet_quarter[Company Name], 1, 1)) + 1), ROW(93:93)), COLUMN(C:C)), "")</f>
        <v>0</v>
      </c>
      <c r="E95" s="14">
        <f t="array" ref="E95">IFERROR(INDEX(balance_sheet_quarter[#All], SMALL(IF(LOWER(balance_sheet_quarter[Company Name]) = LOWER(balance_sheet_quarter_filter!$B$2), ROW(balance_sheet_quarter[Company Name]) - ROW(INDEX(balance_sheet_quarter[Company Name], 1, 1)) + 1), ROW(93:93)), COLUMN(D:D)), "")</f>
        <v>0</v>
      </c>
      <c r="F95" s="14">
        <f t="array" ref="F95">IFERROR(INDEX(balance_sheet_quarter[#All], SMALL(IF(LOWER(balance_sheet_quarter[Company Name]) = LOWER(balance_sheet_quarter_filter!$B$2), ROW(balance_sheet_quarter[Company Name]) - ROW(INDEX(balance_sheet_quarter[Company Name], 1, 1)) + 1), ROW(93:93)), COLUMN(E:E)), "")</f>
        <v>0</v>
      </c>
      <c r="G95" s="14">
        <f t="array" ref="G95">IFERROR(INDEX(balance_sheet_quarter[#All], SMALL(IF(LOWER(balance_sheet_quarter[Company Name]) = LOWER(balance_sheet_quarter_filter!$B$2), ROW(balance_sheet_quarter[Company Name]) - ROW(INDEX(balance_sheet_quarter[Company Name], 1, 1)) + 1), ROW(93:93)), COLUMN(F:F)), "")</f>
        <v>0</v>
      </c>
      <c r="H95" s="14">
        <f t="array" ref="H95">IFERROR(INDEX(balance_sheet_quarter[#All], SMALL(IF(LOWER(balance_sheet_quarter[Company Name]) = LOWER(balance_sheet_quarter_filter!$B$2), ROW(balance_sheet_quarter[Company Name]) - ROW(INDEX(balance_sheet_quarter[Company Name], 1, 1)) + 1), ROW(93:93)), COLUMN(G:G)), "")</f>
        <v>0</v>
      </c>
      <c r="I95" s="14">
        <f t="array" ref="I95">IFERROR(INDEX(balance_sheet_quarter[#All], SMALL(IF(LOWER(balance_sheet_quarter[Company Name]) = LOWER(balance_sheet_quarter_filter!$B$2), ROW(balance_sheet_quarter[Company Name]) - ROW(INDEX(balance_sheet_quarter[Company Name], 1, 1)) + 1), ROW(93:93)), COLUMN(H:H)), "")</f>
        <v>0</v>
      </c>
      <c r="J95" s="14">
        <f t="array" ref="J95">IFERROR(INDEX(balance_sheet_quarter[#All], SMALL(IF(LOWER(balance_sheet_quarter[Company Name]) = LOWER(balance_sheet_quarter_filter!$B$2), ROW(balance_sheet_quarter[Company Name]) - ROW(INDEX(balance_sheet_quarter[Company Name], 1, 1)) + 1), ROW(93:93)), COLUMN(I:I)), "")</f>
        <v>0</v>
      </c>
      <c r="K95" s="14">
        <f t="array" ref="K95">IFERROR(INDEX(balance_sheet_quarter[#All], SMALL(IF(LOWER(balance_sheet_quarter[Company Name]) = LOWER(balance_sheet_quarter_filter!$B$2), ROW(balance_sheet_quarter[Company Name]) - ROW(INDEX(balance_sheet_quarter[Company Name], 1, 1)) + 1), ROW(93:93)), COLUMN(J:J)), "")</f>
        <v>0</v>
      </c>
      <c r="L95" s="14">
        <f t="array" ref="L95">IFERROR(INDEX(balance_sheet_quarter[#All], SMALL(IF(LOWER(balance_sheet_quarter[Company Name]) = LOWER(balance_sheet_quarter_filter!$B$2), ROW(balance_sheet_quarter[Company Name]) - ROW(INDEX(balance_sheet_quarter[Company Name], 1, 1)) + 1), ROW(93:93)), COLUMN(K:K)), "")</f>
        <v>0</v>
      </c>
      <c r="M95" s="14">
        <f t="array" ref="M95">IFERROR(INDEX(balance_sheet_quarter[#All], SMALL(IF(LOWER(balance_sheet_quarter[Company Name]) = LOWER(balance_sheet_quarter_filter!$B$2), ROW(balance_sheet_quarter[Company Name]) - ROW(INDEX(balance_sheet_quarter[Company Name], 1, 1)) + 1), ROW(93:93)), COLUMN(L:L)), "")</f>
        <v>0</v>
      </c>
      <c r="N95" s="14">
        <f t="array" ref="N95">IFERROR(INDEX(balance_sheet_quarter[#All], SMALL(IF(LOWER(balance_sheet_quarter[Company Name]) = LOWER(balance_sheet_quarter_filter!$B$2), ROW(balance_sheet_quarter[Company Name]) - ROW(INDEX(balance_sheet_quarter[Company Name], 1, 1)) + 1), ROW(93:93)), COLUMN(M:M)), "")</f>
        <v>0</v>
      </c>
      <c r="O95" s="14">
        <f t="array" ref="O95">IFERROR(INDEX(balance_sheet_quarter[#All], SMALL(IF(LOWER(balance_sheet_quarter[Company Name]) = LOWER(balance_sheet_quarter_filter!$B$2), ROW(balance_sheet_quarter[Company Name]) - ROW(INDEX(balance_sheet_quarter[Company Name], 1, 1)) + 1), ROW(93:93)), COLUMN(N:N)), "")</f>
        <v>0</v>
      </c>
      <c r="P95" s="14">
        <f t="array" ref="P95">IFERROR(INDEX(balance_sheet_quarter[#All], SMALL(IF(LOWER(balance_sheet_quarter[Company Name]) = LOWER(balance_sheet_quarter_filter!$B$2), ROW(balance_sheet_quarter[Company Name]) - ROW(INDEX(balance_sheet_quarter[Company Name], 1, 1)) + 1), ROW(93:93)), COLUMN(O:O)), "")</f>
        <v>0</v>
      </c>
    </row>
    <row r="96" spans="3:16" x14ac:dyDescent="0.35">
      <c r="C96" t="str">
        <f t="array" ref="C96">IFERROR(INDEX(balance_sheet_quarter[#All], SMALL(IF(LOWER(balance_sheet_quarter[Company Name]) = LOWER(balance_sheet_quarter_filter!$B$2), ROW(balance_sheet_quarter[Company Name]) - ROW(INDEX(balance_sheet_quarter[Company Name], 1, 1)) + 1), ROW(94:94)), COLUMN(B:B)), "")</f>
        <v>10. Cổ phiếu ưu đãi</v>
      </c>
      <c r="D96" s="14">
        <f t="array" ref="D96">IFERROR(INDEX(balance_sheet_quarter[#All], SMALL(IF(LOWER(balance_sheet_quarter[Company Name]) = LOWER(balance_sheet_quarter_filter!$B$2), ROW(balance_sheet_quarter[Company Name]) - ROW(INDEX(balance_sheet_quarter[Company Name], 1, 1)) + 1), ROW(94:94)), COLUMN(C:C)), "")</f>
        <v>0</v>
      </c>
      <c r="E96" s="14">
        <f t="array" ref="E96">IFERROR(INDEX(balance_sheet_quarter[#All], SMALL(IF(LOWER(balance_sheet_quarter[Company Name]) = LOWER(balance_sheet_quarter_filter!$B$2), ROW(balance_sheet_quarter[Company Name]) - ROW(INDEX(balance_sheet_quarter[Company Name], 1, 1)) + 1), ROW(94:94)), COLUMN(D:D)), "")</f>
        <v>0</v>
      </c>
      <c r="F96" s="14">
        <f t="array" ref="F96">IFERROR(INDEX(balance_sheet_quarter[#All], SMALL(IF(LOWER(balance_sheet_quarter[Company Name]) = LOWER(balance_sheet_quarter_filter!$B$2), ROW(balance_sheet_quarter[Company Name]) - ROW(INDEX(balance_sheet_quarter[Company Name], 1, 1)) + 1), ROW(94:94)), COLUMN(E:E)), "")</f>
        <v>0</v>
      </c>
      <c r="G96" s="14">
        <f t="array" ref="G96">IFERROR(INDEX(balance_sheet_quarter[#All], SMALL(IF(LOWER(balance_sheet_quarter[Company Name]) = LOWER(balance_sheet_quarter_filter!$B$2), ROW(balance_sheet_quarter[Company Name]) - ROW(INDEX(balance_sheet_quarter[Company Name], 1, 1)) + 1), ROW(94:94)), COLUMN(F:F)), "")</f>
        <v>0</v>
      </c>
      <c r="H96" s="14">
        <f t="array" ref="H96">IFERROR(INDEX(balance_sheet_quarter[#All], SMALL(IF(LOWER(balance_sheet_quarter[Company Name]) = LOWER(balance_sheet_quarter_filter!$B$2), ROW(balance_sheet_quarter[Company Name]) - ROW(INDEX(balance_sheet_quarter[Company Name], 1, 1)) + 1), ROW(94:94)), COLUMN(G:G)), "")</f>
        <v>0</v>
      </c>
      <c r="I96" s="14">
        <f t="array" ref="I96">IFERROR(INDEX(balance_sheet_quarter[#All], SMALL(IF(LOWER(balance_sheet_quarter[Company Name]) = LOWER(balance_sheet_quarter_filter!$B$2), ROW(balance_sheet_quarter[Company Name]) - ROW(INDEX(balance_sheet_quarter[Company Name], 1, 1)) + 1), ROW(94:94)), COLUMN(H:H)), "")</f>
        <v>0</v>
      </c>
      <c r="J96" s="14">
        <f t="array" ref="J96">IFERROR(INDEX(balance_sheet_quarter[#All], SMALL(IF(LOWER(balance_sheet_quarter[Company Name]) = LOWER(balance_sheet_quarter_filter!$B$2), ROW(balance_sheet_quarter[Company Name]) - ROW(INDEX(balance_sheet_quarter[Company Name], 1, 1)) + 1), ROW(94:94)), COLUMN(I:I)), "")</f>
        <v>0</v>
      </c>
      <c r="K96" s="14">
        <f t="array" ref="K96">IFERROR(INDEX(balance_sheet_quarter[#All], SMALL(IF(LOWER(balance_sheet_quarter[Company Name]) = LOWER(balance_sheet_quarter_filter!$B$2), ROW(balance_sheet_quarter[Company Name]) - ROW(INDEX(balance_sheet_quarter[Company Name], 1, 1)) + 1), ROW(94:94)), COLUMN(J:J)), "")</f>
        <v>0</v>
      </c>
      <c r="L96" s="14">
        <f t="array" ref="L96">IFERROR(INDEX(balance_sheet_quarter[#All], SMALL(IF(LOWER(balance_sheet_quarter[Company Name]) = LOWER(balance_sheet_quarter_filter!$B$2), ROW(balance_sheet_quarter[Company Name]) - ROW(INDEX(balance_sheet_quarter[Company Name], 1, 1)) + 1), ROW(94:94)), COLUMN(K:K)), "")</f>
        <v>0</v>
      </c>
      <c r="M96" s="14">
        <f t="array" ref="M96">IFERROR(INDEX(balance_sheet_quarter[#All], SMALL(IF(LOWER(balance_sheet_quarter[Company Name]) = LOWER(balance_sheet_quarter_filter!$B$2), ROW(balance_sheet_quarter[Company Name]) - ROW(INDEX(balance_sheet_quarter[Company Name], 1, 1)) + 1), ROW(94:94)), COLUMN(L:L)), "")</f>
        <v>0</v>
      </c>
      <c r="N96" s="14">
        <f t="array" ref="N96">IFERROR(INDEX(balance_sheet_quarter[#All], SMALL(IF(LOWER(balance_sheet_quarter[Company Name]) = LOWER(balance_sheet_quarter_filter!$B$2), ROW(balance_sheet_quarter[Company Name]) - ROW(INDEX(balance_sheet_quarter[Company Name], 1, 1)) + 1), ROW(94:94)), COLUMN(M:M)), "")</f>
        <v>0</v>
      </c>
      <c r="O96" s="14">
        <f t="array" ref="O96">IFERROR(INDEX(balance_sheet_quarter[#All], SMALL(IF(LOWER(balance_sheet_quarter[Company Name]) = LOWER(balance_sheet_quarter_filter!$B$2), ROW(balance_sheet_quarter[Company Name]) - ROW(INDEX(balance_sheet_quarter[Company Name], 1, 1)) + 1), ROW(94:94)), COLUMN(N:N)), "")</f>
        <v>0</v>
      </c>
      <c r="P96" s="14">
        <f t="array" ref="P96">IFERROR(INDEX(balance_sheet_quarter[#All], SMALL(IF(LOWER(balance_sheet_quarter[Company Name]) = LOWER(balance_sheet_quarter_filter!$B$2), ROW(balance_sheet_quarter[Company Name]) - ROW(INDEX(balance_sheet_quarter[Company Name], 1, 1)) + 1), ROW(94:94)), COLUMN(O:O)), "")</f>
        <v>0</v>
      </c>
    </row>
    <row r="97" spans="3:16" x14ac:dyDescent="0.35">
      <c r="C97" t="str">
        <f t="array" ref="C97">IFERROR(INDEX(balance_sheet_quarter[#All], SMALL(IF(LOWER(balance_sheet_quarter[Company Name]) = LOWER(balance_sheet_quarter_filter!$B$2), ROW(balance_sheet_quarter[Company Name]) - ROW(INDEX(balance_sheet_quarter[Company Name], 1, 1)) + 1), ROW(95:95)), COLUMN(B:B)), "")</f>
        <v>11. Thuế thu nhập hoãn lại phải trả</v>
      </c>
      <c r="D97" s="14">
        <f t="array" ref="D97">IFERROR(INDEX(balance_sheet_quarter[#All], SMALL(IF(LOWER(balance_sheet_quarter[Company Name]) = LOWER(balance_sheet_quarter_filter!$B$2), ROW(balance_sheet_quarter[Company Name]) - ROW(INDEX(balance_sheet_quarter[Company Name], 1, 1)) + 1), ROW(95:95)), COLUMN(C:C)), "")</f>
        <v>0</v>
      </c>
      <c r="E97" s="14">
        <f t="array" ref="E97">IFERROR(INDEX(balance_sheet_quarter[#All], SMALL(IF(LOWER(balance_sheet_quarter[Company Name]) = LOWER(balance_sheet_quarter_filter!$B$2), ROW(balance_sheet_quarter[Company Name]) - ROW(INDEX(balance_sheet_quarter[Company Name], 1, 1)) + 1), ROW(95:95)), COLUMN(D:D)), "")</f>
        <v>0</v>
      </c>
      <c r="F97" s="14">
        <f t="array" ref="F97">IFERROR(INDEX(balance_sheet_quarter[#All], SMALL(IF(LOWER(balance_sheet_quarter[Company Name]) = LOWER(balance_sheet_quarter_filter!$B$2), ROW(balance_sheet_quarter[Company Name]) - ROW(INDEX(balance_sheet_quarter[Company Name], 1, 1)) + 1), ROW(95:95)), COLUMN(E:E)), "")</f>
        <v>0</v>
      </c>
      <c r="G97" s="14">
        <f t="array" ref="G97">IFERROR(INDEX(balance_sheet_quarter[#All], SMALL(IF(LOWER(balance_sheet_quarter[Company Name]) = LOWER(balance_sheet_quarter_filter!$B$2), ROW(balance_sheet_quarter[Company Name]) - ROW(INDEX(balance_sheet_quarter[Company Name], 1, 1)) + 1), ROW(95:95)), COLUMN(F:F)), "")</f>
        <v>0</v>
      </c>
      <c r="H97" s="14">
        <f t="array" ref="H97">IFERROR(INDEX(balance_sheet_quarter[#All], SMALL(IF(LOWER(balance_sheet_quarter[Company Name]) = LOWER(balance_sheet_quarter_filter!$B$2), ROW(balance_sheet_quarter[Company Name]) - ROW(INDEX(balance_sheet_quarter[Company Name], 1, 1)) + 1), ROW(95:95)), COLUMN(G:G)), "")</f>
        <v>0</v>
      </c>
      <c r="I97" s="14">
        <f t="array" ref="I97">IFERROR(INDEX(balance_sheet_quarter[#All], SMALL(IF(LOWER(balance_sheet_quarter[Company Name]) = LOWER(balance_sheet_quarter_filter!$B$2), ROW(balance_sheet_quarter[Company Name]) - ROW(INDEX(balance_sheet_quarter[Company Name], 1, 1)) + 1), ROW(95:95)), COLUMN(H:H)), "")</f>
        <v>0</v>
      </c>
      <c r="J97" s="14">
        <f t="array" ref="J97">IFERROR(INDEX(balance_sheet_quarter[#All], SMALL(IF(LOWER(balance_sheet_quarter[Company Name]) = LOWER(balance_sheet_quarter_filter!$B$2), ROW(balance_sheet_quarter[Company Name]) - ROW(INDEX(balance_sheet_quarter[Company Name], 1, 1)) + 1), ROW(95:95)), COLUMN(I:I)), "")</f>
        <v>0</v>
      </c>
      <c r="K97" s="14">
        <f t="array" ref="K97">IFERROR(INDEX(balance_sheet_quarter[#All], SMALL(IF(LOWER(balance_sheet_quarter[Company Name]) = LOWER(balance_sheet_quarter_filter!$B$2), ROW(balance_sheet_quarter[Company Name]) - ROW(INDEX(balance_sheet_quarter[Company Name], 1, 1)) + 1), ROW(95:95)), COLUMN(J:J)), "")</f>
        <v>0</v>
      </c>
      <c r="L97" s="14">
        <f t="array" ref="L97">IFERROR(INDEX(balance_sheet_quarter[#All], SMALL(IF(LOWER(balance_sheet_quarter[Company Name]) = LOWER(balance_sheet_quarter_filter!$B$2), ROW(balance_sheet_quarter[Company Name]) - ROW(INDEX(balance_sheet_quarter[Company Name], 1, 1)) + 1), ROW(95:95)), COLUMN(K:K)), "")</f>
        <v>0</v>
      </c>
      <c r="M97" s="14">
        <f t="array" ref="M97">IFERROR(INDEX(balance_sheet_quarter[#All], SMALL(IF(LOWER(balance_sheet_quarter[Company Name]) = LOWER(balance_sheet_quarter_filter!$B$2), ROW(balance_sheet_quarter[Company Name]) - ROW(INDEX(balance_sheet_quarter[Company Name], 1, 1)) + 1), ROW(95:95)), COLUMN(L:L)), "")</f>
        <v>0</v>
      </c>
      <c r="N97" s="14">
        <f t="array" ref="N97">IFERROR(INDEX(balance_sheet_quarter[#All], SMALL(IF(LOWER(balance_sheet_quarter[Company Name]) = LOWER(balance_sheet_quarter_filter!$B$2), ROW(balance_sheet_quarter[Company Name]) - ROW(INDEX(balance_sheet_quarter[Company Name], 1, 1)) + 1), ROW(95:95)), COLUMN(M:M)), "")</f>
        <v>0</v>
      </c>
      <c r="O97" s="14">
        <f t="array" ref="O97">IFERROR(INDEX(balance_sheet_quarter[#All], SMALL(IF(LOWER(balance_sheet_quarter[Company Name]) = LOWER(balance_sheet_quarter_filter!$B$2), ROW(balance_sheet_quarter[Company Name]) - ROW(INDEX(balance_sheet_quarter[Company Name], 1, 1)) + 1), ROW(95:95)), COLUMN(N:N)), "")</f>
        <v>0</v>
      </c>
      <c r="P97" s="14">
        <f t="array" ref="P97">IFERROR(INDEX(balance_sheet_quarter[#All], SMALL(IF(LOWER(balance_sheet_quarter[Company Name]) = LOWER(balance_sheet_quarter_filter!$B$2), ROW(balance_sheet_quarter[Company Name]) - ROW(INDEX(balance_sheet_quarter[Company Name], 1, 1)) + 1), ROW(95:95)), COLUMN(O:O)), "")</f>
        <v>0</v>
      </c>
    </row>
    <row r="98" spans="3:16" x14ac:dyDescent="0.35">
      <c r="C98" t="str">
        <f t="array" ref="C98">IFERROR(INDEX(balance_sheet_quarter[#All], SMALL(IF(LOWER(balance_sheet_quarter[Company Name]) = LOWER(balance_sheet_quarter_filter!$B$2), ROW(balance_sheet_quarter[Company Name]) - ROW(INDEX(balance_sheet_quarter[Company Name], 1, 1)) + 1), ROW(96:96)), COLUMN(B:B)), "")</f>
        <v>12. Dự phòng phải trả dài hạn</v>
      </c>
      <c r="D98" s="14">
        <f t="array" ref="D98">IFERROR(INDEX(balance_sheet_quarter[#All], SMALL(IF(LOWER(balance_sheet_quarter[Company Name]) = LOWER(balance_sheet_quarter_filter!$B$2), ROW(balance_sheet_quarter[Company Name]) - ROW(INDEX(balance_sheet_quarter[Company Name], 1, 1)) + 1), ROW(96:96)), COLUMN(C:C)), "")</f>
        <v>0</v>
      </c>
      <c r="E98" s="14">
        <f t="array" ref="E98">IFERROR(INDEX(balance_sheet_quarter[#All], SMALL(IF(LOWER(balance_sheet_quarter[Company Name]) = LOWER(balance_sheet_quarter_filter!$B$2), ROW(balance_sheet_quarter[Company Name]) - ROW(INDEX(balance_sheet_quarter[Company Name], 1, 1)) + 1), ROW(96:96)), COLUMN(D:D)), "")</f>
        <v>0</v>
      </c>
      <c r="F98" s="14">
        <f t="array" ref="F98">IFERROR(INDEX(balance_sheet_quarter[#All], SMALL(IF(LOWER(balance_sheet_quarter[Company Name]) = LOWER(balance_sheet_quarter_filter!$B$2), ROW(balance_sheet_quarter[Company Name]) - ROW(INDEX(balance_sheet_quarter[Company Name], 1, 1)) + 1), ROW(96:96)), COLUMN(E:E)), "")</f>
        <v>0</v>
      </c>
      <c r="G98" s="14">
        <f t="array" ref="G98">IFERROR(INDEX(balance_sheet_quarter[#All], SMALL(IF(LOWER(balance_sheet_quarter[Company Name]) = LOWER(balance_sheet_quarter_filter!$B$2), ROW(balance_sheet_quarter[Company Name]) - ROW(INDEX(balance_sheet_quarter[Company Name], 1, 1)) + 1), ROW(96:96)), COLUMN(F:F)), "")</f>
        <v>0</v>
      </c>
      <c r="H98" s="14">
        <f t="array" ref="H98">IFERROR(INDEX(balance_sheet_quarter[#All], SMALL(IF(LOWER(balance_sheet_quarter[Company Name]) = LOWER(balance_sheet_quarter_filter!$B$2), ROW(balance_sheet_quarter[Company Name]) - ROW(INDEX(balance_sheet_quarter[Company Name], 1, 1)) + 1), ROW(96:96)), COLUMN(G:G)), "")</f>
        <v>0</v>
      </c>
      <c r="I98" s="14">
        <f t="array" ref="I98">IFERROR(INDEX(balance_sheet_quarter[#All], SMALL(IF(LOWER(balance_sheet_quarter[Company Name]) = LOWER(balance_sheet_quarter_filter!$B$2), ROW(balance_sheet_quarter[Company Name]) - ROW(INDEX(balance_sheet_quarter[Company Name], 1, 1)) + 1), ROW(96:96)), COLUMN(H:H)), "")</f>
        <v>0</v>
      </c>
      <c r="J98" s="14">
        <f t="array" ref="J98">IFERROR(INDEX(balance_sheet_quarter[#All], SMALL(IF(LOWER(balance_sheet_quarter[Company Name]) = LOWER(balance_sheet_quarter_filter!$B$2), ROW(balance_sheet_quarter[Company Name]) - ROW(INDEX(balance_sheet_quarter[Company Name], 1, 1)) + 1), ROW(96:96)), COLUMN(I:I)), "")</f>
        <v>0</v>
      </c>
      <c r="K98" s="14">
        <f t="array" ref="K98">IFERROR(INDEX(balance_sheet_quarter[#All], SMALL(IF(LOWER(balance_sheet_quarter[Company Name]) = LOWER(balance_sheet_quarter_filter!$B$2), ROW(balance_sheet_quarter[Company Name]) - ROW(INDEX(balance_sheet_quarter[Company Name], 1, 1)) + 1), ROW(96:96)), COLUMN(J:J)), "")</f>
        <v>0</v>
      </c>
      <c r="L98" s="14">
        <f t="array" ref="L98">IFERROR(INDEX(balance_sheet_quarter[#All], SMALL(IF(LOWER(balance_sheet_quarter[Company Name]) = LOWER(balance_sheet_quarter_filter!$B$2), ROW(balance_sheet_quarter[Company Name]) - ROW(INDEX(balance_sheet_quarter[Company Name], 1, 1)) + 1), ROW(96:96)), COLUMN(K:K)), "")</f>
        <v>0</v>
      </c>
      <c r="M98" s="14">
        <f t="array" ref="M98">IFERROR(INDEX(balance_sheet_quarter[#All], SMALL(IF(LOWER(balance_sheet_quarter[Company Name]) = LOWER(balance_sheet_quarter_filter!$B$2), ROW(balance_sheet_quarter[Company Name]) - ROW(INDEX(balance_sheet_quarter[Company Name], 1, 1)) + 1), ROW(96:96)), COLUMN(L:L)), "")</f>
        <v>0</v>
      </c>
      <c r="N98" s="14">
        <f t="array" ref="N98">IFERROR(INDEX(balance_sheet_quarter[#All], SMALL(IF(LOWER(balance_sheet_quarter[Company Name]) = LOWER(balance_sheet_quarter_filter!$B$2), ROW(balance_sheet_quarter[Company Name]) - ROW(INDEX(balance_sheet_quarter[Company Name], 1, 1)) + 1), ROW(96:96)), COLUMN(M:M)), "")</f>
        <v>0</v>
      </c>
      <c r="O98" s="14">
        <f t="array" ref="O98">IFERROR(INDEX(balance_sheet_quarter[#All], SMALL(IF(LOWER(balance_sheet_quarter[Company Name]) = LOWER(balance_sheet_quarter_filter!$B$2), ROW(balance_sheet_quarter[Company Name]) - ROW(INDEX(balance_sheet_quarter[Company Name], 1, 1)) + 1), ROW(96:96)), COLUMN(N:N)), "")</f>
        <v>0</v>
      </c>
      <c r="P98" s="14">
        <f t="array" ref="P98">IFERROR(INDEX(balance_sheet_quarter[#All], SMALL(IF(LOWER(balance_sheet_quarter[Company Name]) = LOWER(balance_sheet_quarter_filter!$B$2), ROW(balance_sheet_quarter[Company Name]) - ROW(INDEX(balance_sheet_quarter[Company Name], 1, 1)) + 1), ROW(96:96)), COLUMN(O:O)), "")</f>
        <v>0</v>
      </c>
    </row>
    <row r="99" spans="3:16" x14ac:dyDescent="0.35">
      <c r="C99" t="str">
        <f t="array" ref="C99">IFERROR(INDEX(balance_sheet_quarter[#All], SMALL(IF(LOWER(balance_sheet_quarter[Company Name]) = LOWER(balance_sheet_quarter_filter!$B$2), ROW(balance_sheet_quarter[Company Name]) - ROW(INDEX(balance_sheet_quarter[Company Name], 1, 1)) + 1), ROW(97:97)), COLUMN(B:B)), "")</f>
        <v>13. Quỹ phát triển khoa học và công nghệ</v>
      </c>
      <c r="D99" s="14">
        <f t="array" ref="D99">IFERROR(INDEX(balance_sheet_quarter[#All], SMALL(IF(LOWER(balance_sheet_quarter[Company Name]) = LOWER(balance_sheet_quarter_filter!$B$2), ROW(balance_sheet_quarter[Company Name]) - ROW(INDEX(balance_sheet_quarter[Company Name], 1, 1)) + 1), ROW(97:97)), COLUMN(C:C)), "")</f>
        <v>0</v>
      </c>
      <c r="E99" s="14">
        <f t="array" ref="E99">IFERROR(INDEX(balance_sheet_quarter[#All], SMALL(IF(LOWER(balance_sheet_quarter[Company Name]) = LOWER(balance_sheet_quarter_filter!$B$2), ROW(balance_sheet_quarter[Company Name]) - ROW(INDEX(balance_sheet_quarter[Company Name], 1, 1)) + 1), ROW(97:97)), COLUMN(D:D)), "")</f>
        <v>0</v>
      </c>
      <c r="F99" s="14">
        <f t="array" ref="F99">IFERROR(INDEX(balance_sheet_quarter[#All], SMALL(IF(LOWER(balance_sheet_quarter[Company Name]) = LOWER(balance_sheet_quarter_filter!$B$2), ROW(balance_sheet_quarter[Company Name]) - ROW(INDEX(balance_sheet_quarter[Company Name], 1, 1)) + 1), ROW(97:97)), COLUMN(E:E)), "")</f>
        <v>0</v>
      </c>
      <c r="G99" s="14">
        <f t="array" ref="G99">IFERROR(INDEX(balance_sheet_quarter[#All], SMALL(IF(LOWER(balance_sheet_quarter[Company Name]) = LOWER(balance_sheet_quarter_filter!$B$2), ROW(balance_sheet_quarter[Company Name]) - ROW(INDEX(balance_sheet_quarter[Company Name], 1, 1)) + 1), ROW(97:97)), COLUMN(F:F)), "")</f>
        <v>0</v>
      </c>
      <c r="H99" s="14">
        <f t="array" ref="H99">IFERROR(INDEX(balance_sheet_quarter[#All], SMALL(IF(LOWER(balance_sheet_quarter[Company Name]) = LOWER(balance_sheet_quarter_filter!$B$2), ROW(balance_sheet_quarter[Company Name]) - ROW(INDEX(balance_sheet_quarter[Company Name], 1, 1)) + 1), ROW(97:97)), COLUMN(G:G)), "")</f>
        <v>0</v>
      </c>
      <c r="I99" s="14">
        <f t="array" ref="I99">IFERROR(INDEX(balance_sheet_quarter[#All], SMALL(IF(LOWER(balance_sheet_quarter[Company Name]) = LOWER(balance_sheet_quarter_filter!$B$2), ROW(balance_sheet_quarter[Company Name]) - ROW(INDEX(balance_sheet_quarter[Company Name], 1, 1)) + 1), ROW(97:97)), COLUMN(H:H)), "")</f>
        <v>0</v>
      </c>
      <c r="J99" s="14">
        <f t="array" ref="J99">IFERROR(INDEX(balance_sheet_quarter[#All], SMALL(IF(LOWER(balance_sheet_quarter[Company Name]) = LOWER(balance_sheet_quarter_filter!$B$2), ROW(balance_sheet_quarter[Company Name]) - ROW(INDEX(balance_sheet_quarter[Company Name], 1, 1)) + 1), ROW(97:97)), COLUMN(I:I)), "")</f>
        <v>0</v>
      </c>
      <c r="K99" s="14">
        <f t="array" ref="K99">IFERROR(INDEX(balance_sheet_quarter[#All], SMALL(IF(LOWER(balance_sheet_quarter[Company Name]) = LOWER(balance_sheet_quarter_filter!$B$2), ROW(balance_sheet_quarter[Company Name]) - ROW(INDEX(balance_sheet_quarter[Company Name], 1, 1)) + 1), ROW(97:97)), COLUMN(J:J)), "")</f>
        <v>0</v>
      </c>
      <c r="L99" s="14">
        <f t="array" ref="L99">IFERROR(INDEX(balance_sheet_quarter[#All], SMALL(IF(LOWER(balance_sheet_quarter[Company Name]) = LOWER(balance_sheet_quarter_filter!$B$2), ROW(balance_sheet_quarter[Company Name]) - ROW(INDEX(balance_sheet_quarter[Company Name], 1, 1)) + 1), ROW(97:97)), COLUMN(K:K)), "")</f>
        <v>0</v>
      </c>
      <c r="M99" s="14">
        <f t="array" ref="M99">IFERROR(INDEX(balance_sheet_quarter[#All], SMALL(IF(LOWER(balance_sheet_quarter[Company Name]) = LOWER(balance_sheet_quarter_filter!$B$2), ROW(balance_sheet_quarter[Company Name]) - ROW(INDEX(balance_sheet_quarter[Company Name], 1, 1)) + 1), ROW(97:97)), COLUMN(L:L)), "")</f>
        <v>0</v>
      </c>
      <c r="N99" s="14">
        <f t="array" ref="N99">IFERROR(INDEX(balance_sheet_quarter[#All], SMALL(IF(LOWER(balance_sheet_quarter[Company Name]) = LOWER(balance_sheet_quarter_filter!$B$2), ROW(balance_sheet_quarter[Company Name]) - ROW(INDEX(balance_sheet_quarter[Company Name], 1, 1)) + 1), ROW(97:97)), COLUMN(M:M)), "")</f>
        <v>0</v>
      </c>
      <c r="O99" s="14">
        <f t="array" ref="O99">IFERROR(INDEX(balance_sheet_quarter[#All], SMALL(IF(LOWER(balance_sheet_quarter[Company Name]) = LOWER(balance_sheet_quarter_filter!$B$2), ROW(balance_sheet_quarter[Company Name]) - ROW(INDEX(balance_sheet_quarter[Company Name], 1, 1)) + 1), ROW(97:97)), COLUMN(N:N)), "")</f>
        <v>0</v>
      </c>
      <c r="P99" s="14">
        <f t="array" ref="P99">IFERROR(INDEX(balance_sheet_quarter[#All], SMALL(IF(LOWER(balance_sheet_quarter[Company Name]) = LOWER(balance_sheet_quarter_filter!$B$2), ROW(balance_sheet_quarter[Company Name]) - ROW(INDEX(balance_sheet_quarter[Company Name], 1, 1)) + 1), ROW(97:97)), COLUMN(O:O)), "")</f>
        <v>0</v>
      </c>
    </row>
    <row r="100" spans="3:16" x14ac:dyDescent="0.35">
      <c r="C100" t="str">
        <f t="array" ref="C100">IFERROR(INDEX(balance_sheet_quarter[#All], SMALL(IF(LOWER(balance_sheet_quarter[Company Name]) = LOWER(balance_sheet_quarter_filter!$B$2), ROW(balance_sheet_quarter[Company Name]) - ROW(INDEX(balance_sheet_quarter[Company Name], 1, 1)) + 1), ROW(98:98)), COLUMN(B:B)), "")</f>
        <v>D.VỐN CHỦ SỞ HỮU</v>
      </c>
      <c r="D100" s="14">
        <f t="array" ref="D100">IFERROR(INDEX(balance_sheet_quarter[#All], SMALL(IF(LOWER(balance_sheet_quarter[Company Name]) = LOWER(balance_sheet_quarter_filter!$B$2), ROW(balance_sheet_quarter[Company Name]) - ROW(INDEX(balance_sheet_quarter[Company Name], 1, 1)) + 1), ROW(98:98)), COLUMN(C:C)), "")</f>
        <v>1633316367486</v>
      </c>
      <c r="E100" s="14">
        <f t="array" ref="E100">IFERROR(INDEX(balance_sheet_quarter[#All], SMALL(IF(LOWER(balance_sheet_quarter[Company Name]) = LOWER(balance_sheet_quarter_filter!$B$2), ROW(balance_sheet_quarter[Company Name]) - ROW(INDEX(balance_sheet_quarter[Company Name], 1, 1)) + 1), ROW(98:98)), COLUMN(D:D)), "")</f>
        <v>1653447513247</v>
      </c>
      <c r="F100" s="14">
        <f t="array" ref="F100">IFERROR(INDEX(balance_sheet_quarter[#All], SMALL(IF(LOWER(balance_sheet_quarter[Company Name]) = LOWER(balance_sheet_quarter_filter!$B$2), ROW(balance_sheet_quarter[Company Name]) - ROW(INDEX(balance_sheet_quarter[Company Name], 1, 1)) + 1), ROW(98:98)), COLUMN(E:E)), "")</f>
        <v>1679132135344</v>
      </c>
      <c r="G100" s="14">
        <f t="array" ref="G100">IFERROR(INDEX(balance_sheet_quarter[#All], SMALL(IF(LOWER(balance_sheet_quarter[Company Name]) = LOWER(balance_sheet_quarter_filter!$B$2), ROW(balance_sheet_quarter[Company Name]) - ROW(INDEX(balance_sheet_quarter[Company Name], 1, 1)) + 1), ROW(98:98)), COLUMN(F:F)), "")</f>
        <v>1712654802094</v>
      </c>
      <c r="H100" s="14">
        <f t="array" ref="H100">IFERROR(INDEX(balance_sheet_quarter[#All], SMALL(IF(LOWER(balance_sheet_quarter[Company Name]) = LOWER(balance_sheet_quarter_filter!$B$2), ROW(balance_sheet_quarter[Company Name]) - ROW(INDEX(balance_sheet_quarter[Company Name], 1, 1)) + 1), ROW(98:98)), COLUMN(G:G)), "")</f>
        <v>1738364495326</v>
      </c>
      <c r="I100" s="14">
        <f t="array" ref="I100">IFERROR(INDEX(balance_sheet_quarter[#All], SMALL(IF(LOWER(balance_sheet_quarter[Company Name]) = LOWER(balance_sheet_quarter_filter!$B$2), ROW(balance_sheet_quarter[Company Name]) - ROW(INDEX(balance_sheet_quarter[Company Name], 1, 1)) + 1), ROW(98:98)), COLUMN(H:H)), "")</f>
        <v>1757765697459</v>
      </c>
      <c r="J100" s="14">
        <f t="array" ref="J100">IFERROR(INDEX(balance_sheet_quarter[#All], SMALL(IF(LOWER(balance_sheet_quarter[Company Name]) = LOWER(balance_sheet_quarter_filter!$B$2), ROW(balance_sheet_quarter[Company Name]) - ROW(INDEX(balance_sheet_quarter[Company Name], 1, 1)) + 1), ROW(98:98)), COLUMN(I:I)), "")</f>
        <v>1808941981253</v>
      </c>
      <c r="K100" s="14">
        <f t="array" ref="K100">IFERROR(INDEX(balance_sheet_quarter[#All], SMALL(IF(LOWER(balance_sheet_quarter[Company Name]) = LOWER(balance_sheet_quarter_filter!$B$2), ROW(balance_sheet_quarter[Company Name]) - ROW(INDEX(balance_sheet_quarter[Company Name], 1, 1)) + 1), ROW(98:98)), COLUMN(J:J)), "")</f>
        <v>1865289407134</v>
      </c>
      <c r="L100" s="14">
        <f t="array" ref="L100">IFERROR(INDEX(balance_sheet_quarter[#All], SMALL(IF(LOWER(balance_sheet_quarter[Company Name]) = LOWER(balance_sheet_quarter_filter!$B$2), ROW(balance_sheet_quarter[Company Name]) - ROW(INDEX(balance_sheet_quarter[Company Name], 1, 1)) + 1), ROW(98:98)), COLUMN(K:K)), "")</f>
        <v>1908479595581</v>
      </c>
      <c r="M100" s="14">
        <f t="array" ref="M100">IFERROR(INDEX(balance_sheet_quarter[#All], SMALL(IF(LOWER(balance_sheet_quarter[Company Name]) = LOWER(balance_sheet_quarter_filter!$B$2), ROW(balance_sheet_quarter[Company Name]) - ROW(INDEX(balance_sheet_quarter[Company Name], 1, 1)) + 1), ROW(98:98)), COLUMN(L:L)), "")</f>
        <v>1933720315330</v>
      </c>
      <c r="N100" s="14">
        <f t="array" ref="N100">IFERROR(INDEX(balance_sheet_quarter[#All], SMALL(IF(LOWER(balance_sheet_quarter[Company Name]) = LOWER(balance_sheet_quarter_filter!$B$2), ROW(balance_sheet_quarter[Company Name]) - ROW(INDEX(balance_sheet_quarter[Company Name], 1, 1)) + 1), ROW(98:98)), COLUMN(M:M)), "")</f>
        <v>1933466253743</v>
      </c>
      <c r="O100" s="14">
        <f t="array" ref="O100">IFERROR(INDEX(balance_sheet_quarter[#All], SMALL(IF(LOWER(balance_sheet_quarter[Company Name]) = LOWER(balance_sheet_quarter_filter!$B$2), ROW(balance_sheet_quarter[Company Name]) - ROW(INDEX(balance_sheet_quarter[Company Name], 1, 1)) + 1), ROW(98:98)), COLUMN(N:N)), "")</f>
        <v>1946825702887</v>
      </c>
      <c r="P100" s="14">
        <f t="array" ref="P100">IFERROR(INDEX(balance_sheet_quarter[#All], SMALL(IF(LOWER(balance_sheet_quarter[Company Name]) = LOWER(balance_sheet_quarter_filter!$B$2), ROW(balance_sheet_quarter[Company Name]) - ROW(INDEX(balance_sheet_quarter[Company Name], 1, 1)) + 1), ROW(98:98)), COLUMN(O:O)), "")</f>
        <v>1981752890752</v>
      </c>
    </row>
    <row r="101" spans="3:16" x14ac:dyDescent="0.35">
      <c r="C101" t="str">
        <f t="array" ref="C101">IFERROR(INDEX(balance_sheet_quarter[#All], SMALL(IF(LOWER(balance_sheet_quarter[Company Name]) = LOWER(balance_sheet_quarter_filter!$B$2), ROW(balance_sheet_quarter[Company Name]) - ROW(INDEX(balance_sheet_quarter[Company Name], 1, 1)) + 1), ROW(99:99)), COLUMN(B:B)), "")</f>
        <v>I. Vốn chủ sở hữu</v>
      </c>
      <c r="D101" s="14">
        <f t="array" ref="D101">IFERROR(INDEX(balance_sheet_quarter[#All], SMALL(IF(LOWER(balance_sheet_quarter[Company Name]) = LOWER(balance_sheet_quarter_filter!$B$2), ROW(balance_sheet_quarter[Company Name]) - ROW(INDEX(balance_sheet_quarter[Company Name], 1, 1)) + 1), ROW(99:99)), COLUMN(C:C)), "")</f>
        <v>1633316367486</v>
      </c>
      <c r="E101" s="14">
        <f t="array" ref="E101">IFERROR(INDEX(balance_sheet_quarter[#All], SMALL(IF(LOWER(balance_sheet_quarter[Company Name]) = LOWER(balance_sheet_quarter_filter!$B$2), ROW(balance_sheet_quarter[Company Name]) - ROW(INDEX(balance_sheet_quarter[Company Name], 1, 1)) + 1), ROW(99:99)), COLUMN(D:D)), "")</f>
        <v>1653447513247</v>
      </c>
      <c r="F101" s="14">
        <f t="array" ref="F101">IFERROR(INDEX(balance_sheet_quarter[#All], SMALL(IF(LOWER(balance_sheet_quarter[Company Name]) = LOWER(balance_sheet_quarter_filter!$B$2), ROW(balance_sheet_quarter[Company Name]) - ROW(INDEX(balance_sheet_quarter[Company Name], 1, 1)) + 1), ROW(99:99)), COLUMN(E:E)), "")</f>
        <v>1679132135344</v>
      </c>
      <c r="G101" s="14">
        <f t="array" ref="G101">IFERROR(INDEX(balance_sheet_quarter[#All], SMALL(IF(LOWER(balance_sheet_quarter[Company Name]) = LOWER(balance_sheet_quarter_filter!$B$2), ROW(balance_sheet_quarter[Company Name]) - ROW(INDEX(balance_sheet_quarter[Company Name], 1, 1)) + 1), ROW(99:99)), COLUMN(F:F)), "")</f>
        <v>1712654802094</v>
      </c>
      <c r="H101" s="14">
        <f t="array" ref="H101">IFERROR(INDEX(balance_sheet_quarter[#All], SMALL(IF(LOWER(balance_sheet_quarter[Company Name]) = LOWER(balance_sheet_quarter_filter!$B$2), ROW(balance_sheet_quarter[Company Name]) - ROW(INDEX(balance_sheet_quarter[Company Name], 1, 1)) + 1), ROW(99:99)), COLUMN(G:G)), "")</f>
        <v>1738364495326</v>
      </c>
      <c r="I101" s="14">
        <f t="array" ref="I101">IFERROR(INDEX(balance_sheet_quarter[#All], SMALL(IF(LOWER(balance_sheet_quarter[Company Name]) = LOWER(balance_sheet_quarter_filter!$B$2), ROW(balance_sheet_quarter[Company Name]) - ROW(INDEX(balance_sheet_quarter[Company Name], 1, 1)) + 1), ROW(99:99)), COLUMN(H:H)), "")</f>
        <v>1757765697459</v>
      </c>
      <c r="J101" s="14">
        <f t="array" ref="J101">IFERROR(INDEX(balance_sheet_quarter[#All], SMALL(IF(LOWER(balance_sheet_quarter[Company Name]) = LOWER(balance_sheet_quarter_filter!$B$2), ROW(balance_sheet_quarter[Company Name]) - ROW(INDEX(balance_sheet_quarter[Company Name], 1, 1)) + 1), ROW(99:99)), COLUMN(I:I)), "")</f>
        <v>1808941981253</v>
      </c>
      <c r="K101" s="14">
        <f t="array" ref="K101">IFERROR(INDEX(balance_sheet_quarter[#All], SMALL(IF(LOWER(balance_sheet_quarter[Company Name]) = LOWER(balance_sheet_quarter_filter!$B$2), ROW(balance_sheet_quarter[Company Name]) - ROW(INDEX(balance_sheet_quarter[Company Name], 1, 1)) + 1), ROW(99:99)), COLUMN(J:J)), "")</f>
        <v>1865289407134</v>
      </c>
      <c r="L101" s="14">
        <f t="array" ref="L101">IFERROR(INDEX(balance_sheet_quarter[#All], SMALL(IF(LOWER(balance_sheet_quarter[Company Name]) = LOWER(balance_sheet_quarter_filter!$B$2), ROW(balance_sheet_quarter[Company Name]) - ROW(INDEX(balance_sheet_quarter[Company Name], 1, 1)) + 1), ROW(99:99)), COLUMN(K:K)), "")</f>
        <v>1908479595581</v>
      </c>
      <c r="M101" s="14">
        <f t="array" ref="M101">IFERROR(INDEX(balance_sheet_quarter[#All], SMALL(IF(LOWER(balance_sheet_quarter[Company Name]) = LOWER(balance_sheet_quarter_filter!$B$2), ROW(balance_sheet_quarter[Company Name]) - ROW(INDEX(balance_sheet_quarter[Company Name], 1, 1)) + 1), ROW(99:99)), COLUMN(L:L)), "")</f>
        <v>1933720315330</v>
      </c>
      <c r="N101" s="14">
        <f t="array" ref="N101">IFERROR(INDEX(balance_sheet_quarter[#All], SMALL(IF(LOWER(balance_sheet_quarter[Company Name]) = LOWER(balance_sheet_quarter_filter!$B$2), ROW(balance_sheet_quarter[Company Name]) - ROW(INDEX(balance_sheet_quarter[Company Name], 1, 1)) + 1), ROW(99:99)), COLUMN(M:M)), "")</f>
        <v>1933466253743</v>
      </c>
      <c r="O101" s="14">
        <f t="array" ref="O101">IFERROR(INDEX(balance_sheet_quarter[#All], SMALL(IF(LOWER(balance_sheet_quarter[Company Name]) = LOWER(balance_sheet_quarter_filter!$B$2), ROW(balance_sheet_quarter[Company Name]) - ROW(INDEX(balance_sheet_quarter[Company Name], 1, 1)) + 1), ROW(99:99)), COLUMN(N:N)), "")</f>
        <v>1946825702887</v>
      </c>
      <c r="P101" s="14">
        <f t="array" ref="P101">IFERROR(INDEX(balance_sheet_quarter[#All], SMALL(IF(LOWER(balance_sheet_quarter[Company Name]) = LOWER(balance_sheet_quarter_filter!$B$2), ROW(balance_sheet_quarter[Company Name]) - ROW(INDEX(balance_sheet_quarter[Company Name], 1, 1)) + 1), ROW(99:99)), COLUMN(O:O)), "")</f>
        <v>1981752890752</v>
      </c>
    </row>
    <row r="102" spans="3:16" x14ac:dyDescent="0.35">
      <c r="C102" t="str">
        <f t="array" ref="C102">IFERROR(INDEX(balance_sheet_quarter[#All], SMALL(IF(LOWER(balance_sheet_quarter[Company Name]) = LOWER(balance_sheet_quarter_filter!$B$2), ROW(balance_sheet_quarter[Company Name]) - ROW(INDEX(balance_sheet_quarter[Company Name], 1, 1)) + 1), ROW(100:100)), COLUMN(B:B)), "")</f>
        <v>1. Vốn góp của chủ sở hữu</v>
      </c>
      <c r="D102" s="14">
        <f t="array" ref="D102">IFERROR(INDEX(balance_sheet_quarter[#All], SMALL(IF(LOWER(balance_sheet_quarter[Company Name]) = LOWER(balance_sheet_quarter_filter!$B$2), ROW(balance_sheet_quarter[Company Name]) - ROW(INDEX(balance_sheet_quarter[Company Name], 1, 1)) + 1), ROW(100:100)), COLUMN(C:C)), "")</f>
        <v>1350000000000</v>
      </c>
      <c r="E102" s="14">
        <f t="array" ref="E102">IFERROR(INDEX(balance_sheet_quarter[#All], SMALL(IF(LOWER(balance_sheet_quarter[Company Name]) = LOWER(balance_sheet_quarter_filter!$B$2), ROW(balance_sheet_quarter[Company Name]) - ROW(INDEX(balance_sheet_quarter[Company Name], 1, 1)) + 1), ROW(100:100)), COLUMN(D:D)), "")</f>
        <v>1350000000000</v>
      </c>
      <c r="F102" s="14">
        <f t="array" ref="F102">IFERROR(INDEX(balance_sheet_quarter[#All], SMALL(IF(LOWER(balance_sheet_quarter[Company Name]) = LOWER(balance_sheet_quarter_filter!$B$2), ROW(balance_sheet_quarter[Company Name]) - ROW(INDEX(balance_sheet_quarter[Company Name], 1, 1)) + 1), ROW(100:100)), COLUMN(E:E)), "")</f>
        <v>1350000000000</v>
      </c>
      <c r="G102" s="14">
        <f t="array" ref="G102">IFERROR(INDEX(balance_sheet_quarter[#All], SMALL(IF(LOWER(balance_sheet_quarter[Company Name]) = LOWER(balance_sheet_quarter_filter!$B$2), ROW(balance_sheet_quarter[Company Name]) - ROW(INDEX(balance_sheet_quarter[Company Name], 1, 1)) + 1), ROW(100:100)), COLUMN(F:F)), "")</f>
        <v>1350000000000</v>
      </c>
      <c r="H102" s="14">
        <f t="array" ref="H102">IFERROR(INDEX(balance_sheet_quarter[#All], SMALL(IF(LOWER(balance_sheet_quarter[Company Name]) = LOWER(balance_sheet_quarter_filter!$B$2), ROW(balance_sheet_quarter[Company Name]) - ROW(INDEX(balance_sheet_quarter[Company Name], 1, 1)) + 1), ROW(100:100)), COLUMN(G:G)), "")</f>
        <v>1457999040000</v>
      </c>
      <c r="I102" s="14">
        <f t="array" ref="I102">IFERROR(INDEX(balance_sheet_quarter[#All], SMALL(IF(LOWER(balance_sheet_quarter[Company Name]) = LOWER(balance_sheet_quarter_filter!$B$2), ROW(balance_sheet_quarter[Company Name]) - ROW(INDEX(balance_sheet_quarter[Company Name], 1, 1)) + 1), ROW(100:100)), COLUMN(H:H)), "")</f>
        <v>1457999040000</v>
      </c>
      <c r="J102" s="14">
        <f t="array" ref="J102">IFERROR(INDEX(balance_sheet_quarter[#All], SMALL(IF(LOWER(balance_sheet_quarter[Company Name]) = LOWER(balance_sheet_quarter_filter!$B$2), ROW(balance_sheet_quarter[Company Name]) - ROW(INDEX(balance_sheet_quarter[Company Name], 1, 1)) + 1), ROW(100:100)), COLUMN(I:I)), "")</f>
        <v>1457999040000</v>
      </c>
      <c r="K102" s="14">
        <f t="array" ref="K102">IFERROR(INDEX(balance_sheet_quarter[#All], SMALL(IF(LOWER(balance_sheet_quarter[Company Name]) = LOWER(balance_sheet_quarter_filter!$B$2), ROW(balance_sheet_quarter[Company Name]) - ROW(INDEX(balance_sheet_quarter[Company Name], 1, 1)) + 1), ROW(100:100)), COLUMN(J:J)), "")</f>
        <v>1457999040000</v>
      </c>
      <c r="L102" s="14">
        <f t="array" ref="L102">IFERROR(INDEX(balance_sheet_quarter[#All], SMALL(IF(LOWER(balance_sheet_quarter[Company Name]) = LOWER(balance_sheet_quarter_filter!$B$2), ROW(balance_sheet_quarter[Company Name]) - ROW(INDEX(balance_sheet_quarter[Company Name], 1, 1)) + 1), ROW(100:100)), COLUMN(K:K)), "")</f>
        <v>1574629370000</v>
      </c>
      <c r="M102" s="14">
        <f t="array" ref="M102">IFERROR(INDEX(balance_sheet_quarter[#All], SMALL(IF(LOWER(balance_sheet_quarter[Company Name]) = LOWER(balance_sheet_quarter_filter!$B$2), ROW(balance_sheet_quarter[Company Name]) - ROW(INDEX(balance_sheet_quarter[Company Name], 1, 1)) + 1), ROW(100:100)), COLUMN(L:L)), "")</f>
        <v>1574629370000</v>
      </c>
      <c r="N102" s="14">
        <f t="array" ref="N102">IFERROR(INDEX(balance_sheet_quarter[#All], SMALL(IF(LOWER(balance_sheet_quarter[Company Name]) = LOWER(balance_sheet_quarter_filter!$B$2), ROW(balance_sheet_quarter[Company Name]) - ROW(INDEX(balance_sheet_quarter[Company Name], 1, 1)) + 1), ROW(100:100)), COLUMN(M:M)), "")</f>
        <v>1574629370000</v>
      </c>
      <c r="O102" s="14">
        <f t="array" ref="O102">IFERROR(INDEX(balance_sheet_quarter[#All], SMALL(IF(LOWER(balance_sheet_quarter[Company Name]) = LOWER(balance_sheet_quarter_filter!$B$2), ROW(balance_sheet_quarter[Company Name]) - ROW(INDEX(balance_sheet_quarter[Company Name], 1, 1)) + 1), ROW(100:100)), COLUMN(N:N)), "")</f>
        <v>1574629370000</v>
      </c>
      <c r="P102" s="14">
        <f t="array" ref="P102">IFERROR(INDEX(balance_sheet_quarter[#All], SMALL(IF(LOWER(balance_sheet_quarter[Company Name]) = LOWER(balance_sheet_quarter_filter!$B$2), ROW(balance_sheet_quarter[Company Name]) - ROW(INDEX(balance_sheet_quarter[Company Name], 1, 1)) + 1), ROW(100:100)), COLUMN(O:O)), "")</f>
        <v>1700575930000</v>
      </c>
    </row>
    <row r="103" spans="3:16" x14ac:dyDescent="0.35">
      <c r="C103" t="str">
        <f t="array" ref="C103">IFERROR(INDEX(balance_sheet_quarter[#All], SMALL(IF(LOWER(balance_sheet_quarter[Company Name]) = LOWER(balance_sheet_quarter_filter!$B$2), ROW(balance_sheet_quarter[Company Name]) - ROW(INDEX(balance_sheet_quarter[Company Name], 1, 1)) + 1), ROW(101:101)), COLUMN(B:B)), "")</f>
        <v>- Cổ phiếu phổ thông có quyền biểu quyết</v>
      </c>
      <c r="D103" s="14">
        <f t="array" ref="D103">IFERROR(INDEX(balance_sheet_quarter[#All], SMALL(IF(LOWER(balance_sheet_quarter[Company Name]) = LOWER(balance_sheet_quarter_filter!$B$2), ROW(balance_sheet_quarter[Company Name]) - ROW(INDEX(balance_sheet_quarter[Company Name], 1, 1)) + 1), ROW(101:101)), COLUMN(C:C)), "")</f>
        <v>1350000000000</v>
      </c>
      <c r="E103" s="14">
        <f t="array" ref="E103">IFERROR(INDEX(balance_sheet_quarter[#All], SMALL(IF(LOWER(balance_sheet_quarter[Company Name]) = LOWER(balance_sheet_quarter_filter!$B$2), ROW(balance_sheet_quarter[Company Name]) - ROW(INDEX(balance_sheet_quarter[Company Name], 1, 1)) + 1), ROW(101:101)), COLUMN(D:D)), "")</f>
        <v>1350000000000</v>
      </c>
      <c r="F103" s="14">
        <f t="array" ref="F103">IFERROR(INDEX(balance_sheet_quarter[#All], SMALL(IF(LOWER(balance_sheet_quarter[Company Name]) = LOWER(balance_sheet_quarter_filter!$B$2), ROW(balance_sheet_quarter[Company Name]) - ROW(INDEX(balance_sheet_quarter[Company Name], 1, 1)) + 1), ROW(101:101)), COLUMN(E:E)), "")</f>
        <v>1350000000000</v>
      </c>
      <c r="G103" s="14">
        <f t="array" ref="G103">IFERROR(INDEX(balance_sheet_quarter[#All], SMALL(IF(LOWER(balance_sheet_quarter[Company Name]) = LOWER(balance_sheet_quarter_filter!$B$2), ROW(balance_sheet_quarter[Company Name]) - ROW(INDEX(balance_sheet_quarter[Company Name], 1, 1)) + 1), ROW(101:101)), COLUMN(F:F)), "")</f>
        <v>1350000000000</v>
      </c>
      <c r="H103" s="14">
        <f t="array" ref="H103">IFERROR(INDEX(balance_sheet_quarter[#All], SMALL(IF(LOWER(balance_sheet_quarter[Company Name]) = LOWER(balance_sheet_quarter_filter!$B$2), ROW(balance_sheet_quarter[Company Name]) - ROW(INDEX(balance_sheet_quarter[Company Name], 1, 1)) + 1), ROW(101:101)), COLUMN(G:G)), "")</f>
        <v>1457999040000</v>
      </c>
      <c r="I103" s="14">
        <f t="array" ref="I103">IFERROR(INDEX(balance_sheet_quarter[#All], SMALL(IF(LOWER(balance_sheet_quarter[Company Name]) = LOWER(balance_sheet_quarter_filter!$B$2), ROW(balance_sheet_quarter[Company Name]) - ROW(INDEX(balance_sheet_quarter[Company Name], 1, 1)) + 1), ROW(101:101)), COLUMN(H:H)), "")</f>
        <v>1457999040000</v>
      </c>
      <c r="J103" s="14">
        <f t="array" ref="J103">IFERROR(INDEX(balance_sheet_quarter[#All], SMALL(IF(LOWER(balance_sheet_quarter[Company Name]) = LOWER(balance_sheet_quarter_filter!$B$2), ROW(balance_sheet_quarter[Company Name]) - ROW(INDEX(balance_sheet_quarter[Company Name], 1, 1)) + 1), ROW(101:101)), COLUMN(I:I)), "")</f>
        <v>1457999040000</v>
      </c>
      <c r="K103" s="14">
        <f t="array" ref="K103">IFERROR(INDEX(balance_sheet_quarter[#All], SMALL(IF(LOWER(balance_sheet_quarter[Company Name]) = LOWER(balance_sheet_quarter_filter!$B$2), ROW(balance_sheet_quarter[Company Name]) - ROW(INDEX(balance_sheet_quarter[Company Name], 1, 1)) + 1), ROW(101:101)), COLUMN(J:J)), "")</f>
        <v>1457999040000</v>
      </c>
      <c r="L103" s="14">
        <f t="array" ref="L103">IFERROR(INDEX(balance_sheet_quarter[#All], SMALL(IF(LOWER(balance_sheet_quarter[Company Name]) = LOWER(balance_sheet_quarter_filter!$B$2), ROW(balance_sheet_quarter[Company Name]) - ROW(INDEX(balance_sheet_quarter[Company Name], 1, 1)) + 1), ROW(101:101)), COLUMN(K:K)), "")</f>
        <v>1574629370000</v>
      </c>
      <c r="M103" s="14">
        <f t="array" ref="M103">IFERROR(INDEX(balance_sheet_quarter[#All], SMALL(IF(LOWER(balance_sheet_quarter[Company Name]) = LOWER(balance_sheet_quarter_filter!$B$2), ROW(balance_sheet_quarter[Company Name]) - ROW(INDEX(balance_sheet_quarter[Company Name], 1, 1)) + 1), ROW(101:101)), COLUMN(L:L)), "")</f>
        <v>1574629370000</v>
      </c>
      <c r="N103" s="14">
        <f t="array" ref="N103">IFERROR(INDEX(balance_sheet_quarter[#All], SMALL(IF(LOWER(balance_sheet_quarter[Company Name]) = LOWER(balance_sheet_quarter_filter!$B$2), ROW(balance_sheet_quarter[Company Name]) - ROW(INDEX(balance_sheet_quarter[Company Name], 1, 1)) + 1), ROW(101:101)), COLUMN(M:M)), "")</f>
        <v>1574629370000</v>
      </c>
      <c r="O103" s="14">
        <f t="array" ref="O103">IFERROR(INDEX(balance_sheet_quarter[#All], SMALL(IF(LOWER(balance_sheet_quarter[Company Name]) = LOWER(balance_sheet_quarter_filter!$B$2), ROW(balance_sheet_quarter[Company Name]) - ROW(INDEX(balance_sheet_quarter[Company Name], 1, 1)) + 1), ROW(101:101)), COLUMN(N:N)), "")</f>
        <v>1574629370000</v>
      </c>
      <c r="P103" s="14">
        <f t="array" ref="P103">IFERROR(INDEX(balance_sheet_quarter[#All], SMALL(IF(LOWER(balance_sheet_quarter[Company Name]) = LOWER(balance_sheet_quarter_filter!$B$2), ROW(balance_sheet_quarter[Company Name]) - ROW(INDEX(balance_sheet_quarter[Company Name], 1, 1)) + 1), ROW(101:101)), COLUMN(O:O)), "")</f>
        <v>1700575930000</v>
      </c>
    </row>
    <row r="104" spans="3:16" x14ac:dyDescent="0.35">
      <c r="C104" t="str">
        <f t="array" ref="C104">IFERROR(INDEX(balance_sheet_quarter[#All], SMALL(IF(LOWER(balance_sheet_quarter[Company Name]) = LOWER(balance_sheet_quarter_filter!$B$2), ROW(balance_sheet_quarter[Company Name]) - ROW(INDEX(balance_sheet_quarter[Company Name], 1, 1)) + 1), ROW(102:102)), COLUMN(B:B)), "")</f>
        <v>- Cổ phiếu ưu đãi</v>
      </c>
      <c r="D104" s="14">
        <f t="array" ref="D104">IFERROR(INDEX(balance_sheet_quarter[#All], SMALL(IF(LOWER(balance_sheet_quarter[Company Name]) = LOWER(balance_sheet_quarter_filter!$B$2), ROW(balance_sheet_quarter[Company Name]) - ROW(INDEX(balance_sheet_quarter[Company Name], 1, 1)) + 1), ROW(102:102)), COLUMN(C:C)), "")</f>
        <v>0</v>
      </c>
      <c r="E104" s="14">
        <f t="array" ref="E104">IFERROR(INDEX(balance_sheet_quarter[#All], SMALL(IF(LOWER(balance_sheet_quarter[Company Name]) = LOWER(balance_sheet_quarter_filter!$B$2), ROW(balance_sheet_quarter[Company Name]) - ROW(INDEX(balance_sheet_quarter[Company Name], 1, 1)) + 1), ROW(102:102)), COLUMN(D:D)), "")</f>
        <v>0</v>
      </c>
      <c r="F104" s="14">
        <f t="array" ref="F104">IFERROR(INDEX(balance_sheet_quarter[#All], SMALL(IF(LOWER(balance_sheet_quarter[Company Name]) = LOWER(balance_sheet_quarter_filter!$B$2), ROW(balance_sheet_quarter[Company Name]) - ROW(INDEX(balance_sheet_quarter[Company Name], 1, 1)) + 1), ROW(102:102)), COLUMN(E:E)), "")</f>
        <v>0</v>
      </c>
      <c r="G104" s="14">
        <f t="array" ref="G104">IFERROR(INDEX(balance_sheet_quarter[#All], SMALL(IF(LOWER(balance_sheet_quarter[Company Name]) = LOWER(balance_sheet_quarter_filter!$B$2), ROW(balance_sheet_quarter[Company Name]) - ROW(INDEX(balance_sheet_quarter[Company Name], 1, 1)) + 1), ROW(102:102)), COLUMN(F:F)), "")</f>
        <v>0</v>
      </c>
      <c r="H104" s="14">
        <f t="array" ref="H104">IFERROR(INDEX(balance_sheet_quarter[#All], SMALL(IF(LOWER(balance_sheet_quarter[Company Name]) = LOWER(balance_sheet_quarter_filter!$B$2), ROW(balance_sheet_quarter[Company Name]) - ROW(INDEX(balance_sheet_quarter[Company Name], 1, 1)) + 1), ROW(102:102)), COLUMN(G:G)), "")</f>
        <v>0</v>
      </c>
      <c r="I104" s="14">
        <f t="array" ref="I104">IFERROR(INDEX(balance_sheet_quarter[#All], SMALL(IF(LOWER(balance_sheet_quarter[Company Name]) = LOWER(balance_sheet_quarter_filter!$B$2), ROW(balance_sheet_quarter[Company Name]) - ROW(INDEX(balance_sheet_quarter[Company Name], 1, 1)) + 1), ROW(102:102)), COLUMN(H:H)), "")</f>
        <v>0</v>
      </c>
      <c r="J104" s="14">
        <f t="array" ref="J104">IFERROR(INDEX(balance_sheet_quarter[#All], SMALL(IF(LOWER(balance_sheet_quarter[Company Name]) = LOWER(balance_sheet_quarter_filter!$B$2), ROW(balance_sheet_quarter[Company Name]) - ROW(INDEX(balance_sheet_quarter[Company Name], 1, 1)) + 1), ROW(102:102)), COLUMN(I:I)), "")</f>
        <v>0</v>
      </c>
      <c r="K104" s="14">
        <f t="array" ref="K104">IFERROR(INDEX(balance_sheet_quarter[#All], SMALL(IF(LOWER(balance_sheet_quarter[Company Name]) = LOWER(balance_sheet_quarter_filter!$B$2), ROW(balance_sheet_quarter[Company Name]) - ROW(INDEX(balance_sheet_quarter[Company Name], 1, 1)) + 1), ROW(102:102)), COLUMN(J:J)), "")</f>
        <v>0</v>
      </c>
      <c r="L104" s="14">
        <f t="array" ref="L104">IFERROR(INDEX(balance_sheet_quarter[#All], SMALL(IF(LOWER(balance_sheet_quarter[Company Name]) = LOWER(balance_sheet_quarter_filter!$B$2), ROW(balance_sheet_quarter[Company Name]) - ROW(INDEX(balance_sheet_quarter[Company Name], 1, 1)) + 1), ROW(102:102)), COLUMN(K:K)), "")</f>
        <v>0</v>
      </c>
      <c r="M104" s="14">
        <f t="array" ref="M104">IFERROR(INDEX(balance_sheet_quarter[#All], SMALL(IF(LOWER(balance_sheet_quarter[Company Name]) = LOWER(balance_sheet_quarter_filter!$B$2), ROW(balance_sheet_quarter[Company Name]) - ROW(INDEX(balance_sheet_quarter[Company Name], 1, 1)) + 1), ROW(102:102)), COLUMN(L:L)), "")</f>
        <v>0</v>
      </c>
      <c r="N104" s="14">
        <f t="array" ref="N104">IFERROR(INDEX(balance_sheet_quarter[#All], SMALL(IF(LOWER(balance_sheet_quarter[Company Name]) = LOWER(balance_sheet_quarter_filter!$B$2), ROW(balance_sheet_quarter[Company Name]) - ROW(INDEX(balance_sheet_quarter[Company Name], 1, 1)) + 1), ROW(102:102)), COLUMN(M:M)), "")</f>
        <v>0</v>
      </c>
      <c r="O104" s="14">
        <f t="array" ref="O104">IFERROR(INDEX(balance_sheet_quarter[#All], SMALL(IF(LOWER(balance_sheet_quarter[Company Name]) = LOWER(balance_sheet_quarter_filter!$B$2), ROW(balance_sheet_quarter[Company Name]) - ROW(INDEX(balance_sheet_quarter[Company Name], 1, 1)) + 1), ROW(102:102)), COLUMN(N:N)), "")</f>
        <v>0</v>
      </c>
      <c r="P104" s="14">
        <f t="array" ref="P104">IFERROR(INDEX(balance_sheet_quarter[#All], SMALL(IF(LOWER(balance_sheet_quarter[Company Name]) = LOWER(balance_sheet_quarter_filter!$B$2), ROW(balance_sheet_quarter[Company Name]) - ROW(INDEX(balance_sheet_quarter[Company Name], 1, 1)) + 1), ROW(102:102)), COLUMN(O:O)), "")</f>
        <v>0</v>
      </c>
    </row>
    <row r="105" spans="3:16" x14ac:dyDescent="0.35">
      <c r="C105" t="str">
        <f t="array" ref="C105">IFERROR(INDEX(balance_sheet_quarter[#All], SMALL(IF(LOWER(balance_sheet_quarter[Company Name]) = LOWER(balance_sheet_quarter_filter!$B$2), ROW(balance_sheet_quarter[Company Name]) - ROW(INDEX(balance_sheet_quarter[Company Name], 1, 1)) + 1), ROW(103:103)), COLUMN(B:B)), "")</f>
        <v>2. Thặng dư vốn cổ phần</v>
      </c>
      <c r="D105" s="14">
        <f t="array" ref="D105">IFERROR(INDEX(balance_sheet_quarter[#All], SMALL(IF(LOWER(balance_sheet_quarter[Company Name]) = LOWER(balance_sheet_quarter_filter!$B$2), ROW(balance_sheet_quarter[Company Name]) - ROW(INDEX(balance_sheet_quarter[Company Name], 1, 1)) + 1), ROW(103:103)), COLUMN(C:C)), "")</f>
        <v>0</v>
      </c>
      <c r="E105" s="14">
        <f t="array" ref="E105">IFERROR(INDEX(balance_sheet_quarter[#All], SMALL(IF(LOWER(balance_sheet_quarter[Company Name]) = LOWER(balance_sheet_quarter_filter!$B$2), ROW(balance_sheet_quarter[Company Name]) - ROW(INDEX(balance_sheet_quarter[Company Name], 1, 1)) + 1), ROW(103:103)), COLUMN(D:D)), "")</f>
        <v>0</v>
      </c>
      <c r="F105" s="14">
        <f t="array" ref="F105">IFERROR(INDEX(balance_sheet_quarter[#All], SMALL(IF(LOWER(balance_sheet_quarter[Company Name]) = LOWER(balance_sheet_quarter_filter!$B$2), ROW(balance_sheet_quarter[Company Name]) - ROW(INDEX(balance_sheet_quarter[Company Name], 1, 1)) + 1), ROW(103:103)), COLUMN(E:E)), "")</f>
        <v>0</v>
      </c>
      <c r="G105" s="14">
        <f t="array" ref="G105">IFERROR(INDEX(balance_sheet_quarter[#All], SMALL(IF(LOWER(balance_sheet_quarter[Company Name]) = LOWER(balance_sheet_quarter_filter!$B$2), ROW(balance_sheet_quarter[Company Name]) - ROW(INDEX(balance_sheet_quarter[Company Name], 1, 1)) + 1), ROW(103:103)), COLUMN(F:F)), "")</f>
        <v>0</v>
      </c>
      <c r="H105" s="14">
        <f t="array" ref="H105">IFERROR(INDEX(balance_sheet_quarter[#All], SMALL(IF(LOWER(balance_sheet_quarter[Company Name]) = LOWER(balance_sheet_quarter_filter!$B$2), ROW(balance_sheet_quarter[Company Name]) - ROW(INDEX(balance_sheet_quarter[Company Name], 1, 1)) + 1), ROW(103:103)), COLUMN(G:G)), "")</f>
        <v>0</v>
      </c>
      <c r="I105" s="14">
        <f t="array" ref="I105">IFERROR(INDEX(balance_sheet_quarter[#All], SMALL(IF(LOWER(balance_sheet_quarter[Company Name]) = LOWER(balance_sheet_quarter_filter!$B$2), ROW(balance_sheet_quarter[Company Name]) - ROW(INDEX(balance_sheet_quarter[Company Name], 1, 1)) + 1), ROW(103:103)), COLUMN(H:H)), "")</f>
        <v>0</v>
      </c>
      <c r="J105" s="14">
        <f t="array" ref="J105">IFERROR(INDEX(balance_sheet_quarter[#All], SMALL(IF(LOWER(balance_sheet_quarter[Company Name]) = LOWER(balance_sheet_quarter_filter!$B$2), ROW(balance_sheet_quarter[Company Name]) - ROW(INDEX(balance_sheet_quarter[Company Name], 1, 1)) + 1), ROW(103:103)), COLUMN(I:I)), "")</f>
        <v>0</v>
      </c>
      <c r="K105" s="14">
        <f t="array" ref="K105">IFERROR(INDEX(balance_sheet_quarter[#All], SMALL(IF(LOWER(balance_sheet_quarter[Company Name]) = LOWER(balance_sheet_quarter_filter!$B$2), ROW(balance_sheet_quarter[Company Name]) - ROW(INDEX(balance_sheet_quarter[Company Name], 1, 1)) + 1), ROW(103:103)), COLUMN(J:J)), "")</f>
        <v>0</v>
      </c>
      <c r="L105" s="14">
        <f t="array" ref="L105">IFERROR(INDEX(balance_sheet_quarter[#All], SMALL(IF(LOWER(balance_sheet_quarter[Company Name]) = LOWER(balance_sheet_quarter_filter!$B$2), ROW(balance_sheet_quarter[Company Name]) - ROW(INDEX(balance_sheet_quarter[Company Name], 1, 1)) + 1), ROW(103:103)), COLUMN(K:K)), "")</f>
        <v>0</v>
      </c>
      <c r="M105" s="14">
        <f t="array" ref="M105">IFERROR(INDEX(balance_sheet_quarter[#All], SMALL(IF(LOWER(balance_sheet_quarter[Company Name]) = LOWER(balance_sheet_quarter_filter!$B$2), ROW(balance_sheet_quarter[Company Name]) - ROW(INDEX(balance_sheet_quarter[Company Name], 1, 1)) + 1), ROW(103:103)), COLUMN(L:L)), "")</f>
        <v>0</v>
      </c>
      <c r="N105" s="14">
        <f t="array" ref="N105">IFERROR(INDEX(balance_sheet_quarter[#All], SMALL(IF(LOWER(balance_sheet_quarter[Company Name]) = LOWER(balance_sheet_quarter_filter!$B$2), ROW(balance_sheet_quarter[Company Name]) - ROW(INDEX(balance_sheet_quarter[Company Name], 1, 1)) + 1), ROW(103:103)), COLUMN(M:M)), "")</f>
        <v>0</v>
      </c>
      <c r="O105" s="14">
        <f t="array" ref="O105">IFERROR(INDEX(balance_sheet_quarter[#All], SMALL(IF(LOWER(balance_sheet_quarter[Company Name]) = LOWER(balance_sheet_quarter_filter!$B$2), ROW(balance_sheet_quarter[Company Name]) - ROW(INDEX(balance_sheet_quarter[Company Name], 1, 1)) + 1), ROW(103:103)), COLUMN(N:N)), "")</f>
        <v>0</v>
      </c>
      <c r="P105" s="14">
        <f t="array" ref="P105">IFERROR(INDEX(balance_sheet_quarter[#All], SMALL(IF(LOWER(balance_sheet_quarter[Company Name]) = LOWER(balance_sheet_quarter_filter!$B$2), ROW(balance_sheet_quarter[Company Name]) - ROW(INDEX(balance_sheet_quarter[Company Name], 1, 1)) + 1), ROW(103:103)), COLUMN(O:O)), "")</f>
        <v>0</v>
      </c>
    </row>
    <row r="106" spans="3:16" x14ac:dyDescent="0.35">
      <c r="C106" t="str">
        <f t="array" ref="C106">IFERROR(INDEX(balance_sheet_quarter[#All], SMALL(IF(LOWER(balance_sheet_quarter[Company Name]) = LOWER(balance_sheet_quarter_filter!$B$2), ROW(balance_sheet_quarter[Company Name]) - ROW(INDEX(balance_sheet_quarter[Company Name], 1, 1)) + 1), ROW(104:104)), COLUMN(B:B)), "")</f>
        <v>3. Quyền chọn chuyển đổi trái phiếu</v>
      </c>
      <c r="D106" s="14">
        <f t="array" ref="D106">IFERROR(INDEX(balance_sheet_quarter[#All], SMALL(IF(LOWER(balance_sheet_quarter[Company Name]) = LOWER(balance_sheet_quarter_filter!$B$2), ROW(balance_sheet_quarter[Company Name]) - ROW(INDEX(balance_sheet_quarter[Company Name], 1, 1)) + 1), ROW(104:104)), COLUMN(C:C)), "")</f>
        <v>0</v>
      </c>
      <c r="E106" s="14">
        <f t="array" ref="E106">IFERROR(INDEX(balance_sheet_quarter[#All], SMALL(IF(LOWER(balance_sheet_quarter[Company Name]) = LOWER(balance_sheet_quarter_filter!$B$2), ROW(balance_sheet_quarter[Company Name]) - ROW(INDEX(balance_sheet_quarter[Company Name], 1, 1)) + 1), ROW(104:104)), COLUMN(D:D)), "")</f>
        <v>0</v>
      </c>
      <c r="F106" s="14">
        <f t="array" ref="F106">IFERROR(INDEX(balance_sheet_quarter[#All], SMALL(IF(LOWER(balance_sheet_quarter[Company Name]) = LOWER(balance_sheet_quarter_filter!$B$2), ROW(balance_sheet_quarter[Company Name]) - ROW(INDEX(balance_sheet_quarter[Company Name], 1, 1)) + 1), ROW(104:104)), COLUMN(E:E)), "")</f>
        <v>0</v>
      </c>
      <c r="G106" s="14">
        <f t="array" ref="G106">IFERROR(INDEX(balance_sheet_quarter[#All], SMALL(IF(LOWER(balance_sheet_quarter[Company Name]) = LOWER(balance_sheet_quarter_filter!$B$2), ROW(balance_sheet_quarter[Company Name]) - ROW(INDEX(balance_sheet_quarter[Company Name], 1, 1)) + 1), ROW(104:104)), COLUMN(F:F)), "")</f>
        <v>0</v>
      </c>
      <c r="H106" s="14">
        <f t="array" ref="H106">IFERROR(INDEX(balance_sheet_quarter[#All], SMALL(IF(LOWER(balance_sheet_quarter[Company Name]) = LOWER(balance_sheet_quarter_filter!$B$2), ROW(balance_sheet_quarter[Company Name]) - ROW(INDEX(balance_sheet_quarter[Company Name], 1, 1)) + 1), ROW(104:104)), COLUMN(G:G)), "")</f>
        <v>0</v>
      </c>
      <c r="I106" s="14">
        <f t="array" ref="I106">IFERROR(INDEX(balance_sheet_quarter[#All], SMALL(IF(LOWER(balance_sheet_quarter[Company Name]) = LOWER(balance_sheet_quarter_filter!$B$2), ROW(balance_sheet_quarter[Company Name]) - ROW(INDEX(balance_sheet_quarter[Company Name], 1, 1)) + 1), ROW(104:104)), COLUMN(H:H)), "")</f>
        <v>0</v>
      </c>
      <c r="J106" s="14">
        <f t="array" ref="J106">IFERROR(INDEX(balance_sheet_quarter[#All], SMALL(IF(LOWER(balance_sheet_quarter[Company Name]) = LOWER(balance_sheet_quarter_filter!$B$2), ROW(balance_sheet_quarter[Company Name]) - ROW(INDEX(balance_sheet_quarter[Company Name], 1, 1)) + 1), ROW(104:104)), COLUMN(I:I)), "")</f>
        <v>0</v>
      </c>
      <c r="K106" s="14">
        <f t="array" ref="K106">IFERROR(INDEX(balance_sheet_quarter[#All], SMALL(IF(LOWER(balance_sheet_quarter[Company Name]) = LOWER(balance_sheet_quarter_filter!$B$2), ROW(balance_sheet_quarter[Company Name]) - ROW(INDEX(balance_sheet_quarter[Company Name], 1, 1)) + 1), ROW(104:104)), COLUMN(J:J)), "")</f>
        <v>0</v>
      </c>
      <c r="L106" s="14">
        <f t="array" ref="L106">IFERROR(INDEX(balance_sheet_quarter[#All], SMALL(IF(LOWER(balance_sheet_quarter[Company Name]) = LOWER(balance_sheet_quarter_filter!$B$2), ROW(balance_sheet_quarter[Company Name]) - ROW(INDEX(balance_sheet_quarter[Company Name], 1, 1)) + 1), ROW(104:104)), COLUMN(K:K)), "")</f>
        <v>0</v>
      </c>
      <c r="M106" s="14">
        <f t="array" ref="M106">IFERROR(INDEX(balance_sheet_quarter[#All], SMALL(IF(LOWER(balance_sheet_quarter[Company Name]) = LOWER(balance_sheet_quarter_filter!$B$2), ROW(balance_sheet_quarter[Company Name]) - ROW(INDEX(balance_sheet_quarter[Company Name], 1, 1)) + 1), ROW(104:104)), COLUMN(L:L)), "")</f>
        <v>0</v>
      </c>
      <c r="N106" s="14">
        <f t="array" ref="N106">IFERROR(INDEX(balance_sheet_quarter[#All], SMALL(IF(LOWER(balance_sheet_quarter[Company Name]) = LOWER(balance_sheet_quarter_filter!$B$2), ROW(balance_sheet_quarter[Company Name]) - ROW(INDEX(balance_sheet_quarter[Company Name], 1, 1)) + 1), ROW(104:104)), COLUMN(M:M)), "")</f>
        <v>0</v>
      </c>
      <c r="O106" s="14">
        <f t="array" ref="O106">IFERROR(INDEX(balance_sheet_quarter[#All], SMALL(IF(LOWER(balance_sheet_quarter[Company Name]) = LOWER(balance_sheet_quarter_filter!$B$2), ROW(balance_sheet_quarter[Company Name]) - ROW(INDEX(balance_sheet_quarter[Company Name], 1, 1)) + 1), ROW(104:104)), COLUMN(N:N)), "")</f>
        <v>0</v>
      </c>
      <c r="P106" s="14">
        <f t="array" ref="P106">IFERROR(INDEX(balance_sheet_quarter[#All], SMALL(IF(LOWER(balance_sheet_quarter[Company Name]) = LOWER(balance_sheet_quarter_filter!$B$2), ROW(balance_sheet_quarter[Company Name]) - ROW(INDEX(balance_sheet_quarter[Company Name], 1, 1)) + 1), ROW(104:104)), COLUMN(O:O)), "")</f>
        <v>0</v>
      </c>
    </row>
    <row r="107" spans="3:16" x14ac:dyDescent="0.35">
      <c r="C107" t="str">
        <f t="array" ref="C107">IFERROR(INDEX(balance_sheet_quarter[#All], SMALL(IF(LOWER(balance_sheet_quarter[Company Name]) = LOWER(balance_sheet_quarter_filter!$B$2), ROW(balance_sheet_quarter[Company Name]) - ROW(INDEX(balance_sheet_quarter[Company Name], 1, 1)) + 1), ROW(105:105)), COLUMN(B:B)), "")</f>
        <v>4. Vốn khác của chủ sở hữu</v>
      </c>
      <c r="D107" s="14">
        <f t="array" ref="D107">IFERROR(INDEX(balance_sheet_quarter[#All], SMALL(IF(LOWER(balance_sheet_quarter[Company Name]) = LOWER(balance_sheet_quarter_filter!$B$2), ROW(balance_sheet_quarter[Company Name]) - ROW(INDEX(balance_sheet_quarter[Company Name], 1, 1)) + 1), ROW(105:105)), COLUMN(C:C)), "")</f>
        <v>0</v>
      </c>
      <c r="E107" s="14">
        <f t="array" ref="E107">IFERROR(INDEX(balance_sheet_quarter[#All], SMALL(IF(LOWER(balance_sheet_quarter[Company Name]) = LOWER(balance_sheet_quarter_filter!$B$2), ROW(balance_sheet_quarter[Company Name]) - ROW(INDEX(balance_sheet_quarter[Company Name], 1, 1)) + 1), ROW(105:105)), COLUMN(D:D)), "")</f>
        <v>0</v>
      </c>
      <c r="F107" s="14">
        <f t="array" ref="F107">IFERROR(INDEX(balance_sheet_quarter[#All], SMALL(IF(LOWER(balance_sheet_quarter[Company Name]) = LOWER(balance_sheet_quarter_filter!$B$2), ROW(balance_sheet_quarter[Company Name]) - ROW(INDEX(balance_sheet_quarter[Company Name], 1, 1)) + 1), ROW(105:105)), COLUMN(E:E)), "")</f>
        <v>0</v>
      </c>
      <c r="G107" s="14">
        <f t="array" ref="G107">IFERROR(INDEX(balance_sheet_quarter[#All], SMALL(IF(LOWER(balance_sheet_quarter[Company Name]) = LOWER(balance_sheet_quarter_filter!$B$2), ROW(balance_sheet_quarter[Company Name]) - ROW(INDEX(balance_sheet_quarter[Company Name], 1, 1)) + 1), ROW(105:105)), COLUMN(F:F)), "")</f>
        <v>0</v>
      </c>
      <c r="H107" s="14">
        <f t="array" ref="H107">IFERROR(INDEX(balance_sheet_quarter[#All], SMALL(IF(LOWER(balance_sheet_quarter[Company Name]) = LOWER(balance_sheet_quarter_filter!$B$2), ROW(balance_sheet_quarter[Company Name]) - ROW(INDEX(balance_sheet_quarter[Company Name], 1, 1)) + 1), ROW(105:105)), COLUMN(G:G)), "")</f>
        <v>0</v>
      </c>
      <c r="I107" s="14">
        <f t="array" ref="I107">IFERROR(INDEX(balance_sheet_quarter[#All], SMALL(IF(LOWER(balance_sheet_quarter[Company Name]) = LOWER(balance_sheet_quarter_filter!$B$2), ROW(balance_sheet_quarter[Company Name]) - ROW(INDEX(balance_sheet_quarter[Company Name], 1, 1)) + 1), ROW(105:105)), COLUMN(H:H)), "")</f>
        <v>0</v>
      </c>
      <c r="J107" s="14">
        <f t="array" ref="J107">IFERROR(INDEX(balance_sheet_quarter[#All], SMALL(IF(LOWER(balance_sheet_quarter[Company Name]) = LOWER(balance_sheet_quarter_filter!$B$2), ROW(balance_sheet_quarter[Company Name]) - ROW(INDEX(balance_sheet_quarter[Company Name], 1, 1)) + 1), ROW(105:105)), COLUMN(I:I)), "")</f>
        <v>0</v>
      </c>
      <c r="K107" s="14">
        <f t="array" ref="K107">IFERROR(INDEX(balance_sheet_quarter[#All], SMALL(IF(LOWER(balance_sheet_quarter[Company Name]) = LOWER(balance_sheet_quarter_filter!$B$2), ROW(balance_sheet_quarter[Company Name]) - ROW(INDEX(balance_sheet_quarter[Company Name], 1, 1)) + 1), ROW(105:105)), COLUMN(J:J)), "")</f>
        <v>0</v>
      </c>
      <c r="L107" s="14">
        <f t="array" ref="L107">IFERROR(INDEX(balance_sheet_quarter[#All], SMALL(IF(LOWER(balance_sheet_quarter[Company Name]) = LOWER(balance_sheet_quarter_filter!$B$2), ROW(balance_sheet_quarter[Company Name]) - ROW(INDEX(balance_sheet_quarter[Company Name], 1, 1)) + 1), ROW(105:105)), COLUMN(K:K)), "")</f>
        <v>0</v>
      </c>
      <c r="M107" s="14">
        <f t="array" ref="M107">IFERROR(INDEX(balance_sheet_quarter[#All], SMALL(IF(LOWER(balance_sheet_quarter[Company Name]) = LOWER(balance_sheet_quarter_filter!$B$2), ROW(balance_sheet_quarter[Company Name]) - ROW(INDEX(balance_sheet_quarter[Company Name], 1, 1)) + 1), ROW(105:105)), COLUMN(L:L)), "")</f>
        <v>0</v>
      </c>
      <c r="N107" s="14">
        <f t="array" ref="N107">IFERROR(INDEX(balance_sheet_quarter[#All], SMALL(IF(LOWER(balance_sheet_quarter[Company Name]) = LOWER(balance_sheet_quarter_filter!$B$2), ROW(balance_sheet_quarter[Company Name]) - ROW(INDEX(balance_sheet_quarter[Company Name], 1, 1)) + 1), ROW(105:105)), COLUMN(M:M)), "")</f>
        <v>0</v>
      </c>
      <c r="O107" s="14">
        <f t="array" ref="O107">IFERROR(INDEX(balance_sheet_quarter[#All], SMALL(IF(LOWER(balance_sheet_quarter[Company Name]) = LOWER(balance_sheet_quarter_filter!$B$2), ROW(balance_sheet_quarter[Company Name]) - ROW(INDEX(balance_sheet_quarter[Company Name], 1, 1)) + 1), ROW(105:105)), COLUMN(N:N)), "")</f>
        <v>0</v>
      </c>
      <c r="P107" s="14">
        <f t="array" ref="P107">IFERROR(INDEX(balance_sheet_quarter[#All], SMALL(IF(LOWER(balance_sheet_quarter[Company Name]) = LOWER(balance_sheet_quarter_filter!$B$2), ROW(balance_sheet_quarter[Company Name]) - ROW(INDEX(balance_sheet_quarter[Company Name], 1, 1)) + 1), ROW(105:105)), COLUMN(O:O)), "")</f>
        <v>0</v>
      </c>
    </row>
    <row r="108" spans="3:16" x14ac:dyDescent="0.35">
      <c r="C108" t="str">
        <f t="array" ref="C108">IFERROR(INDEX(balance_sheet_quarter[#All], SMALL(IF(LOWER(balance_sheet_quarter[Company Name]) = LOWER(balance_sheet_quarter_filter!$B$2), ROW(balance_sheet_quarter[Company Name]) - ROW(INDEX(balance_sheet_quarter[Company Name], 1, 1)) + 1), ROW(106:106)), COLUMN(B:B)), "")</f>
        <v>5. Cổ phiếu quỹ</v>
      </c>
      <c r="D108" s="14">
        <f t="array" ref="D108">IFERROR(INDEX(balance_sheet_quarter[#All], SMALL(IF(LOWER(balance_sheet_quarter[Company Name]) = LOWER(balance_sheet_quarter_filter!$B$2), ROW(balance_sheet_quarter[Company Name]) - ROW(INDEX(balance_sheet_quarter[Company Name], 1, 1)) + 1), ROW(106:106)), COLUMN(C:C)), "")</f>
        <v>0</v>
      </c>
      <c r="E108" s="14">
        <f t="array" ref="E108">IFERROR(INDEX(balance_sheet_quarter[#All], SMALL(IF(LOWER(balance_sheet_quarter[Company Name]) = LOWER(balance_sheet_quarter_filter!$B$2), ROW(balance_sheet_quarter[Company Name]) - ROW(INDEX(balance_sheet_quarter[Company Name], 1, 1)) + 1), ROW(106:106)), COLUMN(D:D)), "")</f>
        <v>0</v>
      </c>
      <c r="F108" s="14">
        <f t="array" ref="F108">IFERROR(INDEX(balance_sheet_quarter[#All], SMALL(IF(LOWER(balance_sheet_quarter[Company Name]) = LOWER(balance_sheet_quarter_filter!$B$2), ROW(balance_sheet_quarter[Company Name]) - ROW(INDEX(balance_sheet_quarter[Company Name], 1, 1)) + 1), ROW(106:106)), COLUMN(E:E)), "")</f>
        <v>0</v>
      </c>
      <c r="G108" s="14">
        <f t="array" ref="G108">IFERROR(INDEX(balance_sheet_quarter[#All], SMALL(IF(LOWER(balance_sheet_quarter[Company Name]) = LOWER(balance_sheet_quarter_filter!$B$2), ROW(balance_sheet_quarter[Company Name]) - ROW(INDEX(balance_sheet_quarter[Company Name], 1, 1)) + 1), ROW(106:106)), COLUMN(F:F)), "")</f>
        <v>0</v>
      </c>
      <c r="H108" s="14">
        <f t="array" ref="H108">IFERROR(INDEX(balance_sheet_quarter[#All], SMALL(IF(LOWER(balance_sheet_quarter[Company Name]) = LOWER(balance_sheet_quarter_filter!$B$2), ROW(balance_sheet_quarter[Company Name]) - ROW(INDEX(balance_sheet_quarter[Company Name], 1, 1)) + 1), ROW(106:106)), COLUMN(G:G)), "")</f>
        <v>0</v>
      </c>
      <c r="I108" s="14">
        <f t="array" ref="I108">IFERROR(INDEX(balance_sheet_quarter[#All], SMALL(IF(LOWER(balance_sheet_quarter[Company Name]) = LOWER(balance_sheet_quarter_filter!$B$2), ROW(balance_sheet_quarter[Company Name]) - ROW(INDEX(balance_sheet_quarter[Company Name], 1, 1)) + 1), ROW(106:106)), COLUMN(H:H)), "")</f>
        <v>0</v>
      </c>
      <c r="J108" s="14">
        <f t="array" ref="J108">IFERROR(INDEX(balance_sheet_quarter[#All], SMALL(IF(LOWER(balance_sheet_quarter[Company Name]) = LOWER(balance_sheet_quarter_filter!$B$2), ROW(balance_sheet_quarter[Company Name]) - ROW(INDEX(balance_sheet_quarter[Company Name], 1, 1)) + 1), ROW(106:106)), COLUMN(I:I)), "")</f>
        <v>0</v>
      </c>
      <c r="K108" s="14">
        <f t="array" ref="K108">IFERROR(INDEX(balance_sheet_quarter[#All], SMALL(IF(LOWER(balance_sheet_quarter[Company Name]) = LOWER(balance_sheet_quarter_filter!$B$2), ROW(balance_sheet_quarter[Company Name]) - ROW(INDEX(balance_sheet_quarter[Company Name], 1, 1)) + 1), ROW(106:106)), COLUMN(J:J)), "")</f>
        <v>0</v>
      </c>
      <c r="L108" s="14">
        <f t="array" ref="L108">IFERROR(INDEX(balance_sheet_quarter[#All], SMALL(IF(LOWER(balance_sheet_quarter[Company Name]) = LOWER(balance_sheet_quarter_filter!$B$2), ROW(balance_sheet_quarter[Company Name]) - ROW(INDEX(balance_sheet_quarter[Company Name], 1, 1)) + 1), ROW(106:106)), COLUMN(K:K)), "")</f>
        <v>0</v>
      </c>
      <c r="M108" s="14">
        <f t="array" ref="M108">IFERROR(INDEX(balance_sheet_quarter[#All], SMALL(IF(LOWER(balance_sheet_quarter[Company Name]) = LOWER(balance_sheet_quarter_filter!$B$2), ROW(balance_sheet_quarter[Company Name]) - ROW(INDEX(balance_sheet_quarter[Company Name], 1, 1)) + 1), ROW(106:106)), COLUMN(L:L)), "")</f>
        <v>0</v>
      </c>
      <c r="N108" s="14">
        <f t="array" ref="N108">IFERROR(INDEX(balance_sheet_quarter[#All], SMALL(IF(LOWER(balance_sheet_quarter[Company Name]) = LOWER(balance_sheet_quarter_filter!$B$2), ROW(balance_sheet_quarter[Company Name]) - ROW(INDEX(balance_sheet_quarter[Company Name], 1, 1)) + 1), ROW(106:106)), COLUMN(M:M)), "")</f>
        <v>0</v>
      </c>
      <c r="O108" s="14">
        <f t="array" ref="O108">IFERROR(INDEX(balance_sheet_quarter[#All], SMALL(IF(LOWER(balance_sheet_quarter[Company Name]) = LOWER(balance_sheet_quarter_filter!$B$2), ROW(balance_sheet_quarter[Company Name]) - ROW(INDEX(balance_sheet_quarter[Company Name], 1, 1)) + 1), ROW(106:106)), COLUMN(N:N)), "")</f>
        <v>0</v>
      </c>
      <c r="P108" s="14">
        <f t="array" ref="P108">IFERROR(INDEX(balance_sheet_quarter[#All], SMALL(IF(LOWER(balance_sheet_quarter[Company Name]) = LOWER(balance_sheet_quarter_filter!$B$2), ROW(balance_sheet_quarter[Company Name]) - ROW(INDEX(balance_sheet_quarter[Company Name], 1, 1)) + 1), ROW(106:106)), COLUMN(O:O)), "")</f>
        <v>0</v>
      </c>
    </row>
    <row r="109" spans="3:16" x14ac:dyDescent="0.35">
      <c r="C109" t="str">
        <f t="array" ref="C109">IFERROR(INDEX(balance_sheet_quarter[#All], SMALL(IF(LOWER(balance_sheet_quarter[Company Name]) = LOWER(balance_sheet_quarter_filter!$B$2), ROW(balance_sheet_quarter[Company Name]) - ROW(INDEX(balance_sheet_quarter[Company Name], 1, 1)) + 1), ROW(107:107)), COLUMN(B:B)), "")</f>
        <v>6. Chênh lệch đánh giá lại tài sản</v>
      </c>
      <c r="D109" s="14">
        <f t="array" ref="D109">IFERROR(INDEX(balance_sheet_quarter[#All], SMALL(IF(LOWER(balance_sheet_quarter[Company Name]) = LOWER(balance_sheet_quarter_filter!$B$2), ROW(balance_sheet_quarter[Company Name]) - ROW(INDEX(balance_sheet_quarter[Company Name], 1, 1)) + 1), ROW(107:107)), COLUMN(C:C)), "")</f>
        <v>0</v>
      </c>
      <c r="E109" s="14">
        <f t="array" ref="E109">IFERROR(INDEX(balance_sheet_quarter[#All], SMALL(IF(LOWER(balance_sheet_quarter[Company Name]) = LOWER(balance_sheet_quarter_filter!$B$2), ROW(balance_sheet_quarter[Company Name]) - ROW(INDEX(balance_sheet_quarter[Company Name], 1, 1)) + 1), ROW(107:107)), COLUMN(D:D)), "")</f>
        <v>0</v>
      </c>
      <c r="F109" s="14">
        <f t="array" ref="F109">IFERROR(INDEX(balance_sheet_quarter[#All], SMALL(IF(LOWER(balance_sheet_quarter[Company Name]) = LOWER(balance_sheet_quarter_filter!$B$2), ROW(balance_sheet_quarter[Company Name]) - ROW(INDEX(balance_sheet_quarter[Company Name], 1, 1)) + 1), ROW(107:107)), COLUMN(E:E)), "")</f>
        <v>0</v>
      </c>
      <c r="G109" s="14">
        <f t="array" ref="G109">IFERROR(INDEX(balance_sheet_quarter[#All], SMALL(IF(LOWER(balance_sheet_quarter[Company Name]) = LOWER(balance_sheet_quarter_filter!$B$2), ROW(balance_sheet_quarter[Company Name]) - ROW(INDEX(balance_sheet_quarter[Company Name], 1, 1)) + 1), ROW(107:107)), COLUMN(F:F)), "")</f>
        <v>0</v>
      </c>
      <c r="H109" s="14">
        <f t="array" ref="H109">IFERROR(INDEX(balance_sheet_quarter[#All], SMALL(IF(LOWER(balance_sheet_quarter[Company Name]) = LOWER(balance_sheet_quarter_filter!$B$2), ROW(balance_sheet_quarter[Company Name]) - ROW(INDEX(balance_sheet_quarter[Company Name], 1, 1)) + 1), ROW(107:107)), COLUMN(G:G)), "")</f>
        <v>0</v>
      </c>
      <c r="I109" s="14">
        <f t="array" ref="I109">IFERROR(INDEX(balance_sheet_quarter[#All], SMALL(IF(LOWER(balance_sheet_quarter[Company Name]) = LOWER(balance_sheet_quarter_filter!$B$2), ROW(balance_sheet_quarter[Company Name]) - ROW(INDEX(balance_sheet_quarter[Company Name], 1, 1)) + 1), ROW(107:107)), COLUMN(H:H)), "")</f>
        <v>0</v>
      </c>
      <c r="J109" s="14">
        <f t="array" ref="J109">IFERROR(INDEX(balance_sheet_quarter[#All], SMALL(IF(LOWER(balance_sheet_quarter[Company Name]) = LOWER(balance_sheet_quarter_filter!$B$2), ROW(balance_sheet_quarter[Company Name]) - ROW(INDEX(balance_sheet_quarter[Company Name], 1, 1)) + 1), ROW(107:107)), COLUMN(I:I)), "")</f>
        <v>0</v>
      </c>
      <c r="K109" s="14">
        <f t="array" ref="K109">IFERROR(INDEX(balance_sheet_quarter[#All], SMALL(IF(LOWER(balance_sheet_quarter[Company Name]) = LOWER(balance_sheet_quarter_filter!$B$2), ROW(balance_sheet_quarter[Company Name]) - ROW(INDEX(balance_sheet_quarter[Company Name], 1, 1)) + 1), ROW(107:107)), COLUMN(J:J)), "")</f>
        <v>0</v>
      </c>
      <c r="L109" s="14">
        <f t="array" ref="L109">IFERROR(INDEX(balance_sheet_quarter[#All], SMALL(IF(LOWER(balance_sheet_quarter[Company Name]) = LOWER(balance_sheet_quarter_filter!$B$2), ROW(balance_sheet_quarter[Company Name]) - ROW(INDEX(balance_sheet_quarter[Company Name], 1, 1)) + 1), ROW(107:107)), COLUMN(K:K)), "")</f>
        <v>0</v>
      </c>
      <c r="M109" s="14">
        <f t="array" ref="M109">IFERROR(INDEX(balance_sheet_quarter[#All], SMALL(IF(LOWER(balance_sheet_quarter[Company Name]) = LOWER(balance_sheet_quarter_filter!$B$2), ROW(balance_sheet_quarter[Company Name]) - ROW(INDEX(balance_sheet_quarter[Company Name], 1, 1)) + 1), ROW(107:107)), COLUMN(L:L)), "")</f>
        <v>0</v>
      </c>
      <c r="N109" s="14">
        <f t="array" ref="N109">IFERROR(INDEX(balance_sheet_quarter[#All], SMALL(IF(LOWER(balance_sheet_quarter[Company Name]) = LOWER(balance_sheet_quarter_filter!$B$2), ROW(balance_sheet_quarter[Company Name]) - ROW(INDEX(balance_sheet_quarter[Company Name], 1, 1)) + 1), ROW(107:107)), COLUMN(M:M)), "")</f>
        <v>0</v>
      </c>
      <c r="O109" s="14">
        <f t="array" ref="O109">IFERROR(INDEX(balance_sheet_quarter[#All], SMALL(IF(LOWER(balance_sheet_quarter[Company Name]) = LOWER(balance_sheet_quarter_filter!$B$2), ROW(balance_sheet_quarter[Company Name]) - ROW(INDEX(balance_sheet_quarter[Company Name], 1, 1)) + 1), ROW(107:107)), COLUMN(N:N)), "")</f>
        <v>0</v>
      </c>
      <c r="P109" s="14">
        <f t="array" ref="P109">IFERROR(INDEX(balance_sheet_quarter[#All], SMALL(IF(LOWER(balance_sheet_quarter[Company Name]) = LOWER(balance_sheet_quarter_filter!$B$2), ROW(balance_sheet_quarter[Company Name]) - ROW(INDEX(balance_sheet_quarter[Company Name], 1, 1)) + 1), ROW(107:107)), COLUMN(O:O)), "")</f>
        <v>0</v>
      </c>
    </row>
    <row r="110" spans="3:16" x14ac:dyDescent="0.35">
      <c r="C110" t="str">
        <f t="array" ref="C110">IFERROR(INDEX(balance_sheet_quarter[#All], SMALL(IF(LOWER(balance_sheet_quarter[Company Name]) = LOWER(balance_sheet_quarter_filter!$B$2), ROW(balance_sheet_quarter[Company Name]) - ROW(INDEX(balance_sheet_quarter[Company Name], 1, 1)) + 1), ROW(108:108)), COLUMN(B:B)), "")</f>
        <v>7. Chênh lệch tỷ giá hối đoái</v>
      </c>
      <c r="D110" s="14">
        <f t="array" ref="D110">IFERROR(INDEX(balance_sheet_quarter[#All], SMALL(IF(LOWER(balance_sheet_quarter[Company Name]) = LOWER(balance_sheet_quarter_filter!$B$2), ROW(balance_sheet_quarter[Company Name]) - ROW(INDEX(balance_sheet_quarter[Company Name], 1, 1)) + 1), ROW(108:108)), COLUMN(C:C)), "")</f>
        <v>0</v>
      </c>
      <c r="E110" s="14">
        <f t="array" ref="E110">IFERROR(INDEX(balance_sheet_quarter[#All], SMALL(IF(LOWER(balance_sheet_quarter[Company Name]) = LOWER(balance_sheet_quarter_filter!$B$2), ROW(balance_sheet_quarter[Company Name]) - ROW(INDEX(balance_sheet_quarter[Company Name], 1, 1)) + 1), ROW(108:108)), COLUMN(D:D)), "")</f>
        <v>0</v>
      </c>
      <c r="F110" s="14">
        <f t="array" ref="F110">IFERROR(INDEX(balance_sheet_quarter[#All], SMALL(IF(LOWER(balance_sheet_quarter[Company Name]) = LOWER(balance_sheet_quarter_filter!$B$2), ROW(balance_sheet_quarter[Company Name]) - ROW(INDEX(balance_sheet_quarter[Company Name], 1, 1)) + 1), ROW(108:108)), COLUMN(E:E)), "")</f>
        <v>0</v>
      </c>
      <c r="G110" s="14">
        <f t="array" ref="G110">IFERROR(INDEX(balance_sheet_quarter[#All], SMALL(IF(LOWER(balance_sheet_quarter[Company Name]) = LOWER(balance_sheet_quarter_filter!$B$2), ROW(balance_sheet_quarter[Company Name]) - ROW(INDEX(balance_sheet_quarter[Company Name], 1, 1)) + 1), ROW(108:108)), COLUMN(F:F)), "")</f>
        <v>0</v>
      </c>
      <c r="H110" s="14">
        <f t="array" ref="H110">IFERROR(INDEX(balance_sheet_quarter[#All], SMALL(IF(LOWER(balance_sheet_quarter[Company Name]) = LOWER(balance_sheet_quarter_filter!$B$2), ROW(balance_sheet_quarter[Company Name]) - ROW(INDEX(balance_sheet_quarter[Company Name], 1, 1)) + 1), ROW(108:108)), COLUMN(G:G)), "")</f>
        <v>0</v>
      </c>
      <c r="I110" s="14">
        <f t="array" ref="I110">IFERROR(INDEX(balance_sheet_quarter[#All], SMALL(IF(LOWER(balance_sheet_quarter[Company Name]) = LOWER(balance_sheet_quarter_filter!$B$2), ROW(balance_sheet_quarter[Company Name]) - ROW(INDEX(balance_sheet_quarter[Company Name], 1, 1)) + 1), ROW(108:108)), COLUMN(H:H)), "")</f>
        <v>0</v>
      </c>
      <c r="J110" s="14">
        <f t="array" ref="J110">IFERROR(INDEX(balance_sheet_quarter[#All], SMALL(IF(LOWER(balance_sheet_quarter[Company Name]) = LOWER(balance_sheet_quarter_filter!$B$2), ROW(balance_sheet_quarter[Company Name]) - ROW(INDEX(balance_sheet_quarter[Company Name], 1, 1)) + 1), ROW(108:108)), COLUMN(I:I)), "")</f>
        <v>0</v>
      </c>
      <c r="K110" s="14">
        <f t="array" ref="K110">IFERROR(INDEX(balance_sheet_quarter[#All], SMALL(IF(LOWER(balance_sheet_quarter[Company Name]) = LOWER(balance_sheet_quarter_filter!$B$2), ROW(balance_sheet_quarter[Company Name]) - ROW(INDEX(balance_sheet_quarter[Company Name], 1, 1)) + 1), ROW(108:108)), COLUMN(J:J)), "")</f>
        <v>0</v>
      </c>
      <c r="L110" s="14">
        <f t="array" ref="L110">IFERROR(INDEX(balance_sheet_quarter[#All], SMALL(IF(LOWER(balance_sheet_quarter[Company Name]) = LOWER(balance_sheet_quarter_filter!$B$2), ROW(balance_sheet_quarter[Company Name]) - ROW(INDEX(balance_sheet_quarter[Company Name], 1, 1)) + 1), ROW(108:108)), COLUMN(K:K)), "")</f>
        <v>0</v>
      </c>
      <c r="M110" s="14">
        <f t="array" ref="M110">IFERROR(INDEX(balance_sheet_quarter[#All], SMALL(IF(LOWER(balance_sheet_quarter[Company Name]) = LOWER(balance_sheet_quarter_filter!$B$2), ROW(balance_sheet_quarter[Company Name]) - ROW(INDEX(balance_sheet_quarter[Company Name], 1, 1)) + 1), ROW(108:108)), COLUMN(L:L)), "")</f>
        <v>0</v>
      </c>
      <c r="N110" s="14">
        <f t="array" ref="N110">IFERROR(INDEX(balance_sheet_quarter[#All], SMALL(IF(LOWER(balance_sheet_quarter[Company Name]) = LOWER(balance_sheet_quarter_filter!$B$2), ROW(balance_sheet_quarter[Company Name]) - ROW(INDEX(balance_sheet_quarter[Company Name], 1, 1)) + 1), ROW(108:108)), COLUMN(M:M)), "")</f>
        <v>0</v>
      </c>
      <c r="O110" s="14">
        <f t="array" ref="O110">IFERROR(INDEX(balance_sheet_quarter[#All], SMALL(IF(LOWER(balance_sheet_quarter[Company Name]) = LOWER(balance_sheet_quarter_filter!$B$2), ROW(balance_sheet_quarter[Company Name]) - ROW(INDEX(balance_sheet_quarter[Company Name], 1, 1)) + 1), ROW(108:108)), COLUMN(N:N)), "")</f>
        <v>0</v>
      </c>
      <c r="P110" s="14">
        <f t="array" ref="P110">IFERROR(INDEX(balance_sheet_quarter[#All], SMALL(IF(LOWER(balance_sheet_quarter[Company Name]) = LOWER(balance_sheet_quarter_filter!$B$2), ROW(balance_sheet_quarter[Company Name]) - ROW(INDEX(balance_sheet_quarter[Company Name], 1, 1)) + 1), ROW(108:108)), COLUMN(O:O)), "")</f>
        <v>0</v>
      </c>
    </row>
    <row r="111" spans="3:16" x14ac:dyDescent="0.35">
      <c r="C111" t="str">
        <f t="array" ref="C111">IFERROR(INDEX(balance_sheet_quarter[#All], SMALL(IF(LOWER(balance_sheet_quarter[Company Name]) = LOWER(balance_sheet_quarter_filter!$B$2), ROW(balance_sheet_quarter[Company Name]) - ROW(INDEX(balance_sheet_quarter[Company Name], 1, 1)) + 1), ROW(109:109)), COLUMN(B:B)), "")</f>
        <v>8. Quỹ đầu tư phát triển</v>
      </c>
      <c r="D111" s="14">
        <f t="array" ref="D111">IFERROR(INDEX(balance_sheet_quarter[#All], SMALL(IF(LOWER(balance_sheet_quarter[Company Name]) = LOWER(balance_sheet_quarter_filter!$B$2), ROW(balance_sheet_quarter[Company Name]) - ROW(INDEX(balance_sheet_quarter[Company Name], 1, 1)) + 1), ROW(109:109)), COLUMN(C:C)), "")</f>
        <v>0</v>
      </c>
      <c r="E111" s="14">
        <f t="array" ref="E111">IFERROR(INDEX(balance_sheet_quarter[#All], SMALL(IF(LOWER(balance_sheet_quarter[Company Name]) = LOWER(balance_sheet_quarter_filter!$B$2), ROW(balance_sheet_quarter[Company Name]) - ROW(INDEX(balance_sheet_quarter[Company Name], 1, 1)) + 1), ROW(109:109)), COLUMN(D:D)), "")</f>
        <v>0</v>
      </c>
      <c r="F111" s="14">
        <f t="array" ref="F111">IFERROR(INDEX(balance_sheet_quarter[#All], SMALL(IF(LOWER(balance_sheet_quarter[Company Name]) = LOWER(balance_sheet_quarter_filter!$B$2), ROW(balance_sheet_quarter[Company Name]) - ROW(INDEX(balance_sheet_quarter[Company Name], 1, 1)) + 1), ROW(109:109)), COLUMN(E:E)), "")</f>
        <v>0</v>
      </c>
      <c r="G111" s="14">
        <f t="array" ref="G111">IFERROR(INDEX(balance_sheet_quarter[#All], SMALL(IF(LOWER(balance_sheet_quarter[Company Name]) = LOWER(balance_sheet_quarter_filter!$B$2), ROW(balance_sheet_quarter[Company Name]) - ROW(INDEX(balance_sheet_quarter[Company Name], 1, 1)) + 1), ROW(109:109)), COLUMN(F:F)), "")</f>
        <v>0</v>
      </c>
      <c r="H111" s="14">
        <f t="array" ref="H111">IFERROR(INDEX(balance_sheet_quarter[#All], SMALL(IF(LOWER(balance_sheet_quarter[Company Name]) = LOWER(balance_sheet_quarter_filter!$B$2), ROW(balance_sheet_quarter[Company Name]) - ROW(INDEX(balance_sheet_quarter[Company Name], 1, 1)) + 1), ROW(109:109)), COLUMN(G:G)), "")</f>
        <v>0</v>
      </c>
      <c r="I111" s="14">
        <f t="array" ref="I111">IFERROR(INDEX(balance_sheet_quarter[#All], SMALL(IF(LOWER(balance_sheet_quarter[Company Name]) = LOWER(balance_sheet_quarter_filter!$B$2), ROW(balance_sheet_quarter[Company Name]) - ROW(INDEX(balance_sheet_quarter[Company Name], 1, 1)) + 1), ROW(109:109)), COLUMN(H:H)), "")</f>
        <v>0</v>
      </c>
      <c r="J111" s="14">
        <f t="array" ref="J111">IFERROR(INDEX(balance_sheet_quarter[#All], SMALL(IF(LOWER(balance_sheet_quarter[Company Name]) = LOWER(balance_sheet_quarter_filter!$B$2), ROW(balance_sheet_quarter[Company Name]) - ROW(INDEX(balance_sheet_quarter[Company Name], 1, 1)) + 1), ROW(109:109)), COLUMN(I:I)), "")</f>
        <v>0</v>
      </c>
      <c r="K111" s="14">
        <f t="array" ref="K111">IFERROR(INDEX(balance_sheet_quarter[#All], SMALL(IF(LOWER(balance_sheet_quarter[Company Name]) = LOWER(balance_sheet_quarter_filter!$B$2), ROW(balance_sheet_quarter[Company Name]) - ROW(INDEX(balance_sheet_quarter[Company Name], 1, 1)) + 1), ROW(109:109)), COLUMN(J:J)), "")</f>
        <v>0</v>
      </c>
      <c r="L111" s="14">
        <f t="array" ref="L111">IFERROR(INDEX(balance_sheet_quarter[#All], SMALL(IF(LOWER(balance_sheet_quarter[Company Name]) = LOWER(balance_sheet_quarter_filter!$B$2), ROW(balance_sheet_quarter[Company Name]) - ROW(INDEX(balance_sheet_quarter[Company Name], 1, 1)) + 1), ROW(109:109)), COLUMN(K:K)), "")</f>
        <v>0</v>
      </c>
      <c r="M111" s="14">
        <f t="array" ref="M111">IFERROR(INDEX(balance_sheet_quarter[#All], SMALL(IF(LOWER(balance_sheet_quarter[Company Name]) = LOWER(balance_sheet_quarter_filter!$B$2), ROW(balance_sheet_quarter[Company Name]) - ROW(INDEX(balance_sheet_quarter[Company Name], 1, 1)) + 1), ROW(109:109)), COLUMN(L:L)), "")</f>
        <v>0</v>
      </c>
      <c r="N111" s="14">
        <f t="array" ref="N111">IFERROR(INDEX(balance_sheet_quarter[#All], SMALL(IF(LOWER(balance_sheet_quarter[Company Name]) = LOWER(balance_sheet_quarter_filter!$B$2), ROW(balance_sheet_quarter[Company Name]) - ROW(INDEX(balance_sheet_quarter[Company Name], 1, 1)) + 1), ROW(109:109)), COLUMN(M:M)), "")</f>
        <v>0</v>
      </c>
      <c r="O111" s="14">
        <f t="array" ref="O111">IFERROR(INDEX(balance_sheet_quarter[#All], SMALL(IF(LOWER(balance_sheet_quarter[Company Name]) = LOWER(balance_sheet_quarter_filter!$B$2), ROW(balance_sheet_quarter[Company Name]) - ROW(INDEX(balance_sheet_quarter[Company Name], 1, 1)) + 1), ROW(109:109)), COLUMN(N:N)), "")</f>
        <v>0</v>
      </c>
      <c r="P111" s="14">
        <f t="array" ref="P111">IFERROR(INDEX(balance_sheet_quarter[#All], SMALL(IF(LOWER(balance_sheet_quarter[Company Name]) = LOWER(balance_sheet_quarter_filter!$B$2), ROW(balance_sheet_quarter[Company Name]) - ROW(INDEX(balance_sheet_quarter[Company Name], 1, 1)) + 1), ROW(109:109)), COLUMN(O:O)), "")</f>
        <v>0</v>
      </c>
    </row>
    <row r="112" spans="3:16" x14ac:dyDescent="0.35">
      <c r="C112" t="str">
        <f t="array" ref="C112">IFERROR(INDEX(balance_sheet_quarter[#All], SMALL(IF(LOWER(balance_sheet_quarter[Company Name]) = LOWER(balance_sheet_quarter_filter!$B$2), ROW(balance_sheet_quarter[Company Name]) - ROW(INDEX(balance_sheet_quarter[Company Name], 1, 1)) + 1), ROW(110:110)), COLUMN(B:B)), "")</f>
        <v>9. Quỹ hỗ trợ sắp xếp doanh nghiệp</v>
      </c>
      <c r="D112" s="14">
        <f t="array" ref="D112">IFERROR(INDEX(balance_sheet_quarter[#All], SMALL(IF(LOWER(balance_sheet_quarter[Company Name]) = LOWER(balance_sheet_quarter_filter!$B$2), ROW(balance_sheet_quarter[Company Name]) - ROW(INDEX(balance_sheet_quarter[Company Name], 1, 1)) + 1), ROW(110:110)), COLUMN(C:C)), "")</f>
        <v>0</v>
      </c>
      <c r="E112" s="14">
        <f t="array" ref="E112">IFERROR(INDEX(balance_sheet_quarter[#All], SMALL(IF(LOWER(balance_sheet_quarter[Company Name]) = LOWER(balance_sheet_quarter_filter!$B$2), ROW(balance_sheet_quarter[Company Name]) - ROW(INDEX(balance_sheet_quarter[Company Name], 1, 1)) + 1), ROW(110:110)), COLUMN(D:D)), "")</f>
        <v>0</v>
      </c>
      <c r="F112" s="14">
        <f t="array" ref="F112">IFERROR(INDEX(balance_sheet_quarter[#All], SMALL(IF(LOWER(balance_sheet_quarter[Company Name]) = LOWER(balance_sheet_quarter_filter!$B$2), ROW(balance_sheet_quarter[Company Name]) - ROW(INDEX(balance_sheet_quarter[Company Name], 1, 1)) + 1), ROW(110:110)), COLUMN(E:E)), "")</f>
        <v>0</v>
      </c>
      <c r="G112" s="14">
        <f t="array" ref="G112">IFERROR(INDEX(balance_sheet_quarter[#All], SMALL(IF(LOWER(balance_sheet_quarter[Company Name]) = LOWER(balance_sheet_quarter_filter!$B$2), ROW(balance_sheet_quarter[Company Name]) - ROW(INDEX(balance_sheet_quarter[Company Name], 1, 1)) + 1), ROW(110:110)), COLUMN(F:F)), "")</f>
        <v>0</v>
      </c>
      <c r="H112" s="14">
        <f t="array" ref="H112">IFERROR(INDEX(balance_sheet_quarter[#All], SMALL(IF(LOWER(balance_sheet_quarter[Company Name]) = LOWER(balance_sheet_quarter_filter!$B$2), ROW(balance_sheet_quarter[Company Name]) - ROW(INDEX(balance_sheet_quarter[Company Name], 1, 1)) + 1), ROW(110:110)), COLUMN(G:G)), "")</f>
        <v>0</v>
      </c>
      <c r="I112" s="14">
        <f t="array" ref="I112">IFERROR(INDEX(balance_sheet_quarter[#All], SMALL(IF(LOWER(balance_sheet_quarter[Company Name]) = LOWER(balance_sheet_quarter_filter!$B$2), ROW(balance_sheet_quarter[Company Name]) - ROW(INDEX(balance_sheet_quarter[Company Name], 1, 1)) + 1), ROW(110:110)), COLUMN(H:H)), "")</f>
        <v>0</v>
      </c>
      <c r="J112" s="14">
        <f t="array" ref="J112">IFERROR(INDEX(balance_sheet_quarter[#All], SMALL(IF(LOWER(balance_sheet_quarter[Company Name]) = LOWER(balance_sheet_quarter_filter!$B$2), ROW(balance_sheet_quarter[Company Name]) - ROW(INDEX(balance_sheet_quarter[Company Name], 1, 1)) + 1), ROW(110:110)), COLUMN(I:I)), "")</f>
        <v>0</v>
      </c>
      <c r="K112" s="14">
        <f t="array" ref="K112">IFERROR(INDEX(balance_sheet_quarter[#All], SMALL(IF(LOWER(balance_sheet_quarter[Company Name]) = LOWER(balance_sheet_quarter_filter!$B$2), ROW(balance_sheet_quarter[Company Name]) - ROW(INDEX(balance_sheet_quarter[Company Name], 1, 1)) + 1), ROW(110:110)), COLUMN(J:J)), "")</f>
        <v>0</v>
      </c>
      <c r="L112" s="14">
        <f t="array" ref="L112">IFERROR(INDEX(balance_sheet_quarter[#All], SMALL(IF(LOWER(balance_sheet_quarter[Company Name]) = LOWER(balance_sheet_quarter_filter!$B$2), ROW(balance_sheet_quarter[Company Name]) - ROW(INDEX(balance_sheet_quarter[Company Name], 1, 1)) + 1), ROW(110:110)), COLUMN(K:K)), "")</f>
        <v>0</v>
      </c>
      <c r="M112" s="14">
        <f t="array" ref="M112">IFERROR(INDEX(balance_sheet_quarter[#All], SMALL(IF(LOWER(balance_sheet_quarter[Company Name]) = LOWER(balance_sheet_quarter_filter!$B$2), ROW(balance_sheet_quarter[Company Name]) - ROW(INDEX(balance_sheet_quarter[Company Name], 1, 1)) + 1), ROW(110:110)), COLUMN(L:L)), "")</f>
        <v>0</v>
      </c>
      <c r="N112" s="14">
        <f t="array" ref="N112">IFERROR(INDEX(balance_sheet_quarter[#All], SMALL(IF(LOWER(balance_sheet_quarter[Company Name]) = LOWER(balance_sheet_quarter_filter!$B$2), ROW(balance_sheet_quarter[Company Name]) - ROW(INDEX(balance_sheet_quarter[Company Name], 1, 1)) + 1), ROW(110:110)), COLUMN(M:M)), "")</f>
        <v>0</v>
      </c>
      <c r="O112" s="14">
        <f t="array" ref="O112">IFERROR(INDEX(balance_sheet_quarter[#All], SMALL(IF(LOWER(balance_sheet_quarter[Company Name]) = LOWER(balance_sheet_quarter_filter!$B$2), ROW(balance_sheet_quarter[Company Name]) - ROW(INDEX(balance_sheet_quarter[Company Name], 1, 1)) + 1), ROW(110:110)), COLUMN(N:N)), "")</f>
        <v>0</v>
      </c>
      <c r="P112" s="14">
        <f t="array" ref="P112">IFERROR(INDEX(balance_sheet_quarter[#All], SMALL(IF(LOWER(balance_sheet_quarter[Company Name]) = LOWER(balance_sheet_quarter_filter!$B$2), ROW(balance_sheet_quarter[Company Name]) - ROW(INDEX(balance_sheet_quarter[Company Name], 1, 1)) + 1), ROW(110:110)), COLUMN(O:O)), "")</f>
        <v>0</v>
      </c>
    </row>
    <row r="113" spans="3:16" x14ac:dyDescent="0.35">
      <c r="C113" t="str">
        <f t="array" ref="C113">IFERROR(INDEX(balance_sheet_quarter[#All], SMALL(IF(LOWER(balance_sheet_quarter[Company Name]) = LOWER(balance_sheet_quarter_filter!$B$2), ROW(balance_sheet_quarter[Company Name]) - ROW(INDEX(balance_sheet_quarter[Company Name], 1, 1)) + 1), ROW(111:111)), COLUMN(B:B)), "")</f>
        <v>10. Quỹ khác thuộc vốn chủ sở hữu</v>
      </c>
      <c r="D113" s="14">
        <f t="array" ref="D113">IFERROR(INDEX(balance_sheet_quarter[#All], SMALL(IF(LOWER(balance_sheet_quarter[Company Name]) = LOWER(balance_sheet_quarter_filter!$B$2), ROW(balance_sheet_quarter[Company Name]) - ROW(INDEX(balance_sheet_quarter[Company Name], 1, 1)) + 1), ROW(111:111)), COLUMN(C:C)), "")</f>
        <v>0</v>
      </c>
      <c r="E113" s="14">
        <f t="array" ref="E113">IFERROR(INDEX(balance_sheet_quarter[#All], SMALL(IF(LOWER(balance_sheet_quarter[Company Name]) = LOWER(balance_sheet_quarter_filter!$B$2), ROW(balance_sheet_quarter[Company Name]) - ROW(INDEX(balance_sheet_quarter[Company Name], 1, 1)) + 1), ROW(111:111)), COLUMN(D:D)), "")</f>
        <v>0</v>
      </c>
      <c r="F113" s="14">
        <f t="array" ref="F113">IFERROR(INDEX(balance_sheet_quarter[#All], SMALL(IF(LOWER(balance_sheet_quarter[Company Name]) = LOWER(balance_sheet_quarter_filter!$B$2), ROW(balance_sheet_quarter[Company Name]) - ROW(INDEX(balance_sheet_quarter[Company Name], 1, 1)) + 1), ROW(111:111)), COLUMN(E:E)), "")</f>
        <v>0</v>
      </c>
      <c r="G113" s="14">
        <f t="array" ref="G113">IFERROR(INDEX(balance_sheet_quarter[#All], SMALL(IF(LOWER(balance_sheet_quarter[Company Name]) = LOWER(balance_sheet_quarter_filter!$B$2), ROW(balance_sheet_quarter[Company Name]) - ROW(INDEX(balance_sheet_quarter[Company Name], 1, 1)) + 1), ROW(111:111)), COLUMN(F:F)), "")</f>
        <v>0</v>
      </c>
      <c r="H113" s="14">
        <f t="array" ref="H113">IFERROR(INDEX(balance_sheet_quarter[#All], SMALL(IF(LOWER(balance_sheet_quarter[Company Name]) = LOWER(balance_sheet_quarter_filter!$B$2), ROW(balance_sheet_quarter[Company Name]) - ROW(INDEX(balance_sheet_quarter[Company Name], 1, 1)) + 1), ROW(111:111)), COLUMN(G:G)), "")</f>
        <v>0</v>
      </c>
      <c r="I113" s="14">
        <f t="array" ref="I113">IFERROR(INDEX(balance_sheet_quarter[#All], SMALL(IF(LOWER(balance_sheet_quarter[Company Name]) = LOWER(balance_sheet_quarter_filter!$B$2), ROW(balance_sheet_quarter[Company Name]) - ROW(INDEX(balance_sheet_quarter[Company Name], 1, 1)) + 1), ROW(111:111)), COLUMN(H:H)), "")</f>
        <v>0</v>
      </c>
      <c r="J113" s="14">
        <f t="array" ref="J113">IFERROR(INDEX(balance_sheet_quarter[#All], SMALL(IF(LOWER(balance_sheet_quarter[Company Name]) = LOWER(balance_sheet_quarter_filter!$B$2), ROW(balance_sheet_quarter[Company Name]) - ROW(INDEX(balance_sheet_quarter[Company Name], 1, 1)) + 1), ROW(111:111)), COLUMN(I:I)), "")</f>
        <v>0</v>
      </c>
      <c r="K113" s="14">
        <f t="array" ref="K113">IFERROR(INDEX(balance_sheet_quarter[#All], SMALL(IF(LOWER(balance_sheet_quarter[Company Name]) = LOWER(balance_sheet_quarter_filter!$B$2), ROW(balance_sheet_quarter[Company Name]) - ROW(INDEX(balance_sheet_quarter[Company Name], 1, 1)) + 1), ROW(111:111)), COLUMN(J:J)), "")</f>
        <v>0</v>
      </c>
      <c r="L113" s="14">
        <f t="array" ref="L113">IFERROR(INDEX(balance_sheet_quarter[#All], SMALL(IF(LOWER(balance_sheet_quarter[Company Name]) = LOWER(balance_sheet_quarter_filter!$B$2), ROW(balance_sheet_quarter[Company Name]) - ROW(INDEX(balance_sheet_quarter[Company Name], 1, 1)) + 1), ROW(111:111)), COLUMN(K:K)), "")</f>
        <v>0</v>
      </c>
      <c r="M113" s="14">
        <f t="array" ref="M113">IFERROR(INDEX(balance_sheet_quarter[#All], SMALL(IF(LOWER(balance_sheet_quarter[Company Name]) = LOWER(balance_sheet_quarter_filter!$B$2), ROW(balance_sheet_quarter[Company Name]) - ROW(INDEX(balance_sheet_quarter[Company Name], 1, 1)) + 1), ROW(111:111)), COLUMN(L:L)), "")</f>
        <v>0</v>
      </c>
      <c r="N113" s="14">
        <f t="array" ref="N113">IFERROR(INDEX(balance_sheet_quarter[#All], SMALL(IF(LOWER(balance_sheet_quarter[Company Name]) = LOWER(balance_sheet_quarter_filter!$B$2), ROW(balance_sheet_quarter[Company Name]) - ROW(INDEX(balance_sheet_quarter[Company Name], 1, 1)) + 1), ROW(111:111)), COLUMN(M:M)), "")</f>
        <v>0</v>
      </c>
      <c r="O113" s="14">
        <f t="array" ref="O113">IFERROR(INDEX(balance_sheet_quarter[#All], SMALL(IF(LOWER(balance_sheet_quarter[Company Name]) = LOWER(balance_sheet_quarter_filter!$B$2), ROW(balance_sheet_quarter[Company Name]) - ROW(INDEX(balance_sheet_quarter[Company Name], 1, 1)) + 1), ROW(111:111)), COLUMN(N:N)), "")</f>
        <v>0</v>
      </c>
      <c r="P113" s="14">
        <f t="array" ref="P113">IFERROR(INDEX(balance_sheet_quarter[#All], SMALL(IF(LOWER(balance_sheet_quarter[Company Name]) = LOWER(balance_sheet_quarter_filter!$B$2), ROW(balance_sheet_quarter[Company Name]) - ROW(INDEX(balance_sheet_quarter[Company Name], 1, 1)) + 1), ROW(111:111)), COLUMN(O:O)), "")</f>
        <v>0</v>
      </c>
    </row>
    <row r="114" spans="3:16" x14ac:dyDescent="0.35">
      <c r="C114" t="str">
        <f t="array" ref="C114">IFERROR(INDEX(balance_sheet_quarter[#All], SMALL(IF(LOWER(balance_sheet_quarter[Company Name]) = LOWER(balance_sheet_quarter_filter!$B$2), ROW(balance_sheet_quarter[Company Name]) - ROW(INDEX(balance_sheet_quarter[Company Name], 1, 1)) + 1), ROW(112:112)), COLUMN(B:B)), "")</f>
        <v>11. Lợi nhuận sau thuế chưa phân phối</v>
      </c>
      <c r="D114" s="14">
        <f t="array" ref="D114">IFERROR(INDEX(balance_sheet_quarter[#All], SMALL(IF(LOWER(balance_sheet_quarter[Company Name]) = LOWER(balance_sheet_quarter_filter!$B$2), ROW(balance_sheet_quarter[Company Name]) - ROW(INDEX(balance_sheet_quarter[Company Name], 1, 1)) + 1), ROW(112:112)), COLUMN(C:C)), "")</f>
        <v>283316367486</v>
      </c>
      <c r="E114" s="14">
        <f t="array" ref="E114">IFERROR(INDEX(balance_sheet_quarter[#All], SMALL(IF(LOWER(balance_sheet_quarter[Company Name]) = LOWER(balance_sheet_quarter_filter!$B$2), ROW(balance_sheet_quarter[Company Name]) - ROW(INDEX(balance_sheet_quarter[Company Name], 1, 1)) + 1), ROW(112:112)), COLUMN(D:D)), "")</f>
        <v>303447513247</v>
      </c>
      <c r="F114" s="14">
        <f t="array" ref="F114">IFERROR(INDEX(balance_sheet_quarter[#All], SMALL(IF(LOWER(balance_sheet_quarter[Company Name]) = LOWER(balance_sheet_quarter_filter!$B$2), ROW(balance_sheet_quarter[Company Name]) - ROW(INDEX(balance_sheet_quarter[Company Name], 1, 1)) + 1), ROW(112:112)), COLUMN(E:E)), "")</f>
        <v>329132135344</v>
      </c>
      <c r="G114" s="14">
        <f t="array" ref="G114">IFERROR(INDEX(balance_sheet_quarter[#All], SMALL(IF(LOWER(balance_sheet_quarter[Company Name]) = LOWER(balance_sheet_quarter_filter!$B$2), ROW(balance_sheet_quarter[Company Name]) - ROW(INDEX(balance_sheet_quarter[Company Name], 1, 1)) + 1), ROW(112:112)), COLUMN(F:F)), "")</f>
        <v>362654802094</v>
      </c>
      <c r="H114" s="14">
        <f t="array" ref="H114">IFERROR(INDEX(balance_sheet_quarter[#All], SMALL(IF(LOWER(balance_sheet_quarter[Company Name]) = LOWER(balance_sheet_quarter_filter!$B$2), ROW(balance_sheet_quarter[Company Name]) - ROW(INDEX(balance_sheet_quarter[Company Name], 1, 1)) + 1), ROW(112:112)), COLUMN(G:G)), "")</f>
        <v>280365455326</v>
      </c>
      <c r="I114" s="14">
        <f t="array" ref="I114">IFERROR(INDEX(balance_sheet_quarter[#All], SMALL(IF(LOWER(balance_sheet_quarter[Company Name]) = LOWER(balance_sheet_quarter_filter!$B$2), ROW(balance_sheet_quarter[Company Name]) - ROW(INDEX(balance_sheet_quarter[Company Name], 1, 1)) + 1), ROW(112:112)), COLUMN(H:H)), "")</f>
        <v>299766657459</v>
      </c>
      <c r="J114" s="14">
        <f t="array" ref="J114">IFERROR(INDEX(balance_sheet_quarter[#All], SMALL(IF(LOWER(balance_sheet_quarter[Company Name]) = LOWER(balance_sheet_quarter_filter!$B$2), ROW(balance_sheet_quarter[Company Name]) - ROW(INDEX(balance_sheet_quarter[Company Name], 1, 1)) + 1), ROW(112:112)), COLUMN(I:I)), "")</f>
        <v>350942941253</v>
      </c>
      <c r="K114" s="14">
        <f t="array" ref="K114">IFERROR(INDEX(balance_sheet_quarter[#All], SMALL(IF(LOWER(balance_sheet_quarter[Company Name]) = LOWER(balance_sheet_quarter_filter!$B$2), ROW(balance_sheet_quarter[Company Name]) - ROW(INDEX(balance_sheet_quarter[Company Name], 1, 1)) + 1), ROW(112:112)), COLUMN(J:J)), "")</f>
        <v>407290367134</v>
      </c>
      <c r="L114" s="14">
        <f t="array" ref="L114">IFERROR(INDEX(balance_sheet_quarter[#All], SMALL(IF(LOWER(balance_sheet_quarter[Company Name]) = LOWER(balance_sheet_quarter_filter!$B$2), ROW(balance_sheet_quarter[Company Name]) - ROW(INDEX(balance_sheet_quarter[Company Name], 1, 1)) + 1), ROW(112:112)), COLUMN(K:K)), "")</f>
        <v>333850225581</v>
      </c>
      <c r="M114" s="14">
        <f t="array" ref="M114">IFERROR(INDEX(balance_sheet_quarter[#All], SMALL(IF(LOWER(balance_sheet_quarter[Company Name]) = LOWER(balance_sheet_quarter_filter!$B$2), ROW(balance_sheet_quarter[Company Name]) - ROW(INDEX(balance_sheet_quarter[Company Name], 1, 1)) + 1), ROW(112:112)), COLUMN(L:L)), "")</f>
        <v>359090945330</v>
      </c>
      <c r="N114" s="14">
        <f t="array" ref="N114">IFERROR(INDEX(balance_sheet_quarter[#All], SMALL(IF(LOWER(balance_sheet_quarter[Company Name]) = LOWER(balance_sheet_quarter_filter!$B$2), ROW(balance_sheet_quarter[Company Name]) - ROW(INDEX(balance_sheet_quarter[Company Name], 1, 1)) + 1), ROW(112:112)), COLUMN(M:M)), "")</f>
        <v>358836883743</v>
      </c>
      <c r="O114" s="14">
        <f t="array" ref="O114">IFERROR(INDEX(balance_sheet_quarter[#All], SMALL(IF(LOWER(balance_sheet_quarter[Company Name]) = LOWER(balance_sheet_quarter_filter!$B$2), ROW(balance_sheet_quarter[Company Name]) - ROW(INDEX(balance_sheet_quarter[Company Name], 1, 1)) + 1), ROW(112:112)), COLUMN(N:N)), "")</f>
        <v>372196332887</v>
      </c>
      <c r="P114" s="14">
        <f t="array" ref="P114">IFERROR(INDEX(balance_sheet_quarter[#All], SMALL(IF(LOWER(balance_sheet_quarter[Company Name]) = LOWER(balance_sheet_quarter_filter!$B$2), ROW(balance_sheet_quarter[Company Name]) - ROW(INDEX(balance_sheet_quarter[Company Name], 1, 1)) + 1), ROW(112:112)), COLUMN(O:O)), "")</f>
        <v>281176960752</v>
      </c>
    </row>
    <row r="115" spans="3:16" x14ac:dyDescent="0.35">
      <c r="C115" t="str">
        <f t="array" ref="C115">IFERROR(INDEX(balance_sheet_quarter[#All], SMALL(IF(LOWER(balance_sheet_quarter[Company Name]) = LOWER(balance_sheet_quarter_filter!$B$2), ROW(balance_sheet_quarter[Company Name]) - ROW(INDEX(balance_sheet_quarter[Company Name], 1, 1)) + 1), ROW(113:113)), COLUMN(B:B)), "")</f>
        <v>- LNST chưa phân phối lũy kế đến cuối kỳ trước</v>
      </c>
      <c r="D115" s="14">
        <f t="array" ref="D115">IFERROR(INDEX(balance_sheet_quarter[#All], SMALL(IF(LOWER(balance_sheet_quarter[Company Name]) = LOWER(balance_sheet_quarter_filter!$B$2), ROW(balance_sheet_quarter[Company Name]) - ROW(INDEX(balance_sheet_quarter[Company Name], 1, 1)) + 1), ROW(113:113)), COLUMN(C:C)), "")</f>
        <v>86240881629</v>
      </c>
      <c r="E115" s="14">
        <f t="array" ref="E115">IFERROR(INDEX(balance_sheet_quarter[#All], SMALL(IF(LOWER(balance_sheet_quarter[Company Name]) = LOWER(balance_sheet_quarter_filter!$B$2), ROW(balance_sheet_quarter[Company Name]) - ROW(INDEX(balance_sheet_quarter[Company Name], 1, 1)) + 1), ROW(113:113)), COLUMN(D:D)), "")</f>
        <v>106372027390</v>
      </c>
      <c r="F115" s="14">
        <f t="array" ref="F115">IFERROR(INDEX(balance_sheet_quarter[#All], SMALL(IF(LOWER(balance_sheet_quarter[Company Name]) = LOWER(balance_sheet_quarter_filter!$B$2), ROW(balance_sheet_quarter[Company Name]) - ROW(INDEX(balance_sheet_quarter[Company Name], 1, 1)) + 1), ROW(113:113)), COLUMN(E:E)), "")</f>
        <v>26438685950</v>
      </c>
      <c r="G115" s="14">
        <f t="array" ref="G115">IFERROR(INDEX(balance_sheet_quarter[#All], SMALL(IF(LOWER(balance_sheet_quarter[Company Name]) = LOWER(balance_sheet_quarter_filter!$B$2), ROW(balance_sheet_quarter[Company Name]) - ROW(INDEX(balance_sheet_quarter[Company Name], 1, 1)) + 1), ROW(113:113)), COLUMN(F:F)), "")</f>
        <v>67298430512</v>
      </c>
      <c r="H115" s="14">
        <f t="array" ref="H115">IFERROR(INDEX(balance_sheet_quarter[#All], SMALL(IF(LOWER(balance_sheet_quarter[Company Name]) = LOWER(balance_sheet_quarter_filter!$B$2), ROW(balance_sheet_quarter[Company Name]) - ROW(INDEX(balance_sheet_quarter[Company Name], 1, 1)) + 1), ROW(113:113)), COLUMN(G:G)), "")</f>
        <v>93009083744</v>
      </c>
      <c r="I115" s="14">
        <f t="array" ref="I115">IFERROR(INDEX(balance_sheet_quarter[#All], SMALL(IF(LOWER(balance_sheet_quarter[Company Name]) = LOWER(balance_sheet_quarter_filter!$B$2), ROW(balance_sheet_quarter[Company Name]) - ROW(INDEX(balance_sheet_quarter[Company Name], 1, 1)) + 1), ROW(113:113)), COLUMN(H:H)), "")</f>
        <v>112409325877</v>
      </c>
      <c r="J115" s="14">
        <f t="array" ref="J115">IFERROR(INDEX(balance_sheet_quarter[#All], SMALL(IF(LOWER(balance_sheet_quarter[Company Name]) = LOWER(balance_sheet_quarter_filter!$B$2), ROW(balance_sheet_quarter[Company Name]) - ROW(INDEX(balance_sheet_quarter[Company Name], 1, 1)) + 1), ROW(113:113)), COLUMN(I:I)), "")</f>
        <v>48974847705</v>
      </c>
      <c r="K115" s="14">
        <f t="array" ref="K115">IFERROR(INDEX(balance_sheet_quarter[#All], SMALL(IF(LOWER(balance_sheet_quarter[Company Name]) = LOWER(balance_sheet_quarter_filter!$B$2), ROW(balance_sheet_quarter[Company Name]) - ROW(INDEX(balance_sheet_quarter[Company Name], 1, 1)) + 1), ROW(113:113)), COLUMN(J:J)), "")</f>
        <v>113198919304</v>
      </c>
      <c r="L115" s="14">
        <f t="array" ref="L115">IFERROR(INDEX(balance_sheet_quarter[#All], SMALL(IF(LOWER(balance_sheet_quarter[Company Name]) = LOWER(balance_sheet_quarter_filter!$B$2), ROW(balance_sheet_quarter[Company Name]) - ROW(INDEX(balance_sheet_quarter[Company Name], 1, 1)) + 1), ROW(113:113)), COLUMN(K:K)), "")</f>
        <v>156389107751</v>
      </c>
      <c r="M115" s="14">
        <f t="array" ref="M115">IFERROR(INDEX(balance_sheet_quarter[#All], SMALL(IF(LOWER(balance_sheet_quarter[Company Name]) = LOWER(balance_sheet_quarter_filter!$B$2), ROW(balance_sheet_quarter[Company Name]) - ROW(INDEX(balance_sheet_quarter[Company Name], 1, 1)) + 1), ROW(113:113)), COLUMN(L:L)), "")</f>
        <v>177461117830</v>
      </c>
      <c r="N115" s="14">
        <f t="array" ref="N115">IFERROR(INDEX(balance_sheet_quarter[#All], SMALL(IF(LOWER(balance_sheet_quarter[Company Name]) = LOWER(balance_sheet_quarter_filter!$B$2), ROW(balance_sheet_quarter[Company Name]) - ROW(INDEX(balance_sheet_quarter[Company Name], 1, 1)) + 1), ROW(113:113)), COLUMN(M:M)), "")</f>
        <v>340766201532</v>
      </c>
      <c r="O115" s="14">
        <f t="array" ref="O115">IFERROR(INDEX(balance_sheet_quarter[#All], SMALL(IF(LOWER(balance_sheet_quarter[Company Name]) = LOWER(balance_sheet_quarter_filter!$B$2), ROW(balance_sheet_quarter[Company Name]) - ROW(INDEX(balance_sheet_quarter[Company Name], 1, 1)) + 1), ROW(113:113)), COLUMN(N:N)), "")</f>
        <v>329967896510</v>
      </c>
      <c r="P115" s="14">
        <f t="array" ref="P115">IFERROR(INDEX(balance_sheet_quarter[#All], SMALL(IF(LOWER(balance_sheet_quarter[Company Name]) = LOWER(balance_sheet_quarter_filter!$B$2), ROW(balance_sheet_quarter[Company Name]) - ROW(INDEX(balance_sheet_quarter[Company Name], 1, 1)) + 1), ROW(113:113)), COLUMN(O:O)), "")</f>
        <v>204021336510</v>
      </c>
    </row>
    <row r="116" spans="3:16" x14ac:dyDescent="0.35">
      <c r="C116" t="str">
        <f t="array" ref="C116">IFERROR(INDEX(balance_sheet_quarter[#All], SMALL(IF(LOWER(balance_sheet_quarter[Company Name]) = LOWER(balance_sheet_quarter_filter!$B$2), ROW(balance_sheet_quarter[Company Name]) - ROW(INDEX(balance_sheet_quarter[Company Name], 1, 1)) + 1), ROW(114:114)), COLUMN(B:B)), "")</f>
        <v>- LNST chưa phân phối kỳ này</v>
      </c>
      <c r="D116" s="14">
        <f t="array" ref="D116">IFERROR(INDEX(balance_sheet_quarter[#All], SMALL(IF(LOWER(balance_sheet_quarter[Company Name]) = LOWER(balance_sheet_quarter_filter!$B$2), ROW(balance_sheet_quarter[Company Name]) - ROW(INDEX(balance_sheet_quarter[Company Name], 1, 1)) + 1), ROW(114:114)), COLUMN(C:C)), "")</f>
        <v>197075485857</v>
      </c>
      <c r="E116" s="14">
        <f t="array" ref="E116">IFERROR(INDEX(balance_sheet_quarter[#All], SMALL(IF(LOWER(balance_sheet_quarter[Company Name]) = LOWER(balance_sheet_quarter_filter!$B$2), ROW(balance_sheet_quarter[Company Name]) - ROW(INDEX(balance_sheet_quarter[Company Name], 1, 1)) + 1), ROW(114:114)), COLUMN(D:D)), "")</f>
        <v>197075485857</v>
      </c>
      <c r="F116" s="14">
        <f t="array" ref="F116">IFERROR(INDEX(balance_sheet_quarter[#All], SMALL(IF(LOWER(balance_sheet_quarter[Company Name]) = LOWER(balance_sheet_quarter_filter!$B$2), ROW(balance_sheet_quarter[Company Name]) - ROW(INDEX(balance_sheet_quarter[Company Name], 1, 1)) + 1), ROW(114:114)), COLUMN(E:E)), "")</f>
        <v>302693449394</v>
      </c>
      <c r="G116" s="14">
        <f t="array" ref="G116">IFERROR(INDEX(balance_sheet_quarter[#All], SMALL(IF(LOWER(balance_sheet_quarter[Company Name]) = LOWER(balance_sheet_quarter_filter!$B$2), ROW(balance_sheet_quarter[Company Name]) - ROW(INDEX(balance_sheet_quarter[Company Name], 1, 1)) + 1), ROW(114:114)), COLUMN(F:F)), "")</f>
        <v>295356371582</v>
      </c>
      <c r="H116" s="14">
        <f t="array" ref="H116">IFERROR(INDEX(balance_sheet_quarter[#All], SMALL(IF(LOWER(balance_sheet_quarter[Company Name]) = LOWER(balance_sheet_quarter_filter!$B$2), ROW(balance_sheet_quarter[Company Name]) - ROW(INDEX(balance_sheet_quarter[Company Name], 1, 1)) + 1), ROW(114:114)), COLUMN(G:G)), "")</f>
        <v>187356371582</v>
      </c>
      <c r="I116" s="14">
        <f t="array" ref="I116">IFERROR(INDEX(balance_sheet_quarter[#All], SMALL(IF(LOWER(balance_sheet_quarter[Company Name]) = LOWER(balance_sheet_quarter_filter!$B$2), ROW(balance_sheet_quarter[Company Name]) - ROW(INDEX(balance_sheet_quarter[Company Name], 1, 1)) + 1), ROW(114:114)), COLUMN(H:H)), "")</f>
        <v>187357331582</v>
      </c>
      <c r="J116" s="14">
        <f t="array" ref="J116">IFERROR(INDEX(balance_sheet_quarter[#All], SMALL(IF(LOWER(balance_sheet_quarter[Company Name]) = LOWER(balance_sheet_quarter_filter!$B$2), ROW(balance_sheet_quarter[Company Name]) - ROW(INDEX(balance_sheet_quarter[Company Name], 1, 1)) + 1), ROW(114:114)), COLUMN(I:I)), "")</f>
        <v>301968093548</v>
      </c>
      <c r="K116" s="14">
        <f t="array" ref="K116">IFERROR(INDEX(balance_sheet_quarter[#All], SMALL(IF(LOWER(balance_sheet_quarter[Company Name]) = LOWER(balance_sheet_quarter_filter!$B$2), ROW(balance_sheet_quarter[Company Name]) - ROW(INDEX(balance_sheet_quarter[Company Name], 1, 1)) + 1), ROW(114:114)), COLUMN(J:J)), "")</f>
        <v>294091447830</v>
      </c>
      <c r="L116" s="14">
        <f t="array" ref="L116">IFERROR(INDEX(balance_sheet_quarter[#All], SMALL(IF(LOWER(balance_sheet_quarter[Company Name]) = LOWER(balance_sheet_quarter_filter!$B$2), ROW(balance_sheet_quarter[Company Name]) - ROW(INDEX(balance_sheet_quarter[Company Name], 1, 1)) + 1), ROW(114:114)), COLUMN(K:K)), "")</f>
        <v>177461117830</v>
      </c>
      <c r="M116" s="14">
        <f t="array" ref="M116">IFERROR(INDEX(balance_sheet_quarter[#All], SMALL(IF(LOWER(balance_sheet_quarter[Company Name]) = LOWER(balance_sheet_quarter_filter!$B$2), ROW(balance_sheet_quarter[Company Name]) - ROW(INDEX(balance_sheet_quarter[Company Name], 1, 1)) + 1), ROW(114:114)), COLUMN(L:L)), "")</f>
        <v>181629827500</v>
      </c>
      <c r="N116" s="14">
        <f t="array" ref="N116">IFERROR(INDEX(balance_sheet_quarter[#All], SMALL(IF(LOWER(balance_sheet_quarter[Company Name]) = LOWER(balance_sheet_quarter_filter!$B$2), ROW(balance_sheet_quarter[Company Name]) - ROW(INDEX(balance_sheet_quarter[Company Name], 1, 1)) + 1), ROW(114:114)), COLUMN(M:M)), "")</f>
        <v>18070682211</v>
      </c>
      <c r="O116" s="14">
        <f t="array" ref="O116">IFERROR(INDEX(balance_sheet_quarter[#All], SMALL(IF(LOWER(balance_sheet_quarter[Company Name]) = LOWER(balance_sheet_quarter_filter!$B$2), ROW(balance_sheet_quarter[Company Name]) - ROW(INDEX(balance_sheet_quarter[Company Name], 1, 1)) + 1), ROW(114:114)), COLUMN(N:N)), "")</f>
        <v>42228436377</v>
      </c>
      <c r="P116" s="14">
        <f t="array" ref="P116">IFERROR(INDEX(balance_sheet_quarter[#All], SMALL(IF(LOWER(balance_sheet_quarter[Company Name]) = LOWER(balance_sheet_quarter_filter!$B$2), ROW(balance_sheet_quarter[Company Name]) - ROW(INDEX(balance_sheet_quarter[Company Name], 1, 1)) + 1), ROW(114:114)), COLUMN(O:O)), "")</f>
        <v>77155624242</v>
      </c>
    </row>
    <row r="117" spans="3:16" x14ac:dyDescent="0.35">
      <c r="C117" t="str">
        <f t="array" ref="C117">IFERROR(INDEX(balance_sheet_quarter[#All], SMALL(IF(LOWER(balance_sheet_quarter[Company Name]) = LOWER(balance_sheet_quarter_filter!$B$2), ROW(balance_sheet_quarter[Company Name]) - ROW(INDEX(balance_sheet_quarter[Company Name], 1, 1)) + 1), ROW(115:115)), COLUMN(B:B)), "")</f>
        <v>12. Nguồn vốn đầu tư XDCB</v>
      </c>
      <c r="D117" s="14">
        <f t="array" ref="D117">IFERROR(INDEX(balance_sheet_quarter[#All], SMALL(IF(LOWER(balance_sheet_quarter[Company Name]) = LOWER(balance_sheet_quarter_filter!$B$2), ROW(balance_sheet_quarter[Company Name]) - ROW(INDEX(balance_sheet_quarter[Company Name], 1, 1)) + 1), ROW(115:115)), COLUMN(C:C)), "")</f>
        <v>0</v>
      </c>
      <c r="E117" s="14">
        <f t="array" ref="E117">IFERROR(INDEX(balance_sheet_quarter[#All], SMALL(IF(LOWER(balance_sheet_quarter[Company Name]) = LOWER(balance_sheet_quarter_filter!$B$2), ROW(balance_sheet_quarter[Company Name]) - ROW(INDEX(balance_sheet_quarter[Company Name], 1, 1)) + 1), ROW(115:115)), COLUMN(D:D)), "")</f>
        <v>0</v>
      </c>
      <c r="F117" s="14">
        <f t="array" ref="F117">IFERROR(INDEX(balance_sheet_quarter[#All], SMALL(IF(LOWER(balance_sheet_quarter[Company Name]) = LOWER(balance_sheet_quarter_filter!$B$2), ROW(balance_sheet_quarter[Company Name]) - ROW(INDEX(balance_sheet_quarter[Company Name], 1, 1)) + 1), ROW(115:115)), COLUMN(E:E)), "")</f>
        <v>0</v>
      </c>
      <c r="G117" s="14">
        <f t="array" ref="G117">IFERROR(INDEX(balance_sheet_quarter[#All], SMALL(IF(LOWER(balance_sheet_quarter[Company Name]) = LOWER(balance_sheet_quarter_filter!$B$2), ROW(balance_sheet_quarter[Company Name]) - ROW(INDEX(balance_sheet_quarter[Company Name], 1, 1)) + 1), ROW(115:115)), COLUMN(F:F)), "")</f>
        <v>0</v>
      </c>
      <c r="H117" s="14">
        <f t="array" ref="H117">IFERROR(INDEX(balance_sheet_quarter[#All], SMALL(IF(LOWER(balance_sheet_quarter[Company Name]) = LOWER(balance_sheet_quarter_filter!$B$2), ROW(balance_sheet_quarter[Company Name]) - ROW(INDEX(balance_sheet_quarter[Company Name], 1, 1)) + 1), ROW(115:115)), COLUMN(G:G)), "")</f>
        <v>0</v>
      </c>
      <c r="I117" s="14">
        <f t="array" ref="I117">IFERROR(INDEX(balance_sheet_quarter[#All], SMALL(IF(LOWER(balance_sheet_quarter[Company Name]) = LOWER(balance_sheet_quarter_filter!$B$2), ROW(balance_sheet_quarter[Company Name]) - ROW(INDEX(balance_sheet_quarter[Company Name], 1, 1)) + 1), ROW(115:115)), COLUMN(H:H)), "")</f>
        <v>0</v>
      </c>
      <c r="J117" s="14">
        <f t="array" ref="J117">IFERROR(INDEX(balance_sheet_quarter[#All], SMALL(IF(LOWER(balance_sheet_quarter[Company Name]) = LOWER(balance_sheet_quarter_filter!$B$2), ROW(balance_sheet_quarter[Company Name]) - ROW(INDEX(balance_sheet_quarter[Company Name], 1, 1)) + 1), ROW(115:115)), COLUMN(I:I)), "")</f>
        <v>0</v>
      </c>
      <c r="K117" s="14">
        <f t="array" ref="K117">IFERROR(INDEX(balance_sheet_quarter[#All], SMALL(IF(LOWER(balance_sheet_quarter[Company Name]) = LOWER(balance_sheet_quarter_filter!$B$2), ROW(balance_sheet_quarter[Company Name]) - ROW(INDEX(balance_sheet_quarter[Company Name], 1, 1)) + 1), ROW(115:115)), COLUMN(J:J)), "")</f>
        <v>0</v>
      </c>
      <c r="L117" s="14">
        <f t="array" ref="L117">IFERROR(INDEX(balance_sheet_quarter[#All], SMALL(IF(LOWER(balance_sheet_quarter[Company Name]) = LOWER(balance_sheet_quarter_filter!$B$2), ROW(balance_sheet_quarter[Company Name]) - ROW(INDEX(balance_sheet_quarter[Company Name], 1, 1)) + 1), ROW(115:115)), COLUMN(K:K)), "")</f>
        <v>0</v>
      </c>
      <c r="M117" s="14">
        <f t="array" ref="M117">IFERROR(INDEX(balance_sheet_quarter[#All], SMALL(IF(LOWER(balance_sheet_quarter[Company Name]) = LOWER(balance_sheet_quarter_filter!$B$2), ROW(balance_sheet_quarter[Company Name]) - ROW(INDEX(balance_sheet_quarter[Company Name], 1, 1)) + 1), ROW(115:115)), COLUMN(L:L)), "")</f>
        <v>0</v>
      </c>
      <c r="N117" s="14">
        <f t="array" ref="N117">IFERROR(INDEX(balance_sheet_quarter[#All], SMALL(IF(LOWER(balance_sheet_quarter[Company Name]) = LOWER(balance_sheet_quarter_filter!$B$2), ROW(balance_sheet_quarter[Company Name]) - ROW(INDEX(balance_sheet_quarter[Company Name], 1, 1)) + 1), ROW(115:115)), COLUMN(M:M)), "")</f>
        <v>0</v>
      </c>
      <c r="O117" s="14">
        <f t="array" ref="O117">IFERROR(INDEX(balance_sheet_quarter[#All], SMALL(IF(LOWER(balance_sheet_quarter[Company Name]) = LOWER(balance_sheet_quarter_filter!$B$2), ROW(balance_sheet_quarter[Company Name]) - ROW(INDEX(balance_sheet_quarter[Company Name], 1, 1)) + 1), ROW(115:115)), COLUMN(N:N)), "")</f>
        <v>0</v>
      </c>
      <c r="P117" s="14">
        <f t="array" ref="P117">IFERROR(INDEX(balance_sheet_quarter[#All], SMALL(IF(LOWER(balance_sheet_quarter[Company Name]) = LOWER(balance_sheet_quarter_filter!$B$2), ROW(balance_sheet_quarter[Company Name]) - ROW(INDEX(balance_sheet_quarter[Company Name], 1, 1)) + 1), ROW(115:115)), COLUMN(O:O)), "")</f>
        <v>0</v>
      </c>
    </row>
    <row r="118" spans="3:16" x14ac:dyDescent="0.35">
      <c r="C118" t="str">
        <f t="array" ref="C118">IFERROR(INDEX(balance_sheet_quarter[#All], SMALL(IF(LOWER(balance_sheet_quarter[Company Name]) = LOWER(balance_sheet_quarter_filter!$B$2), ROW(balance_sheet_quarter[Company Name]) - ROW(INDEX(balance_sheet_quarter[Company Name], 1, 1)) + 1), ROW(116:116)), COLUMN(B:B)), "")</f>
        <v>13. Lợi ích cổ đông không kiểm soát</v>
      </c>
      <c r="D118" s="14">
        <f t="array" ref="D118">IFERROR(INDEX(balance_sheet_quarter[#All], SMALL(IF(LOWER(balance_sheet_quarter[Company Name]) = LOWER(balance_sheet_quarter_filter!$B$2), ROW(balance_sheet_quarter[Company Name]) - ROW(INDEX(balance_sheet_quarter[Company Name], 1, 1)) + 1), ROW(116:116)), COLUMN(C:C)), "")</f>
        <v>0</v>
      </c>
      <c r="E118" s="14">
        <f t="array" ref="E118">IFERROR(INDEX(balance_sheet_quarter[#All], SMALL(IF(LOWER(balance_sheet_quarter[Company Name]) = LOWER(balance_sheet_quarter_filter!$B$2), ROW(balance_sheet_quarter[Company Name]) - ROW(INDEX(balance_sheet_quarter[Company Name], 1, 1)) + 1), ROW(116:116)), COLUMN(D:D)), "")</f>
        <v>0</v>
      </c>
      <c r="F118" s="14">
        <f t="array" ref="F118">IFERROR(INDEX(balance_sheet_quarter[#All], SMALL(IF(LOWER(balance_sheet_quarter[Company Name]) = LOWER(balance_sheet_quarter_filter!$B$2), ROW(balance_sheet_quarter[Company Name]) - ROW(INDEX(balance_sheet_quarter[Company Name], 1, 1)) + 1), ROW(116:116)), COLUMN(E:E)), "")</f>
        <v>0</v>
      </c>
      <c r="G118" s="14">
        <f t="array" ref="G118">IFERROR(INDEX(balance_sheet_quarter[#All], SMALL(IF(LOWER(balance_sheet_quarter[Company Name]) = LOWER(balance_sheet_quarter_filter!$B$2), ROW(balance_sheet_quarter[Company Name]) - ROW(INDEX(balance_sheet_quarter[Company Name], 1, 1)) + 1), ROW(116:116)), COLUMN(F:F)), "")</f>
        <v>0</v>
      </c>
      <c r="H118" s="14">
        <f t="array" ref="H118">IFERROR(INDEX(balance_sheet_quarter[#All], SMALL(IF(LOWER(balance_sheet_quarter[Company Name]) = LOWER(balance_sheet_quarter_filter!$B$2), ROW(balance_sheet_quarter[Company Name]) - ROW(INDEX(balance_sheet_quarter[Company Name], 1, 1)) + 1), ROW(116:116)), COLUMN(G:G)), "")</f>
        <v>0</v>
      </c>
      <c r="I118" s="14">
        <f t="array" ref="I118">IFERROR(INDEX(balance_sheet_quarter[#All], SMALL(IF(LOWER(balance_sheet_quarter[Company Name]) = LOWER(balance_sheet_quarter_filter!$B$2), ROW(balance_sheet_quarter[Company Name]) - ROW(INDEX(balance_sheet_quarter[Company Name], 1, 1)) + 1), ROW(116:116)), COLUMN(H:H)), "")</f>
        <v>0</v>
      </c>
      <c r="J118" s="14">
        <f t="array" ref="J118">IFERROR(INDEX(balance_sheet_quarter[#All], SMALL(IF(LOWER(balance_sheet_quarter[Company Name]) = LOWER(balance_sheet_quarter_filter!$B$2), ROW(balance_sheet_quarter[Company Name]) - ROW(INDEX(balance_sheet_quarter[Company Name], 1, 1)) + 1), ROW(116:116)), COLUMN(I:I)), "")</f>
        <v>0</v>
      </c>
      <c r="K118" s="14">
        <f t="array" ref="K118">IFERROR(INDEX(balance_sheet_quarter[#All], SMALL(IF(LOWER(balance_sheet_quarter[Company Name]) = LOWER(balance_sheet_quarter_filter!$B$2), ROW(balance_sheet_quarter[Company Name]) - ROW(INDEX(balance_sheet_quarter[Company Name], 1, 1)) + 1), ROW(116:116)), COLUMN(J:J)), "")</f>
        <v>0</v>
      </c>
      <c r="L118" s="14">
        <f t="array" ref="L118">IFERROR(INDEX(balance_sheet_quarter[#All], SMALL(IF(LOWER(balance_sheet_quarter[Company Name]) = LOWER(balance_sheet_quarter_filter!$B$2), ROW(balance_sheet_quarter[Company Name]) - ROW(INDEX(balance_sheet_quarter[Company Name], 1, 1)) + 1), ROW(116:116)), COLUMN(K:K)), "")</f>
        <v>0</v>
      </c>
      <c r="M118" s="14">
        <f t="array" ref="M118">IFERROR(INDEX(balance_sheet_quarter[#All], SMALL(IF(LOWER(balance_sheet_quarter[Company Name]) = LOWER(balance_sheet_quarter_filter!$B$2), ROW(balance_sheet_quarter[Company Name]) - ROW(INDEX(balance_sheet_quarter[Company Name], 1, 1)) + 1), ROW(116:116)), COLUMN(L:L)), "")</f>
        <v>0</v>
      </c>
      <c r="N118" s="14">
        <f t="array" ref="N118">IFERROR(INDEX(balance_sheet_quarter[#All], SMALL(IF(LOWER(balance_sheet_quarter[Company Name]) = LOWER(balance_sheet_quarter_filter!$B$2), ROW(balance_sheet_quarter[Company Name]) - ROW(INDEX(balance_sheet_quarter[Company Name], 1, 1)) + 1), ROW(116:116)), COLUMN(M:M)), "")</f>
        <v>0</v>
      </c>
      <c r="O118" s="14">
        <f t="array" ref="O118">IFERROR(INDEX(balance_sheet_quarter[#All], SMALL(IF(LOWER(balance_sheet_quarter[Company Name]) = LOWER(balance_sheet_quarter_filter!$B$2), ROW(balance_sheet_quarter[Company Name]) - ROW(INDEX(balance_sheet_quarter[Company Name], 1, 1)) + 1), ROW(116:116)), COLUMN(N:N)), "")</f>
        <v>0</v>
      </c>
      <c r="P118" s="14">
        <f t="array" ref="P118">IFERROR(INDEX(balance_sheet_quarter[#All], SMALL(IF(LOWER(balance_sheet_quarter[Company Name]) = LOWER(balance_sheet_quarter_filter!$B$2), ROW(balance_sheet_quarter[Company Name]) - ROW(INDEX(balance_sheet_quarter[Company Name], 1, 1)) + 1), ROW(116:116)), COLUMN(O:O)), "")</f>
        <v>0</v>
      </c>
    </row>
    <row r="119" spans="3:16" x14ac:dyDescent="0.35">
      <c r="C119" t="str">
        <f t="array" ref="C119">IFERROR(INDEX(balance_sheet_quarter[#All], SMALL(IF(LOWER(balance_sheet_quarter[Company Name]) = LOWER(balance_sheet_quarter_filter!$B$2), ROW(balance_sheet_quarter[Company Name]) - ROW(INDEX(balance_sheet_quarter[Company Name], 1, 1)) + 1), ROW(117:117)), COLUMN(B:B)), "")</f>
        <v>II. Nguồn kinh phí và quỹ khác</v>
      </c>
      <c r="D119" s="14">
        <f t="array" ref="D119">IFERROR(INDEX(balance_sheet_quarter[#All], SMALL(IF(LOWER(balance_sheet_quarter[Company Name]) = LOWER(balance_sheet_quarter_filter!$B$2), ROW(balance_sheet_quarter[Company Name]) - ROW(INDEX(balance_sheet_quarter[Company Name], 1, 1)) + 1), ROW(117:117)), COLUMN(C:C)), "")</f>
        <v>0</v>
      </c>
      <c r="E119" s="14">
        <f t="array" ref="E119">IFERROR(INDEX(balance_sheet_quarter[#All], SMALL(IF(LOWER(balance_sheet_quarter[Company Name]) = LOWER(balance_sheet_quarter_filter!$B$2), ROW(balance_sheet_quarter[Company Name]) - ROW(INDEX(balance_sheet_quarter[Company Name], 1, 1)) + 1), ROW(117:117)), COLUMN(D:D)), "")</f>
        <v>0</v>
      </c>
      <c r="F119" s="14">
        <f t="array" ref="F119">IFERROR(INDEX(balance_sheet_quarter[#All], SMALL(IF(LOWER(balance_sheet_quarter[Company Name]) = LOWER(balance_sheet_quarter_filter!$B$2), ROW(balance_sheet_quarter[Company Name]) - ROW(INDEX(balance_sheet_quarter[Company Name], 1, 1)) + 1), ROW(117:117)), COLUMN(E:E)), "")</f>
        <v>0</v>
      </c>
      <c r="G119" s="14">
        <f t="array" ref="G119">IFERROR(INDEX(balance_sheet_quarter[#All], SMALL(IF(LOWER(balance_sheet_quarter[Company Name]) = LOWER(balance_sheet_quarter_filter!$B$2), ROW(balance_sheet_quarter[Company Name]) - ROW(INDEX(balance_sheet_quarter[Company Name], 1, 1)) + 1), ROW(117:117)), COLUMN(F:F)), "")</f>
        <v>0</v>
      </c>
      <c r="H119" s="14">
        <f t="array" ref="H119">IFERROR(INDEX(balance_sheet_quarter[#All], SMALL(IF(LOWER(balance_sheet_quarter[Company Name]) = LOWER(balance_sheet_quarter_filter!$B$2), ROW(balance_sheet_quarter[Company Name]) - ROW(INDEX(balance_sheet_quarter[Company Name], 1, 1)) + 1), ROW(117:117)), COLUMN(G:G)), "")</f>
        <v>0</v>
      </c>
      <c r="I119" s="14">
        <f t="array" ref="I119">IFERROR(INDEX(balance_sheet_quarter[#All], SMALL(IF(LOWER(balance_sheet_quarter[Company Name]) = LOWER(balance_sheet_quarter_filter!$B$2), ROW(balance_sheet_quarter[Company Name]) - ROW(INDEX(balance_sheet_quarter[Company Name], 1, 1)) + 1), ROW(117:117)), COLUMN(H:H)), "")</f>
        <v>0</v>
      </c>
      <c r="J119" s="14">
        <f t="array" ref="J119">IFERROR(INDEX(balance_sheet_quarter[#All], SMALL(IF(LOWER(balance_sheet_quarter[Company Name]) = LOWER(balance_sheet_quarter_filter!$B$2), ROW(balance_sheet_quarter[Company Name]) - ROW(INDEX(balance_sheet_quarter[Company Name], 1, 1)) + 1), ROW(117:117)), COLUMN(I:I)), "")</f>
        <v>0</v>
      </c>
      <c r="K119" s="14">
        <f t="array" ref="K119">IFERROR(INDEX(balance_sheet_quarter[#All], SMALL(IF(LOWER(balance_sheet_quarter[Company Name]) = LOWER(balance_sheet_quarter_filter!$B$2), ROW(balance_sheet_quarter[Company Name]) - ROW(INDEX(balance_sheet_quarter[Company Name], 1, 1)) + 1), ROW(117:117)), COLUMN(J:J)), "")</f>
        <v>0</v>
      </c>
      <c r="L119" s="14">
        <f t="array" ref="L119">IFERROR(INDEX(balance_sheet_quarter[#All], SMALL(IF(LOWER(balance_sheet_quarter[Company Name]) = LOWER(balance_sheet_quarter_filter!$B$2), ROW(balance_sheet_quarter[Company Name]) - ROW(INDEX(balance_sheet_quarter[Company Name], 1, 1)) + 1), ROW(117:117)), COLUMN(K:K)), "")</f>
        <v>0</v>
      </c>
      <c r="M119" s="14">
        <f t="array" ref="M119">IFERROR(INDEX(balance_sheet_quarter[#All], SMALL(IF(LOWER(balance_sheet_quarter[Company Name]) = LOWER(balance_sheet_quarter_filter!$B$2), ROW(balance_sheet_quarter[Company Name]) - ROW(INDEX(balance_sheet_quarter[Company Name], 1, 1)) + 1), ROW(117:117)), COLUMN(L:L)), "")</f>
        <v>0</v>
      </c>
      <c r="N119" s="14">
        <f t="array" ref="N119">IFERROR(INDEX(balance_sheet_quarter[#All], SMALL(IF(LOWER(balance_sheet_quarter[Company Name]) = LOWER(balance_sheet_quarter_filter!$B$2), ROW(balance_sheet_quarter[Company Name]) - ROW(INDEX(balance_sheet_quarter[Company Name], 1, 1)) + 1), ROW(117:117)), COLUMN(M:M)), "")</f>
        <v>0</v>
      </c>
      <c r="O119" s="14">
        <f t="array" ref="O119">IFERROR(INDEX(balance_sheet_quarter[#All], SMALL(IF(LOWER(balance_sheet_quarter[Company Name]) = LOWER(balance_sheet_quarter_filter!$B$2), ROW(balance_sheet_quarter[Company Name]) - ROW(INDEX(balance_sheet_quarter[Company Name], 1, 1)) + 1), ROW(117:117)), COLUMN(N:N)), "")</f>
        <v>0</v>
      </c>
      <c r="P119" s="14">
        <f t="array" ref="P119">IFERROR(INDEX(balance_sheet_quarter[#All], SMALL(IF(LOWER(balance_sheet_quarter[Company Name]) = LOWER(balance_sheet_quarter_filter!$B$2), ROW(balance_sheet_quarter[Company Name]) - ROW(INDEX(balance_sheet_quarter[Company Name], 1, 1)) + 1), ROW(117:117)), COLUMN(O:O)), "")</f>
        <v>0</v>
      </c>
    </row>
    <row r="120" spans="3:16" x14ac:dyDescent="0.35">
      <c r="C120" t="str">
        <f t="array" ref="C120">IFERROR(INDEX(balance_sheet_quarter[#All], SMALL(IF(LOWER(balance_sheet_quarter[Company Name]) = LOWER(balance_sheet_quarter_filter!$B$2), ROW(balance_sheet_quarter[Company Name]) - ROW(INDEX(balance_sheet_quarter[Company Name], 1, 1)) + 1), ROW(118:118)), COLUMN(B:B)), "")</f>
        <v>1. Nguồn kinh phí</v>
      </c>
      <c r="D120" s="14">
        <f t="array" ref="D120">IFERROR(INDEX(balance_sheet_quarter[#All], SMALL(IF(LOWER(balance_sheet_quarter[Company Name]) = LOWER(balance_sheet_quarter_filter!$B$2), ROW(balance_sheet_quarter[Company Name]) - ROW(INDEX(balance_sheet_quarter[Company Name], 1, 1)) + 1), ROW(118:118)), COLUMN(C:C)), "")</f>
        <v>0</v>
      </c>
      <c r="E120" s="14">
        <f t="array" ref="E120">IFERROR(INDEX(balance_sheet_quarter[#All], SMALL(IF(LOWER(balance_sheet_quarter[Company Name]) = LOWER(balance_sheet_quarter_filter!$B$2), ROW(balance_sheet_quarter[Company Name]) - ROW(INDEX(balance_sheet_quarter[Company Name], 1, 1)) + 1), ROW(118:118)), COLUMN(D:D)), "")</f>
        <v>0</v>
      </c>
      <c r="F120" s="14">
        <f t="array" ref="F120">IFERROR(INDEX(balance_sheet_quarter[#All], SMALL(IF(LOWER(balance_sheet_quarter[Company Name]) = LOWER(balance_sheet_quarter_filter!$B$2), ROW(balance_sheet_quarter[Company Name]) - ROW(INDEX(balance_sheet_quarter[Company Name], 1, 1)) + 1), ROW(118:118)), COLUMN(E:E)), "")</f>
        <v>0</v>
      </c>
      <c r="G120" s="14">
        <f t="array" ref="G120">IFERROR(INDEX(balance_sheet_quarter[#All], SMALL(IF(LOWER(balance_sheet_quarter[Company Name]) = LOWER(balance_sheet_quarter_filter!$B$2), ROW(balance_sheet_quarter[Company Name]) - ROW(INDEX(balance_sheet_quarter[Company Name], 1, 1)) + 1), ROW(118:118)), COLUMN(F:F)), "")</f>
        <v>0</v>
      </c>
      <c r="H120" s="14">
        <f t="array" ref="H120">IFERROR(INDEX(balance_sheet_quarter[#All], SMALL(IF(LOWER(balance_sheet_quarter[Company Name]) = LOWER(balance_sheet_quarter_filter!$B$2), ROW(balance_sheet_quarter[Company Name]) - ROW(INDEX(balance_sheet_quarter[Company Name], 1, 1)) + 1), ROW(118:118)), COLUMN(G:G)), "")</f>
        <v>0</v>
      </c>
      <c r="I120" s="14">
        <f t="array" ref="I120">IFERROR(INDEX(balance_sheet_quarter[#All], SMALL(IF(LOWER(balance_sheet_quarter[Company Name]) = LOWER(balance_sheet_quarter_filter!$B$2), ROW(balance_sheet_quarter[Company Name]) - ROW(INDEX(balance_sheet_quarter[Company Name], 1, 1)) + 1), ROW(118:118)), COLUMN(H:H)), "")</f>
        <v>0</v>
      </c>
      <c r="J120" s="14">
        <f t="array" ref="J120">IFERROR(INDEX(balance_sheet_quarter[#All], SMALL(IF(LOWER(balance_sheet_quarter[Company Name]) = LOWER(balance_sheet_quarter_filter!$B$2), ROW(balance_sheet_quarter[Company Name]) - ROW(INDEX(balance_sheet_quarter[Company Name], 1, 1)) + 1), ROW(118:118)), COLUMN(I:I)), "")</f>
        <v>0</v>
      </c>
      <c r="K120" s="14">
        <f t="array" ref="K120">IFERROR(INDEX(balance_sheet_quarter[#All], SMALL(IF(LOWER(balance_sheet_quarter[Company Name]) = LOWER(balance_sheet_quarter_filter!$B$2), ROW(balance_sheet_quarter[Company Name]) - ROW(INDEX(balance_sheet_quarter[Company Name], 1, 1)) + 1), ROW(118:118)), COLUMN(J:J)), "")</f>
        <v>0</v>
      </c>
      <c r="L120" s="14">
        <f t="array" ref="L120">IFERROR(INDEX(balance_sheet_quarter[#All], SMALL(IF(LOWER(balance_sheet_quarter[Company Name]) = LOWER(balance_sheet_quarter_filter!$B$2), ROW(balance_sheet_quarter[Company Name]) - ROW(INDEX(balance_sheet_quarter[Company Name], 1, 1)) + 1), ROW(118:118)), COLUMN(K:K)), "")</f>
        <v>0</v>
      </c>
      <c r="M120" s="14">
        <f t="array" ref="M120">IFERROR(INDEX(balance_sheet_quarter[#All], SMALL(IF(LOWER(balance_sheet_quarter[Company Name]) = LOWER(balance_sheet_quarter_filter!$B$2), ROW(balance_sheet_quarter[Company Name]) - ROW(INDEX(balance_sheet_quarter[Company Name], 1, 1)) + 1), ROW(118:118)), COLUMN(L:L)), "")</f>
        <v>0</v>
      </c>
      <c r="N120" s="14">
        <f t="array" ref="N120">IFERROR(INDEX(balance_sheet_quarter[#All], SMALL(IF(LOWER(balance_sheet_quarter[Company Name]) = LOWER(balance_sheet_quarter_filter!$B$2), ROW(balance_sheet_quarter[Company Name]) - ROW(INDEX(balance_sheet_quarter[Company Name], 1, 1)) + 1), ROW(118:118)), COLUMN(M:M)), "")</f>
        <v>0</v>
      </c>
      <c r="O120" s="14">
        <f t="array" ref="O120">IFERROR(INDEX(balance_sheet_quarter[#All], SMALL(IF(LOWER(balance_sheet_quarter[Company Name]) = LOWER(balance_sheet_quarter_filter!$B$2), ROW(balance_sheet_quarter[Company Name]) - ROW(INDEX(balance_sheet_quarter[Company Name], 1, 1)) + 1), ROW(118:118)), COLUMN(N:N)), "")</f>
        <v>0</v>
      </c>
      <c r="P120" s="14">
        <f t="array" ref="P120">IFERROR(INDEX(balance_sheet_quarter[#All], SMALL(IF(LOWER(balance_sheet_quarter[Company Name]) = LOWER(balance_sheet_quarter_filter!$B$2), ROW(balance_sheet_quarter[Company Name]) - ROW(INDEX(balance_sheet_quarter[Company Name], 1, 1)) + 1), ROW(118:118)), COLUMN(O:O)), "")</f>
        <v>0</v>
      </c>
    </row>
    <row r="121" spans="3:16" x14ac:dyDescent="0.35">
      <c r="C121" t="str">
        <f t="array" ref="C121">IFERROR(INDEX(balance_sheet_quarter[#All], SMALL(IF(LOWER(balance_sheet_quarter[Company Name]) = LOWER(balance_sheet_quarter_filter!$B$2), ROW(balance_sheet_quarter[Company Name]) - ROW(INDEX(balance_sheet_quarter[Company Name], 1, 1)) + 1), ROW(119:119)), COLUMN(B:B)), "")</f>
        <v>2. Nguồn kinh phí đã hình thành TSCĐ</v>
      </c>
      <c r="D121" s="14">
        <f t="array" ref="D121">IFERROR(INDEX(balance_sheet_quarter[#All], SMALL(IF(LOWER(balance_sheet_quarter[Company Name]) = LOWER(balance_sheet_quarter_filter!$B$2), ROW(balance_sheet_quarter[Company Name]) - ROW(INDEX(balance_sheet_quarter[Company Name], 1, 1)) + 1), ROW(119:119)), COLUMN(C:C)), "")</f>
        <v>0</v>
      </c>
      <c r="E121" s="14">
        <f t="array" ref="E121">IFERROR(INDEX(balance_sheet_quarter[#All], SMALL(IF(LOWER(balance_sheet_quarter[Company Name]) = LOWER(balance_sheet_quarter_filter!$B$2), ROW(balance_sheet_quarter[Company Name]) - ROW(INDEX(balance_sheet_quarter[Company Name], 1, 1)) + 1), ROW(119:119)), COLUMN(D:D)), "")</f>
        <v>0</v>
      </c>
      <c r="F121" s="14">
        <f t="array" ref="F121">IFERROR(INDEX(balance_sheet_quarter[#All], SMALL(IF(LOWER(balance_sheet_quarter[Company Name]) = LOWER(balance_sheet_quarter_filter!$B$2), ROW(balance_sheet_quarter[Company Name]) - ROW(INDEX(balance_sheet_quarter[Company Name], 1, 1)) + 1), ROW(119:119)), COLUMN(E:E)), "")</f>
        <v>0</v>
      </c>
      <c r="G121" s="14">
        <f t="array" ref="G121">IFERROR(INDEX(balance_sheet_quarter[#All], SMALL(IF(LOWER(balance_sheet_quarter[Company Name]) = LOWER(balance_sheet_quarter_filter!$B$2), ROW(balance_sheet_quarter[Company Name]) - ROW(INDEX(balance_sheet_quarter[Company Name], 1, 1)) + 1), ROW(119:119)), COLUMN(F:F)), "")</f>
        <v>0</v>
      </c>
      <c r="H121" s="14">
        <f t="array" ref="H121">IFERROR(INDEX(balance_sheet_quarter[#All], SMALL(IF(LOWER(balance_sheet_quarter[Company Name]) = LOWER(balance_sheet_quarter_filter!$B$2), ROW(balance_sheet_quarter[Company Name]) - ROW(INDEX(balance_sheet_quarter[Company Name], 1, 1)) + 1), ROW(119:119)), COLUMN(G:G)), "")</f>
        <v>0</v>
      </c>
      <c r="I121" s="14">
        <f t="array" ref="I121">IFERROR(INDEX(balance_sheet_quarter[#All], SMALL(IF(LOWER(balance_sheet_quarter[Company Name]) = LOWER(balance_sheet_quarter_filter!$B$2), ROW(balance_sheet_quarter[Company Name]) - ROW(INDEX(balance_sheet_quarter[Company Name], 1, 1)) + 1), ROW(119:119)), COLUMN(H:H)), "")</f>
        <v>0</v>
      </c>
      <c r="J121" s="14">
        <f t="array" ref="J121">IFERROR(INDEX(balance_sheet_quarter[#All], SMALL(IF(LOWER(balance_sheet_quarter[Company Name]) = LOWER(balance_sheet_quarter_filter!$B$2), ROW(balance_sheet_quarter[Company Name]) - ROW(INDEX(balance_sheet_quarter[Company Name], 1, 1)) + 1), ROW(119:119)), COLUMN(I:I)), "")</f>
        <v>0</v>
      </c>
      <c r="K121" s="14">
        <f t="array" ref="K121">IFERROR(INDEX(balance_sheet_quarter[#All], SMALL(IF(LOWER(balance_sheet_quarter[Company Name]) = LOWER(balance_sheet_quarter_filter!$B$2), ROW(balance_sheet_quarter[Company Name]) - ROW(INDEX(balance_sheet_quarter[Company Name], 1, 1)) + 1), ROW(119:119)), COLUMN(J:J)), "")</f>
        <v>0</v>
      </c>
      <c r="L121" s="14">
        <f t="array" ref="L121">IFERROR(INDEX(balance_sheet_quarter[#All], SMALL(IF(LOWER(balance_sheet_quarter[Company Name]) = LOWER(balance_sheet_quarter_filter!$B$2), ROW(balance_sheet_quarter[Company Name]) - ROW(INDEX(balance_sheet_quarter[Company Name], 1, 1)) + 1), ROW(119:119)), COLUMN(K:K)), "")</f>
        <v>0</v>
      </c>
      <c r="M121" s="14">
        <f t="array" ref="M121">IFERROR(INDEX(balance_sheet_quarter[#All], SMALL(IF(LOWER(balance_sheet_quarter[Company Name]) = LOWER(balance_sheet_quarter_filter!$B$2), ROW(balance_sheet_quarter[Company Name]) - ROW(INDEX(balance_sheet_quarter[Company Name], 1, 1)) + 1), ROW(119:119)), COLUMN(L:L)), "")</f>
        <v>0</v>
      </c>
      <c r="N121" s="14">
        <f t="array" ref="N121">IFERROR(INDEX(balance_sheet_quarter[#All], SMALL(IF(LOWER(balance_sheet_quarter[Company Name]) = LOWER(balance_sheet_quarter_filter!$B$2), ROW(balance_sheet_quarter[Company Name]) - ROW(INDEX(balance_sheet_quarter[Company Name], 1, 1)) + 1), ROW(119:119)), COLUMN(M:M)), "")</f>
        <v>0</v>
      </c>
      <c r="O121" s="14">
        <f t="array" ref="O121">IFERROR(INDEX(balance_sheet_quarter[#All], SMALL(IF(LOWER(balance_sheet_quarter[Company Name]) = LOWER(balance_sheet_quarter_filter!$B$2), ROW(balance_sheet_quarter[Company Name]) - ROW(INDEX(balance_sheet_quarter[Company Name], 1, 1)) + 1), ROW(119:119)), COLUMN(N:N)), "")</f>
        <v>0</v>
      </c>
      <c r="P121" s="14">
        <f t="array" ref="P121">IFERROR(INDEX(balance_sheet_quarter[#All], SMALL(IF(LOWER(balance_sheet_quarter[Company Name]) = LOWER(balance_sheet_quarter_filter!$B$2), ROW(balance_sheet_quarter[Company Name]) - ROW(INDEX(balance_sheet_quarter[Company Name], 1, 1)) + 1), ROW(119:119)), COLUMN(O:O)), "")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116D-33C4-4D4A-82C2-FC0C4608774C}">
  <dimension ref="A2:G25"/>
  <sheetViews>
    <sheetView topLeftCell="B1" workbookViewId="0">
      <selection activeCell="D9" sqref="D9"/>
    </sheetView>
  </sheetViews>
  <sheetFormatPr defaultRowHeight="14.5" x14ac:dyDescent="0.35"/>
  <cols>
    <col min="1" max="1" width="17.90625" customWidth="1"/>
    <col min="3" max="3" width="64.54296875" bestFit="1" customWidth="1"/>
    <col min="4" max="4" width="22.54296875" customWidth="1"/>
    <col min="5" max="7" width="18.36328125" bestFit="1" customWidth="1"/>
  </cols>
  <sheetData>
    <row r="2" spans="1:7" ht="15.5" x14ac:dyDescent="0.35">
      <c r="A2" s="13" t="s">
        <v>137</v>
      </c>
      <c r="B2" s="13" t="str">
        <f>DCF!C2</f>
        <v>TTA</v>
      </c>
      <c r="C2" s="7"/>
      <c r="D2" s="8"/>
      <c r="E2" s="8"/>
      <c r="F2" s="8"/>
      <c r="G2" s="8"/>
    </row>
    <row r="3" spans="1:7" ht="18.5" x14ac:dyDescent="0.45">
      <c r="A3" s="9"/>
      <c r="B3" s="10"/>
      <c r="C3" s="6" t="s">
        <v>138</v>
      </c>
      <c r="D3" s="6" t="str">
        <f>income_statement_annual[[#Headers],[2020]]</f>
        <v>2020</v>
      </c>
      <c r="E3" s="6" t="str">
        <f>income_statement_annual[[#Headers],[2021]]</f>
        <v>2021</v>
      </c>
      <c r="F3" s="6" t="str">
        <f>income_statement_annual[[#Headers],[2022]]</f>
        <v>2022</v>
      </c>
      <c r="G3" s="6" t="str">
        <f>income_statement_annual[[#Headers],[2023]]</f>
        <v>2023</v>
      </c>
    </row>
    <row r="4" spans="1:7" x14ac:dyDescent="0.35">
      <c r="C4" t="str">
        <f t="array" ref="C4">IFERROR(INDEX(income_statement_annual[#All], SMALL(IF(LOWER(income_statement_annual[Company Name]) = LOWER(income_statement_annual_filter!$B$2), ROW(income_statement_annual[Company Name]) - ROW(INDEX(income_statement_annual[Company Name], 1, 1)) + 1), ROW(2:2)), COLUMN(B:B)), "")</f>
        <v>1. Doanh thu bán hàng và cung cấp dịch vụ</v>
      </c>
      <c r="D4" s="14">
        <f t="array" ref="D4">IFERROR(INDEX(income_statement_annual[#All], SMALL(IF(LOWER(income_statement_annual[Company Name]) = LOWER(income_statement_annual_filter!$B$2), ROW(income_statement_annual[Company Name]) - ROW(INDEX(income_statement_annual[Company Name], 1, 1)) + 1), ROW(2:2)), COLUMN(C:C)), "")</f>
        <v>495852606563</v>
      </c>
      <c r="E4" s="14">
        <f t="array" ref="E4">IFERROR(INDEX(income_statement_annual[#All], SMALL(IF(LOWER(income_statement_annual[Company Name]) = LOWER(income_statement_annual_filter!$B$2), ROW(income_statement_annual[Company Name]) - ROW(INDEX(income_statement_annual[Company Name], 1, 1)) + 1), ROW(2:2)), COLUMN(D:D)), "")</f>
        <v>661346377050</v>
      </c>
      <c r="F4" s="14">
        <f t="array" ref="F4">IFERROR(INDEX(income_statement_annual[#All], SMALL(IF(LOWER(income_statement_annual[Company Name]) = LOWER(income_statement_annual_filter!$B$2), ROW(income_statement_annual[Company Name]) - ROW(INDEX(income_statement_annual[Company Name], 1, 1)) + 1), ROW(2:2)), COLUMN(E:E)), "")</f>
        <v>808703629721</v>
      </c>
      <c r="G4" s="14">
        <f t="array" ref="G4">IFERROR(INDEX(income_statement_annual[#All], SMALL(IF(LOWER(income_statement_annual[Company Name]) = LOWER(income_statement_annual_filter!$B$2), ROW(income_statement_annual[Company Name]) - ROW(INDEX(income_statement_annual[Company Name], 1, 1)) + 1), ROW(2:2)), COLUMN(F:F)), "")</f>
        <v>655479232628</v>
      </c>
    </row>
    <row r="5" spans="1:7" x14ac:dyDescent="0.35">
      <c r="C5" t="str">
        <f t="array" ref="C5">IFERROR(INDEX(income_statement_annual[#All], SMALL(IF(LOWER(income_statement_annual[Company Name]) = LOWER(income_statement_annual_filter!$B$2), ROW(income_statement_annual[Company Name]) - ROW(INDEX(income_statement_annual[Company Name], 1, 1)) + 1), ROW(3:3)), COLUMN(B:B)), "")</f>
        <v>2. Các khoản giảm trừ doanh thu</v>
      </c>
      <c r="D5" s="14">
        <f t="array" ref="D5">IFERROR(INDEX(income_statement_annual[#All], SMALL(IF(LOWER(income_statement_annual[Company Name]) = LOWER(income_statement_annual_filter!$B$2), ROW(income_statement_annual[Company Name]) - ROW(INDEX(income_statement_annual[Company Name], 1, 1)) + 1), ROW(3:3)), COLUMN(C:C)), "")</f>
        <v>0</v>
      </c>
      <c r="E5" s="14">
        <f t="array" ref="E5">IFERROR(INDEX(income_statement_annual[#All], SMALL(IF(LOWER(income_statement_annual[Company Name]) = LOWER(income_statement_annual_filter!$B$2), ROW(income_statement_annual[Company Name]) - ROW(INDEX(income_statement_annual[Company Name], 1, 1)) + 1), ROW(3:3)), COLUMN(D:D)), "")</f>
        <v>0</v>
      </c>
      <c r="F5" s="14">
        <f t="array" ref="F5">IFERROR(INDEX(income_statement_annual[#All], SMALL(IF(LOWER(income_statement_annual[Company Name]) = LOWER(income_statement_annual_filter!$B$2), ROW(income_statement_annual[Company Name]) - ROW(INDEX(income_statement_annual[Company Name], 1, 1)) + 1), ROW(3:3)), COLUMN(E:E)), "")</f>
        <v>0</v>
      </c>
      <c r="G5" s="14">
        <f t="array" ref="G5">IFERROR(INDEX(income_statement_annual[#All], SMALL(IF(LOWER(income_statement_annual[Company Name]) = LOWER(income_statement_annual_filter!$B$2), ROW(income_statement_annual[Company Name]) - ROW(INDEX(income_statement_annual[Company Name], 1, 1)) + 1), ROW(3:3)), COLUMN(F:F)), "")</f>
        <v>0</v>
      </c>
    </row>
    <row r="6" spans="1:7" x14ac:dyDescent="0.35">
      <c r="C6" t="str">
        <f t="array" ref="C6">IFERROR(INDEX(income_statement_annual[#All], SMALL(IF(LOWER(income_statement_annual[Company Name]) = LOWER(income_statement_annual_filter!$B$2), ROW(income_statement_annual[Company Name]) - ROW(INDEX(income_statement_annual[Company Name], 1, 1)) + 1), ROW(4:4)), COLUMN(B:B)), "")</f>
        <v>3. Doanh thu thuần về bán hàng và cung cấp dịch vụ (10 = 01 - 02)</v>
      </c>
      <c r="D6" s="14">
        <f t="array" ref="D6">IFERROR(INDEX(income_statement_annual[#All], SMALL(IF(LOWER(income_statement_annual[Company Name]) = LOWER(income_statement_annual_filter!$B$2), ROW(income_statement_annual[Company Name]) - ROW(INDEX(income_statement_annual[Company Name], 1, 1)) + 1), ROW(4:4)), COLUMN(C:C)), "")</f>
        <v>495852606563</v>
      </c>
      <c r="E6" s="14">
        <f t="array" ref="E6">IFERROR(INDEX(income_statement_annual[#All], SMALL(IF(LOWER(income_statement_annual[Company Name]) = LOWER(income_statement_annual_filter!$B$2), ROW(income_statement_annual[Company Name]) - ROW(INDEX(income_statement_annual[Company Name], 1, 1)) + 1), ROW(4:4)), COLUMN(D:D)), "")</f>
        <v>661346377050</v>
      </c>
      <c r="F6" s="14">
        <f t="array" ref="F6">IFERROR(INDEX(income_statement_annual[#All], SMALL(IF(LOWER(income_statement_annual[Company Name]) = LOWER(income_statement_annual_filter!$B$2), ROW(income_statement_annual[Company Name]) - ROW(INDEX(income_statement_annual[Company Name], 1, 1)) + 1), ROW(4:4)), COLUMN(E:E)), "")</f>
        <v>808703629721</v>
      </c>
      <c r="G6" s="14">
        <f t="array" ref="G6">IFERROR(INDEX(income_statement_annual[#All], SMALL(IF(LOWER(income_statement_annual[Company Name]) = LOWER(income_statement_annual_filter!$B$2), ROW(income_statement_annual[Company Name]) - ROW(INDEX(income_statement_annual[Company Name], 1, 1)) + 1), ROW(4:4)), COLUMN(F:F)), "")</f>
        <v>655479232628</v>
      </c>
    </row>
    <row r="7" spans="1:7" x14ac:dyDescent="0.35">
      <c r="C7" t="str">
        <f t="array" ref="C7">IFERROR(INDEX(income_statement_annual[#All], SMALL(IF(LOWER(income_statement_annual[Company Name]) = LOWER(income_statement_annual_filter!$B$2), ROW(income_statement_annual[Company Name]) - ROW(INDEX(income_statement_annual[Company Name], 1, 1)) + 1), ROW(5:5)), COLUMN(B:B)), "")</f>
        <v>4. Giá vốn hàng bán</v>
      </c>
      <c r="D7" s="14">
        <f t="array" ref="D7">IFERROR(INDEX(income_statement_annual[#All], SMALL(IF(LOWER(income_statement_annual[Company Name]) = LOWER(income_statement_annual_filter!$B$2), ROW(income_statement_annual[Company Name]) - ROW(INDEX(income_statement_annual[Company Name], 1, 1)) + 1), ROW(5:5)), COLUMN(C:C)), "")</f>
        <v>171612750911</v>
      </c>
      <c r="E7" s="14">
        <f t="array" ref="E7">IFERROR(INDEX(income_statement_annual[#All], SMALL(IF(LOWER(income_statement_annual[Company Name]) = LOWER(income_statement_annual_filter!$B$2), ROW(income_statement_annual[Company Name]) - ROW(INDEX(income_statement_annual[Company Name], 1, 1)) + 1), ROW(5:5)), COLUMN(D:D)), "")</f>
        <v>286078193456</v>
      </c>
      <c r="F7" s="14">
        <f t="array" ref="F7">IFERROR(INDEX(income_statement_annual[#All], SMALL(IF(LOWER(income_statement_annual[Company Name]) = LOWER(income_statement_annual_filter!$B$2), ROW(income_statement_annual[Company Name]) - ROW(INDEX(income_statement_annual[Company Name], 1, 1)) + 1), ROW(5:5)), COLUMN(E:E)), "")</f>
        <v>308271173619</v>
      </c>
      <c r="G7" s="14">
        <f t="array" ref="G7">IFERROR(INDEX(income_statement_annual[#All], SMALL(IF(LOWER(income_statement_annual[Company Name]) = LOWER(income_statement_annual_filter!$B$2), ROW(income_statement_annual[Company Name]) - ROW(INDEX(income_statement_annual[Company Name], 1, 1)) + 1), ROW(5:5)), COLUMN(F:F)), "")</f>
        <v>287644373035</v>
      </c>
    </row>
    <row r="8" spans="1:7" x14ac:dyDescent="0.35">
      <c r="C8" t="str">
        <f t="array" ref="C8">IFERROR(INDEX(income_statement_annual[#All], SMALL(IF(LOWER(income_statement_annual[Company Name]) = LOWER(income_statement_annual_filter!$B$2), ROW(income_statement_annual[Company Name]) - ROW(INDEX(income_statement_annual[Company Name], 1, 1)) + 1), ROW(6:6)), COLUMN(B:B)), "")</f>
        <v>5. Lợi nhuận gộp về bán hàng và cung cấp dịch vụ(20=10-11)</v>
      </c>
      <c r="D8" s="14">
        <f>D6-D7</f>
        <v>324239855652</v>
      </c>
      <c r="E8" s="14">
        <f t="shared" ref="E8:G8" si="0">E6-E7</f>
        <v>375268183594</v>
      </c>
      <c r="F8" s="14">
        <f t="shared" si="0"/>
        <v>500432456102</v>
      </c>
      <c r="G8" s="14">
        <f t="shared" si="0"/>
        <v>367834859593</v>
      </c>
    </row>
    <row r="9" spans="1:7" x14ac:dyDescent="0.35">
      <c r="C9" t="str">
        <f t="array" ref="C9">IFERROR(INDEX(income_statement_annual[#All], SMALL(IF(LOWER(income_statement_annual[Company Name]) = LOWER(income_statement_annual_filter!$B$2), ROW(income_statement_annual[Company Name]) - ROW(INDEX(income_statement_annual[Company Name], 1, 1)) + 1), ROW(7:7)), COLUMN(B:B)), "")</f>
        <v>6. Doanh thu hoạt động tài chính</v>
      </c>
      <c r="D9" s="14">
        <f t="array" ref="D9">IFERROR(INDEX(income_statement_annual[#All], SMALL(IF(LOWER(income_statement_annual[Company Name]) = LOWER(income_statement_annual_filter!$B$2), ROW(income_statement_annual[Company Name]) - ROW(INDEX(income_statement_annual[Company Name], 1, 1)) + 1), ROW(7:7)), COLUMN(C:C)), "")</f>
        <v>163385273</v>
      </c>
      <c r="E9" s="14">
        <f t="array" ref="E9">IFERROR(INDEX(income_statement_annual[#All], SMALL(IF(LOWER(income_statement_annual[Company Name]) = LOWER(income_statement_annual_filter!$B$2), ROW(income_statement_annual[Company Name]) - ROW(INDEX(income_statement_annual[Company Name], 1, 1)) + 1), ROW(7:7)), COLUMN(D:D)), "")</f>
        <v>4266127761</v>
      </c>
      <c r="F9" s="14">
        <f t="array" ref="F9">IFERROR(INDEX(income_statement_annual[#All], SMALL(IF(LOWER(income_statement_annual[Company Name]) = LOWER(income_statement_annual_filter!$B$2), ROW(income_statement_annual[Company Name]) - ROW(INDEX(income_statement_annual[Company Name], 1, 1)) + 1), ROW(7:7)), COLUMN(E:E)), "")</f>
        <v>129442717</v>
      </c>
      <c r="G9" s="14">
        <f t="array" ref="G9">IFERROR(INDEX(income_statement_annual[#All], SMALL(IF(LOWER(income_statement_annual[Company Name]) = LOWER(income_statement_annual_filter!$B$2), ROW(income_statement_annual[Company Name]) - ROW(INDEX(income_statement_annual[Company Name], 1, 1)) + 1), ROW(7:7)), COLUMN(F:F)), "")</f>
        <v>172486239</v>
      </c>
    </row>
    <row r="10" spans="1:7" x14ac:dyDescent="0.35">
      <c r="C10" t="str">
        <f t="array" ref="C10">IFERROR(INDEX(income_statement_annual[#All], SMALL(IF(LOWER(income_statement_annual[Company Name]) = LOWER(income_statement_annual_filter!$B$2), ROW(income_statement_annual[Company Name]) - ROW(INDEX(income_statement_annual[Company Name], 1, 1)) + 1), ROW(8:8)), COLUMN(B:B)), "")</f>
        <v>7. Chi phí tài chính</v>
      </c>
      <c r="D10" s="14">
        <f t="array" ref="D10">IFERROR(INDEX(income_statement_annual[#All], SMALL(IF(LOWER(income_statement_annual[Company Name]) = LOWER(income_statement_annual_filter!$B$2), ROW(income_statement_annual[Company Name]) - ROW(INDEX(income_statement_annual[Company Name], 1, 1)) + 1), ROW(8:8)), COLUMN(C:C)), "")</f>
        <v>163716453201</v>
      </c>
      <c r="E10" s="14">
        <f t="array" ref="E10">IFERROR(INDEX(income_statement_annual[#All], SMALL(IF(LOWER(income_statement_annual[Company Name]) = LOWER(income_statement_annual_filter!$B$2), ROW(income_statement_annual[Company Name]) - ROW(INDEX(income_statement_annual[Company Name], 1, 1)) + 1), ROW(8:8)), COLUMN(D:D)), "")</f>
        <v>208645250651</v>
      </c>
      <c r="F10" s="14">
        <f t="array" ref="F10">IFERROR(INDEX(income_statement_annual[#All], SMALL(IF(LOWER(income_statement_annual[Company Name]) = LOWER(income_statement_annual_filter!$B$2), ROW(income_statement_annual[Company Name]) - ROW(INDEX(income_statement_annual[Company Name], 1, 1)) + 1), ROW(8:8)), COLUMN(E:E)), "")</f>
        <v>239731716431</v>
      </c>
      <c r="G10" s="14">
        <f t="array" ref="G10">IFERROR(INDEX(income_statement_annual[#All], SMALL(IF(LOWER(income_statement_annual[Company Name]) = LOWER(income_statement_annual_filter!$B$2), ROW(income_statement_annual[Company Name]) - ROW(INDEX(income_statement_annual[Company Name], 1, 1)) + 1), ROW(8:8)), COLUMN(F:F)), "")</f>
        <v>223085525165</v>
      </c>
    </row>
    <row r="11" spans="1:7" x14ac:dyDescent="0.35">
      <c r="C11" t="str">
        <f t="array" ref="C11">IFERROR(INDEX(income_statement_annual[#All], SMALL(IF(LOWER(income_statement_annual[Company Name]) = LOWER(income_statement_annual_filter!$B$2), ROW(income_statement_annual[Company Name]) - ROW(INDEX(income_statement_annual[Company Name], 1, 1)) + 1), ROW(9:9)), COLUMN(B:B)), "")</f>
        <v>- Trong đó: Chi phí lãi vay</v>
      </c>
      <c r="D11" s="14">
        <f t="array" ref="D11">IFERROR(INDEX(income_statement_annual[#All], SMALL(IF(LOWER(income_statement_annual[Company Name]) = LOWER(income_statement_annual_filter!$B$2), ROW(income_statement_annual[Company Name]) - ROW(INDEX(income_statement_annual[Company Name], 1, 1)) + 1), ROW(9:9)), COLUMN(C:C)), "")</f>
        <v>163716453201</v>
      </c>
      <c r="E11" s="14">
        <f t="array" ref="E11">IFERROR(INDEX(income_statement_annual[#All], SMALL(IF(LOWER(income_statement_annual[Company Name]) = LOWER(income_statement_annual_filter!$B$2), ROW(income_statement_annual[Company Name]) - ROW(INDEX(income_statement_annual[Company Name], 1, 1)) + 1), ROW(9:9)), COLUMN(D:D)), "")</f>
        <v>207910574527</v>
      </c>
      <c r="F11" s="14">
        <f t="array" ref="F11">IFERROR(INDEX(income_statement_annual[#All], SMALL(IF(LOWER(income_statement_annual[Company Name]) = LOWER(income_statement_annual_filter!$B$2), ROW(income_statement_annual[Company Name]) - ROW(INDEX(income_statement_annual[Company Name], 1, 1)) + 1), ROW(9:9)), COLUMN(E:E)), "")</f>
        <v>191726077614</v>
      </c>
      <c r="G11" s="14">
        <f t="array" ref="G11">IFERROR(INDEX(income_statement_annual[#All], SMALL(IF(LOWER(income_statement_annual[Company Name]) = LOWER(income_statement_annual_filter!$B$2), ROW(income_statement_annual[Company Name]) - ROW(INDEX(income_statement_annual[Company Name], 1, 1)) + 1), ROW(9:9)), COLUMN(F:F)), "")</f>
        <v>211481339563</v>
      </c>
    </row>
    <row r="12" spans="1:7" x14ac:dyDescent="0.35">
      <c r="C12" t="str">
        <f t="array" ref="C12">IFERROR(INDEX(income_statement_annual[#All], SMALL(IF(LOWER(income_statement_annual[Company Name]) = LOWER(income_statement_annual_filter!$B$2), ROW(income_statement_annual[Company Name]) - ROW(INDEX(income_statement_annual[Company Name], 1, 1)) + 1), ROW(10:10)), COLUMN(B:B)), "")</f>
        <v>8. Phần lãi lỗ trong công ty liên doanh, liên kết</v>
      </c>
      <c r="D12" s="14">
        <f t="array" ref="D12">IFERROR(INDEX(income_statement_annual[#All], SMALL(IF(LOWER(income_statement_annual[Company Name]) = LOWER(income_statement_annual_filter!$B$2), ROW(income_statement_annual[Company Name]) - ROW(INDEX(income_statement_annual[Company Name], 1, 1)) + 1), ROW(10:10)), COLUMN(C:C)), "")</f>
        <v>0</v>
      </c>
      <c r="E12" s="14">
        <f t="array" ref="E12">IFERROR(INDEX(income_statement_annual[#All], SMALL(IF(LOWER(income_statement_annual[Company Name]) = LOWER(income_statement_annual_filter!$B$2), ROW(income_statement_annual[Company Name]) - ROW(INDEX(income_statement_annual[Company Name], 1, 1)) + 1), ROW(10:10)), COLUMN(D:D)), "")</f>
        <v>0</v>
      </c>
      <c r="F12" s="14">
        <f t="array" ref="F12">IFERROR(INDEX(income_statement_annual[#All], SMALL(IF(LOWER(income_statement_annual[Company Name]) = LOWER(income_statement_annual_filter!$B$2), ROW(income_statement_annual[Company Name]) - ROW(INDEX(income_statement_annual[Company Name], 1, 1)) + 1), ROW(10:10)), COLUMN(E:E)), "")</f>
        <v>0</v>
      </c>
      <c r="G12" s="14">
        <f t="array" ref="G12">IFERROR(INDEX(income_statement_annual[#All], SMALL(IF(LOWER(income_statement_annual[Company Name]) = LOWER(income_statement_annual_filter!$B$2), ROW(income_statement_annual[Company Name]) - ROW(INDEX(income_statement_annual[Company Name], 1, 1)) + 1), ROW(10:10)), COLUMN(F:F)), "")</f>
        <v>0</v>
      </c>
    </row>
    <row r="13" spans="1:7" x14ac:dyDescent="0.35">
      <c r="C13" t="str">
        <f t="array" ref="C13">IFERROR(INDEX(income_statement_annual[#All], SMALL(IF(LOWER(income_statement_annual[Company Name]) = LOWER(income_statement_annual_filter!$B$2), ROW(income_statement_annual[Company Name]) - ROW(INDEX(income_statement_annual[Company Name], 1, 1)) + 1), ROW(11:11)), COLUMN(B:B)), "")</f>
        <v>9. Chi phí bán hàng</v>
      </c>
      <c r="D13" s="14">
        <f t="array" ref="D13">IFERROR(INDEX(income_statement_annual[#All], SMALL(IF(LOWER(income_statement_annual[Company Name]) = LOWER(income_statement_annual_filter!$B$2), ROW(income_statement_annual[Company Name]) - ROW(INDEX(income_statement_annual[Company Name], 1, 1)) + 1), ROW(11:11)), COLUMN(C:C)), "")</f>
        <v>0</v>
      </c>
      <c r="E13" s="14">
        <f t="array" ref="E13">IFERROR(INDEX(income_statement_annual[#All], SMALL(IF(LOWER(income_statement_annual[Company Name]) = LOWER(income_statement_annual_filter!$B$2), ROW(income_statement_annual[Company Name]) - ROW(INDEX(income_statement_annual[Company Name], 1, 1)) + 1), ROW(11:11)), COLUMN(D:D)), "")</f>
        <v>0</v>
      </c>
      <c r="F13" s="14">
        <f t="array" ref="F13">IFERROR(INDEX(income_statement_annual[#All], SMALL(IF(LOWER(income_statement_annual[Company Name]) = LOWER(income_statement_annual_filter!$B$2), ROW(income_statement_annual[Company Name]) - ROW(INDEX(income_statement_annual[Company Name], 1, 1)) + 1), ROW(11:11)), COLUMN(E:E)), "")</f>
        <v>0</v>
      </c>
      <c r="G13" s="14">
        <f t="array" ref="G13">IFERROR(INDEX(income_statement_annual[#All], SMALL(IF(LOWER(income_statement_annual[Company Name]) = LOWER(income_statement_annual_filter!$B$2), ROW(income_statement_annual[Company Name]) - ROW(INDEX(income_statement_annual[Company Name], 1, 1)) + 1), ROW(11:11)), COLUMN(F:F)), "")</f>
        <v>0</v>
      </c>
    </row>
    <row r="14" spans="1:7" x14ac:dyDescent="0.35">
      <c r="C14" t="str">
        <f t="array" ref="C14">IFERROR(INDEX(income_statement_annual[#All], SMALL(IF(LOWER(income_statement_annual[Company Name]) = LOWER(income_statement_annual_filter!$B$2), ROW(income_statement_annual[Company Name]) - ROW(INDEX(income_statement_annual[Company Name], 1, 1)) + 1), ROW(12:12)), COLUMN(B:B)), "")</f>
        <v>10. Chi phí quản lý doanh nghiệp</v>
      </c>
      <c r="D14" s="14">
        <f t="array" ref="D14">IFERROR(INDEX(income_statement_annual[#All], SMALL(IF(LOWER(income_statement_annual[Company Name]) = LOWER(income_statement_annual_filter!$B$2), ROW(income_statement_annual[Company Name]) - ROW(INDEX(income_statement_annual[Company Name], 1, 1)) + 1), ROW(12:12)), COLUMN(C:C)), "")</f>
        <v>17220227532</v>
      </c>
      <c r="E14" s="14">
        <f t="array" ref="E14">IFERROR(INDEX(income_statement_annual[#All], SMALL(IF(LOWER(income_statement_annual[Company Name]) = LOWER(income_statement_annual_filter!$B$2), ROW(income_statement_annual[Company Name]) - ROW(INDEX(income_statement_annual[Company Name], 1, 1)) + 1), ROW(12:12)), COLUMN(D:D)), "")</f>
        <v>21036048837</v>
      </c>
      <c r="F14" s="14">
        <f t="array" ref="F14">IFERROR(INDEX(income_statement_annual[#All], SMALL(IF(LOWER(income_statement_annual[Company Name]) = LOWER(income_statement_annual_filter!$B$2), ROW(income_statement_annual[Company Name]) - ROW(INDEX(income_statement_annual[Company Name], 1, 1)) + 1), ROW(12:12)), COLUMN(E:E)), "")</f>
        <v>20890644019</v>
      </c>
      <c r="G14" s="14">
        <f t="array" ref="G14">IFERROR(INDEX(income_statement_annual[#All], SMALL(IF(LOWER(income_statement_annual[Company Name]) = LOWER(income_statement_annual_filter!$B$2), ROW(income_statement_annual[Company Name]) - ROW(INDEX(income_statement_annual[Company Name], 1, 1)) + 1), ROW(12:12)), COLUMN(F:F)), "")</f>
        <v>20025613615</v>
      </c>
    </row>
    <row r="15" spans="1:7" x14ac:dyDescent="0.35">
      <c r="C15" t="str">
        <f t="array" ref="C15">IFERROR(INDEX(income_statement_annual[#All], SMALL(IF(LOWER(income_statement_annual[Company Name]) = LOWER(income_statement_annual_filter!$B$2), ROW(income_statement_annual[Company Name]) - ROW(INDEX(income_statement_annual[Company Name], 1, 1)) + 1), ROW(13:13)), COLUMN(B:B)), "")</f>
        <v>11. Lợi nhuận thuần từ hoạt động kinh doanh{30=20+(21-22) + 24 - (25+26)}</v>
      </c>
      <c r="D15" s="14">
        <f t="array" ref="D15">IFERROR(INDEX(income_statement_annual[#All], SMALL(IF(LOWER(income_statement_annual[Company Name]) = LOWER(income_statement_annual_filter!$B$2), ROW(income_statement_annual[Company Name]) - ROW(INDEX(income_statement_annual[Company Name], 1, 1)) + 1), ROW(13:13)), COLUMN(C:C)), "")</f>
        <v>143466560192</v>
      </c>
      <c r="E15" s="14">
        <f t="array" ref="E15">IFERROR(INDEX(income_statement_annual[#All], SMALL(IF(LOWER(income_statement_annual[Company Name]) = LOWER(income_statement_annual_filter!$B$2), ROW(income_statement_annual[Company Name]) - ROW(INDEX(income_statement_annual[Company Name], 1, 1)) + 1), ROW(13:13)), COLUMN(D:D)), "")</f>
        <v>149853011867</v>
      </c>
      <c r="F15" s="14">
        <f t="array" ref="F15">IFERROR(INDEX(income_statement_annual[#All], SMALL(IF(LOWER(income_statement_annual[Company Name]) = LOWER(income_statement_annual_filter!$B$2), ROW(income_statement_annual[Company Name]) - ROW(INDEX(income_statement_annual[Company Name], 1, 1)) + 1), ROW(13:13)), COLUMN(E:E)), "")</f>
        <v>239939538369</v>
      </c>
      <c r="G15" s="14">
        <f t="array" ref="G15">IFERROR(INDEX(income_statement_annual[#All], SMALL(IF(LOWER(income_statement_annual[Company Name]) = LOWER(income_statement_annual_filter!$B$2), ROW(income_statement_annual[Company Name]) - ROW(INDEX(income_statement_annual[Company Name], 1, 1)) + 1), ROW(13:13)), COLUMN(F:F)), "")</f>
        <v>124896207052</v>
      </c>
    </row>
    <row r="16" spans="1:7" x14ac:dyDescent="0.35">
      <c r="C16" t="str">
        <f t="array" ref="C16">IFERROR(INDEX(income_statement_annual[#All], SMALL(IF(LOWER(income_statement_annual[Company Name]) = LOWER(income_statement_annual_filter!$B$2), ROW(income_statement_annual[Company Name]) - ROW(INDEX(income_statement_annual[Company Name], 1, 1)) + 1), ROW(14:14)), COLUMN(B:B)), "")</f>
        <v>12. Thu nhập khác</v>
      </c>
      <c r="D16" s="14">
        <f t="array" ref="D16">IFERROR(INDEX(income_statement_annual[#All], SMALL(IF(LOWER(income_statement_annual[Company Name]) = LOWER(income_statement_annual_filter!$B$2), ROW(income_statement_annual[Company Name]) - ROW(INDEX(income_statement_annual[Company Name], 1, 1)) + 1), ROW(14:14)), COLUMN(C:C)), "")</f>
        <v>1014636381</v>
      </c>
      <c r="E16" s="14">
        <f t="array" ref="E16">IFERROR(INDEX(income_statement_annual[#All], SMALL(IF(LOWER(income_statement_annual[Company Name]) = LOWER(income_statement_annual_filter!$B$2), ROW(income_statement_annual[Company Name]) - ROW(INDEX(income_statement_annual[Company Name], 1, 1)) + 1), ROW(14:14)), COLUMN(D:D)), "")</f>
        <v>18182379</v>
      </c>
      <c r="F16" s="14">
        <f t="array" ref="F16">IFERROR(INDEX(income_statement_annual[#All], SMALL(IF(LOWER(income_statement_annual[Company Name]) = LOWER(income_statement_annual_filter!$B$2), ROW(income_statement_annual[Company Name]) - ROW(INDEX(income_statement_annual[Company Name], 1, 1)) + 1), ROW(14:14)), COLUMN(E:E)), "")</f>
        <v>1014448</v>
      </c>
      <c r="G16" s="14">
        <f t="array" ref="G16">IFERROR(INDEX(income_statement_annual[#All], SMALL(IF(LOWER(income_statement_annual[Company Name]) = LOWER(income_statement_annual_filter!$B$2), ROW(income_statement_annual[Company Name]) - ROW(INDEX(income_statement_annual[Company Name], 1, 1)) + 1), ROW(14:14)), COLUMN(F:F)), "")</f>
        <v>660377811</v>
      </c>
    </row>
    <row r="17" spans="3:7" x14ac:dyDescent="0.35">
      <c r="C17" t="str">
        <f t="array" ref="C17">IFERROR(INDEX(income_statement_annual[#All], SMALL(IF(LOWER(income_statement_annual[Company Name]) = LOWER(income_statement_annual_filter!$B$2), ROW(income_statement_annual[Company Name]) - ROW(INDEX(income_statement_annual[Company Name], 1, 1)) + 1), ROW(15:15)), COLUMN(B:B)), "")</f>
        <v>13. Chi phí khác</v>
      </c>
      <c r="D17" s="14">
        <f t="array" ref="D17">IFERROR(INDEX(income_statement_annual[#All], SMALL(IF(LOWER(income_statement_annual[Company Name]) = LOWER(income_statement_annual_filter!$B$2), ROW(income_statement_annual[Company Name]) - ROW(INDEX(income_statement_annual[Company Name], 1, 1)) + 1), ROW(15:15)), COLUMN(C:C)), "")</f>
        <v>1570730767</v>
      </c>
      <c r="E17" s="14">
        <f t="array" ref="E17">IFERROR(INDEX(income_statement_annual[#All], SMALL(IF(LOWER(income_statement_annual[Company Name]) = LOWER(income_statement_annual_filter!$B$2), ROW(income_statement_annual[Company Name]) - ROW(INDEX(income_statement_annual[Company Name], 1, 1)) + 1), ROW(15:15)), COLUMN(D:D)), "")</f>
        <v>7724958628</v>
      </c>
      <c r="F17" s="14">
        <f t="array" ref="F17">IFERROR(INDEX(income_statement_annual[#All], SMALL(IF(LOWER(income_statement_annual[Company Name]) = LOWER(income_statement_annual_filter!$B$2), ROW(income_statement_annual[Company Name]) - ROW(INDEX(income_statement_annual[Company Name], 1, 1)) + 1), ROW(15:15)), COLUMN(E:E)), "")</f>
        <v>20133782592</v>
      </c>
      <c r="G17" s="14">
        <f t="array" ref="G17">IFERROR(INDEX(income_statement_annual[#All], SMALL(IF(LOWER(income_statement_annual[Company Name]) = LOWER(income_statement_annual_filter!$B$2), ROW(income_statement_annual[Company Name]) - ROW(INDEX(income_statement_annual[Company Name], 1, 1)) + 1), ROW(15:15)), COLUMN(F:F)), "")</f>
        <v>12444414330</v>
      </c>
    </row>
    <row r="18" spans="3:7" x14ac:dyDescent="0.35">
      <c r="C18" t="str">
        <f t="array" ref="C18">IFERROR(INDEX(income_statement_annual[#All], SMALL(IF(LOWER(income_statement_annual[Company Name]) = LOWER(income_statement_annual_filter!$B$2), ROW(income_statement_annual[Company Name]) - ROW(INDEX(income_statement_annual[Company Name], 1, 1)) + 1), ROW(16:16)), COLUMN(B:B)), "")</f>
        <v>14. Lợi nhuận khác(40=31-32)</v>
      </c>
      <c r="D18" s="14">
        <f t="array" ref="D18">IFERROR(INDEX(income_statement_annual[#All], SMALL(IF(LOWER(income_statement_annual[Company Name]) = LOWER(income_statement_annual_filter!$B$2), ROW(income_statement_annual[Company Name]) - ROW(INDEX(income_statement_annual[Company Name], 1, 1)) + 1), ROW(16:16)), COLUMN(C:C)), "")</f>
        <v>-556094386</v>
      </c>
      <c r="E18" s="14">
        <f t="array" ref="E18">IFERROR(INDEX(income_statement_annual[#All], SMALL(IF(LOWER(income_statement_annual[Company Name]) = LOWER(income_statement_annual_filter!$B$2), ROW(income_statement_annual[Company Name]) - ROW(INDEX(income_statement_annual[Company Name], 1, 1)) + 1), ROW(16:16)), COLUMN(D:D)), "")</f>
        <v>-7706776249</v>
      </c>
      <c r="F18" s="14">
        <f t="array" ref="F18">IFERROR(INDEX(income_statement_annual[#All], SMALL(IF(LOWER(income_statement_annual[Company Name]) = LOWER(income_statement_annual_filter!$B$2), ROW(income_statement_annual[Company Name]) - ROW(INDEX(income_statement_annual[Company Name], 1, 1)) + 1), ROW(16:16)), COLUMN(E:E)), "")</f>
        <v>-20132768144</v>
      </c>
      <c r="G18" s="14">
        <f t="array" ref="G18">IFERROR(INDEX(income_statement_annual[#All], SMALL(IF(LOWER(income_statement_annual[Company Name]) = LOWER(income_statement_annual_filter!$B$2), ROW(income_statement_annual[Company Name]) - ROW(INDEX(income_statement_annual[Company Name], 1, 1)) + 1), ROW(16:16)), COLUMN(F:F)), "")</f>
        <v>-11784036519</v>
      </c>
    </row>
    <row r="19" spans="3:7" x14ac:dyDescent="0.35">
      <c r="C19" t="str">
        <f t="array" ref="C19">IFERROR(INDEX(income_statement_annual[#All], SMALL(IF(LOWER(income_statement_annual[Company Name]) = LOWER(income_statement_annual_filter!$B$2), ROW(income_statement_annual[Company Name]) - ROW(INDEX(income_statement_annual[Company Name], 1, 1)) + 1), ROW(17:17)), COLUMN(B:B)), "")</f>
        <v>15. Tổng lợi nhuận kế toán trước thuế(50=30+40)</v>
      </c>
      <c r="D19" s="14">
        <f t="array" ref="D19">IFERROR(INDEX(income_statement_annual[#All], SMALL(IF(LOWER(income_statement_annual[Company Name]) = LOWER(income_statement_annual_filter!$B$2), ROW(income_statement_annual[Company Name]) - ROW(INDEX(income_statement_annual[Company Name], 1, 1)) + 1), ROW(17:17)), COLUMN(C:C)), "")</f>
        <v>142910465806</v>
      </c>
      <c r="E19" s="14">
        <f t="array" ref="E19">IFERROR(INDEX(income_statement_annual[#All], SMALL(IF(LOWER(income_statement_annual[Company Name]) = LOWER(income_statement_annual_filter!$B$2), ROW(income_statement_annual[Company Name]) - ROW(INDEX(income_statement_annual[Company Name], 1, 1)) + 1), ROW(17:17)), COLUMN(D:D)), "")</f>
        <v>142146235618</v>
      </c>
      <c r="F19" s="14">
        <f t="array" ref="F19">IFERROR(INDEX(income_statement_annual[#All], SMALL(IF(LOWER(income_statement_annual[Company Name]) = LOWER(income_statement_annual_filter!$B$2), ROW(income_statement_annual[Company Name]) - ROW(INDEX(income_statement_annual[Company Name], 1, 1)) + 1), ROW(17:17)), COLUMN(E:E)), "")</f>
        <v>219806770225</v>
      </c>
      <c r="G19" s="14">
        <f t="array" ref="G19">IFERROR(INDEX(income_statement_annual[#All], SMALL(IF(LOWER(income_statement_annual[Company Name]) = LOWER(income_statement_annual_filter!$B$2), ROW(income_statement_annual[Company Name]) - ROW(INDEX(income_statement_annual[Company Name], 1, 1)) + 1), ROW(17:17)), COLUMN(F:F)), "")</f>
        <v>113112170533</v>
      </c>
    </row>
    <row r="20" spans="3:7" x14ac:dyDescent="0.35">
      <c r="C20" t="str">
        <f t="array" ref="C20">IFERROR(INDEX(income_statement_annual[#All], SMALL(IF(LOWER(income_statement_annual[Company Name]) = LOWER(income_statement_annual_filter!$B$2), ROW(income_statement_annual[Company Name]) - ROW(INDEX(income_statement_annual[Company Name], 1, 1)) + 1), ROW(18:18)), COLUMN(B:B)), "")</f>
        <v>16. Chi phí thuế TNDN hiện hành</v>
      </c>
      <c r="D20" s="14">
        <f t="array" ref="D20">IFERROR(INDEX(income_statement_annual[#All], SMALL(IF(LOWER(income_statement_annual[Company Name]) = LOWER(income_statement_annual_filter!$B$2), ROW(income_statement_annual[Company Name]) - ROW(INDEX(income_statement_annual[Company Name], 1, 1)) + 1), ROW(18:18)), COLUMN(C:C)), "")</f>
        <v>13767285379</v>
      </c>
      <c r="E20" s="14">
        <f t="array" ref="E20">IFERROR(INDEX(income_statement_annual[#All], SMALL(IF(LOWER(income_statement_annual[Company Name]) = LOWER(income_statement_annual_filter!$B$2), ROW(income_statement_annual[Company Name]) - ROW(INDEX(income_statement_annual[Company Name], 1, 1)) + 1), ROW(18:18)), COLUMN(D:D)), "")</f>
        <v>8754731008</v>
      </c>
      <c r="F20" s="14">
        <f t="array" ref="F20">IFERROR(INDEX(income_statement_annual[#All], SMALL(IF(LOWER(income_statement_annual[Company Name]) = LOWER(income_statement_annual_filter!$B$2), ROW(income_statement_annual[Company Name]) - ROW(INDEX(income_statement_annual[Company Name], 1, 1)) + 1), ROW(18:18)), COLUMN(E:E)), "")</f>
        <v>14822505336</v>
      </c>
      <c r="G20" s="14">
        <f t="array" ref="G20">IFERROR(INDEX(income_statement_annual[#All], SMALL(IF(LOWER(income_statement_annual[Company Name]) = LOWER(income_statement_annual_filter!$B$2), ROW(income_statement_annual[Company Name]) - ROW(INDEX(income_statement_annual[Company Name], 1, 1)) + 1), ROW(18:18)), COLUMN(F:F)), "")</f>
        <v>11651735731</v>
      </c>
    </row>
    <row r="21" spans="3:7" x14ac:dyDescent="0.35">
      <c r="C21" t="str">
        <f t="array" ref="C21">IFERROR(INDEX(income_statement_annual[#All], SMALL(IF(LOWER(income_statement_annual[Company Name]) = LOWER(income_statement_annual_filter!$B$2), ROW(income_statement_annual[Company Name]) - ROW(INDEX(income_statement_annual[Company Name], 1, 1)) + 1), ROW(19:19)), COLUMN(B:B)), "")</f>
        <v>17. Chi phí thuế TNDN hoãn lại</v>
      </c>
      <c r="D21" s="14">
        <f t="array" ref="D21">IFERROR(INDEX(income_statement_annual[#All], SMALL(IF(LOWER(income_statement_annual[Company Name]) = LOWER(income_statement_annual_filter!$B$2), ROW(income_statement_annual[Company Name]) - ROW(INDEX(income_statement_annual[Company Name], 1, 1)) + 1), ROW(19:19)), COLUMN(C:C)), "")</f>
        <v>0</v>
      </c>
      <c r="E21" s="14">
        <f t="array" ref="E21">IFERROR(INDEX(income_statement_annual[#All], SMALL(IF(LOWER(income_statement_annual[Company Name]) = LOWER(income_statement_annual_filter!$B$2), ROW(income_statement_annual[Company Name]) - ROW(INDEX(income_statement_annual[Company Name], 1, 1)) + 1), ROW(19:19)), COLUMN(D:D)), "")</f>
        <v>0</v>
      </c>
      <c r="F21" s="14">
        <f t="array" ref="F21">IFERROR(INDEX(income_statement_annual[#All], SMALL(IF(LOWER(income_statement_annual[Company Name]) = LOWER(income_statement_annual_filter!$B$2), ROW(income_statement_annual[Company Name]) - ROW(INDEX(income_statement_annual[Company Name], 1, 1)) + 1), ROW(19:19)), COLUMN(E:E)), "")</f>
        <v>0</v>
      </c>
      <c r="G21" s="14">
        <f t="array" ref="G21">IFERROR(INDEX(income_statement_annual[#All], SMALL(IF(LOWER(income_statement_annual[Company Name]) = LOWER(income_statement_annual_filter!$B$2), ROW(income_statement_annual[Company Name]) - ROW(INDEX(income_statement_annual[Company Name], 1, 1)) + 1), ROW(19:19)), COLUMN(F:F)), "")</f>
        <v>0</v>
      </c>
    </row>
    <row r="22" spans="3:7" x14ac:dyDescent="0.35">
      <c r="C22" t="str">
        <f t="array" ref="C22">IFERROR(INDEX(income_statement_annual[#All], SMALL(IF(LOWER(income_statement_annual[Company Name]) = LOWER(income_statement_annual_filter!$B$2), ROW(income_statement_annual[Company Name]) - ROW(INDEX(income_statement_annual[Company Name], 1, 1)) + 1), ROW(20:20)), COLUMN(B:B)), "")</f>
        <v>18. Lợi nhuận sau thuế thu nhập doanh nghiệp(60=50-51-52)</v>
      </c>
      <c r="D22" s="14">
        <f t="array" ref="D22">IFERROR(INDEX(income_statement_annual[#All], SMALL(IF(LOWER(income_statement_annual[Company Name]) = LOWER(income_statement_annual_filter!$B$2), ROW(income_statement_annual[Company Name]) - ROW(INDEX(income_statement_annual[Company Name], 1, 1)) + 1), ROW(20:20)), COLUMN(C:C)), "")</f>
        <v>129143180427</v>
      </c>
      <c r="E22" s="14">
        <f t="array" ref="E22">IFERROR(INDEX(income_statement_annual[#All], SMALL(IF(LOWER(income_statement_annual[Company Name]) = LOWER(income_statement_annual_filter!$B$2), ROW(income_statement_annual[Company Name]) - ROW(INDEX(income_statement_annual[Company Name], 1, 1)) + 1), ROW(20:20)), COLUMN(D:D)), "")</f>
        <v>133391504610</v>
      </c>
      <c r="F22" s="14">
        <f t="array" ref="F22">IFERROR(INDEX(income_statement_annual[#All], SMALL(IF(LOWER(income_statement_annual[Company Name]) = LOWER(income_statement_annual_filter!$B$2), ROW(income_statement_annual[Company Name]) - ROW(INDEX(income_statement_annual[Company Name], 1, 1)) + 1), ROW(20:20)), COLUMN(E:E)), "")</f>
        <v>204984264889</v>
      </c>
      <c r="G22" s="14">
        <f t="array" ref="G22">IFERROR(INDEX(income_statement_annual[#All], SMALL(IF(LOWER(income_statement_annual[Company Name]) = LOWER(income_statement_annual_filter!$B$2), ROW(income_statement_annual[Company Name]) - ROW(INDEX(income_statement_annual[Company Name], 1, 1)) + 1), ROW(20:20)), COLUMN(F:F)), "")</f>
        <v>101460434802</v>
      </c>
    </row>
    <row r="23" spans="3:7" x14ac:dyDescent="0.35">
      <c r="C23" t="str">
        <f t="array" ref="C23">IFERROR(INDEX(income_statement_annual[#All], SMALL(IF(LOWER(income_statement_annual[Company Name]) = LOWER(income_statement_annual_filter!$B$2), ROW(income_statement_annual[Company Name]) - ROW(INDEX(income_statement_annual[Company Name], 1, 1)) + 1), ROW(21:21)), COLUMN(B:B)), "")</f>
        <v>19. Lợi nhuận sau thuế công ty mẹ</v>
      </c>
      <c r="D23" s="14">
        <f t="array" ref="D23">IFERROR(INDEX(income_statement_annual[#All], SMALL(IF(LOWER(income_statement_annual[Company Name]) = LOWER(income_statement_annual_filter!$B$2), ROW(income_statement_annual[Company Name]) - ROW(INDEX(income_statement_annual[Company Name], 1, 1)) + 1), ROW(21:21)), COLUMN(C:C)), "")</f>
        <v>129143180427</v>
      </c>
      <c r="E23" s="14">
        <f t="array" ref="E23">IFERROR(INDEX(income_statement_annual[#All], SMALL(IF(LOWER(income_statement_annual[Company Name]) = LOWER(income_statement_annual_filter!$B$2), ROW(income_statement_annual[Company Name]) - ROW(INDEX(income_statement_annual[Company Name], 1, 1)) + 1), ROW(21:21)), COLUMN(D:D)), "")</f>
        <v>133391504610</v>
      </c>
      <c r="F23" s="14">
        <f t="array" ref="F23">IFERROR(INDEX(income_statement_annual[#All], SMALL(IF(LOWER(income_statement_annual[Company Name]) = LOWER(income_statement_annual_filter!$B$2), ROW(income_statement_annual[Company Name]) - ROW(INDEX(income_statement_annual[Company Name], 1, 1)) + 1), ROW(21:21)), COLUMN(E:E)), "")</f>
        <v>204984264889</v>
      </c>
      <c r="G23" s="14">
        <f t="array" ref="G23">IFERROR(INDEX(income_statement_annual[#All], SMALL(IF(LOWER(income_statement_annual[Company Name]) = LOWER(income_statement_annual_filter!$B$2), ROW(income_statement_annual[Company Name]) - ROW(INDEX(income_statement_annual[Company Name], 1, 1)) + 1), ROW(21:21)), COLUMN(F:F)), "")</f>
        <v>101460434802</v>
      </c>
    </row>
    <row r="24" spans="3:7" x14ac:dyDescent="0.35">
      <c r="C24" t="str">
        <f t="array" ref="C24">IFERROR(INDEX(income_statement_annual[#All], SMALL(IF(LOWER(income_statement_annual[Company Name]) = LOWER(income_statement_annual_filter!$B$2), ROW(income_statement_annual[Company Name]) - ROW(INDEX(income_statement_annual[Company Name], 1, 1)) + 1), ROW(22:22)), COLUMN(B:B)), "")</f>
        <v>20. Lợi nhuận sau thuế công ty mẹ không kiểm soát</v>
      </c>
      <c r="D24" s="14">
        <f t="array" ref="D24">IFERROR(INDEX(income_statement_annual[#All], SMALL(IF(LOWER(income_statement_annual[Company Name]) = LOWER(income_statement_annual_filter!$B$2), ROW(income_statement_annual[Company Name]) - ROW(INDEX(income_statement_annual[Company Name], 1, 1)) + 1), ROW(22:22)), COLUMN(C:C)), "")</f>
        <v>0</v>
      </c>
      <c r="E24" s="14">
        <f t="array" ref="E24">IFERROR(INDEX(income_statement_annual[#All], SMALL(IF(LOWER(income_statement_annual[Company Name]) = LOWER(income_statement_annual_filter!$B$2), ROW(income_statement_annual[Company Name]) - ROW(INDEX(income_statement_annual[Company Name], 1, 1)) + 1), ROW(22:22)), COLUMN(D:D)), "")</f>
        <v>0</v>
      </c>
      <c r="F24" s="14">
        <f t="array" ref="F24">IFERROR(INDEX(income_statement_annual[#All], SMALL(IF(LOWER(income_statement_annual[Company Name]) = LOWER(income_statement_annual_filter!$B$2), ROW(income_statement_annual[Company Name]) - ROW(INDEX(income_statement_annual[Company Name], 1, 1)) + 1), ROW(22:22)), COLUMN(E:E)), "")</f>
        <v>0</v>
      </c>
      <c r="G24" s="14">
        <f t="array" ref="G24">IFERROR(INDEX(income_statement_annual[#All], SMALL(IF(LOWER(income_statement_annual[Company Name]) = LOWER(income_statement_annual_filter!$B$2), ROW(income_statement_annual[Company Name]) - ROW(INDEX(income_statement_annual[Company Name], 1, 1)) + 1), ROW(22:22)), COLUMN(F:F)), "")</f>
        <v>0</v>
      </c>
    </row>
    <row r="25" spans="3:7" x14ac:dyDescent="0.35">
      <c r="C25" t="str">
        <f t="array" ref="C25">IFERROR(INDEX(income_statement_annual[#All], SMALL(IF(LOWER(income_statement_annual[Company Name]) = LOWER(income_statement_annual_filter!$B$2), ROW(income_statement_annual[Company Name]) - ROW(INDEX(income_statement_annual[Company Name], 1, 1)) + 1), ROW(23:23)), COLUMN(B:B)), "")</f>
        <v>21. Lãi cơ bản trên cổ phiếu(*)</v>
      </c>
      <c r="D25" s="14">
        <f t="array" ref="D25">IFERROR(INDEX(income_statement_annual[#All], SMALL(IF(LOWER(income_statement_annual[Company Name]) = LOWER(income_statement_annual_filter!$B$2), ROW(income_statement_annual[Company Name]) - ROW(INDEX(income_statement_annual[Company Name], 1, 1)) + 1), ROW(23:23)), COLUMN(C:C)), "")</f>
        <v>782</v>
      </c>
      <c r="E25" s="14">
        <f t="array" ref="E25">IFERROR(INDEX(income_statement_annual[#All], SMALL(IF(LOWER(income_statement_annual[Company Name]) = LOWER(income_statement_annual_filter!$B$2), ROW(income_statement_annual[Company Name]) - ROW(INDEX(income_statement_annual[Company Name], 1, 1)) + 1), ROW(23:23)), COLUMN(D:D)), "")</f>
        <v>732</v>
      </c>
      <c r="F25" s="14">
        <f t="array" ref="F25">IFERROR(INDEX(income_statement_annual[#All], SMALL(IF(LOWER(income_statement_annual[Company Name]) = LOWER(income_statement_annual_filter!$B$2), ROW(income_statement_annual[Company Name]) - ROW(INDEX(income_statement_annual[Company Name], 1, 1)) + 1), ROW(23:23)), COLUMN(E:E)), "")</f>
        <v>969</v>
      </c>
      <c r="G25" s="14">
        <f t="array" ref="G25">IFERROR(INDEX(income_statement_annual[#All], SMALL(IF(LOWER(income_statement_annual[Company Name]) = LOWER(income_statement_annual_filter!$B$2), ROW(income_statement_annual[Company Name]) - ROW(INDEX(income_statement_annual[Company Name], 1, 1)) + 1), ROW(23:23)), COLUMN(F:F)), "")</f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2255-AD2E-4F33-BB91-AA39A2FA19C2}">
  <dimension ref="A2:S25"/>
  <sheetViews>
    <sheetView workbookViewId="0">
      <pane xSplit="2" topLeftCell="C1" activePane="topRight" state="frozen"/>
      <selection activeCell="A3" sqref="A3"/>
      <selection pane="topRight" activeCell="D3" sqref="D3:S3"/>
    </sheetView>
  </sheetViews>
  <sheetFormatPr defaultRowHeight="14.5" x14ac:dyDescent="0.35"/>
  <cols>
    <col min="1" max="1" width="18.08984375" customWidth="1"/>
    <col min="3" max="3" width="64.54296875" bestFit="1" customWidth="1"/>
    <col min="4" max="6" width="15.81640625" bestFit="1" customWidth="1"/>
    <col min="7" max="7" width="17.36328125" bestFit="1" customWidth="1"/>
    <col min="8" max="9" width="15.81640625" bestFit="1" customWidth="1"/>
    <col min="10" max="16" width="17.36328125" bestFit="1" customWidth="1"/>
    <col min="17" max="17" width="7.90625" bestFit="1" customWidth="1"/>
    <col min="18" max="18" width="17.36328125" bestFit="1" customWidth="1"/>
    <col min="19" max="19" width="7.90625" bestFit="1" customWidth="1"/>
  </cols>
  <sheetData>
    <row r="2" spans="1:19" ht="15.5" x14ac:dyDescent="0.35">
      <c r="A2" s="13" t="s">
        <v>137</v>
      </c>
      <c r="B2" s="13" t="str">
        <f>DCF!C2</f>
        <v>TTA</v>
      </c>
      <c r="C2" s="16"/>
      <c r="D2" s="17"/>
      <c r="E2" s="17"/>
      <c r="F2" s="17"/>
      <c r="G2" s="17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ht="18.5" x14ac:dyDescent="0.45">
      <c r="A3" s="9"/>
      <c r="B3" s="10"/>
      <c r="C3" s="15" t="s">
        <v>138</v>
      </c>
      <c r="D3" s="18" t="str">
        <f>income_statement_quarter[[#Headers],[2020_q3]]</f>
        <v>2020_q3</v>
      </c>
      <c r="E3" s="18" t="str">
        <f>income_statement_quarter[[#Headers],[2020_q4]]</f>
        <v>2020_q4</v>
      </c>
      <c r="F3" s="18" t="str">
        <f>income_statement_quarter[[#Headers],[2021_q1]]</f>
        <v>2021_q1</v>
      </c>
      <c r="G3" s="18" t="str">
        <f>income_statement_quarter[[#Headers],[2021_q2]]</f>
        <v>2021_q2</v>
      </c>
      <c r="H3" s="18" t="str">
        <f>income_statement_quarter[[#Headers],[2021_q3]]</f>
        <v>2021_q3</v>
      </c>
      <c r="I3" s="18" t="str">
        <f>income_statement_quarter[[#Headers],[2021_q4]]</f>
        <v>2021_q4</v>
      </c>
      <c r="J3" s="18" t="str">
        <f>income_statement_quarter[[#Headers],[2022_q1]]</f>
        <v>2022_q1</v>
      </c>
      <c r="K3" s="18" t="str">
        <f>income_statement_quarter[[#Headers],[2022_q2]]</f>
        <v>2022_q2</v>
      </c>
      <c r="L3" s="18" t="str">
        <f>income_statement_quarter[[#Headers],[2022_q3]]</f>
        <v>2022_q3</v>
      </c>
      <c r="M3" s="18" t="str">
        <f>income_statement_quarter[[#Headers],[2022_q4]]</f>
        <v>2022_q4</v>
      </c>
      <c r="N3" s="18" t="str">
        <f>income_statement_quarter[[#Headers],[2023_q1]]</f>
        <v>2023_q1</v>
      </c>
      <c r="O3" s="18" t="str">
        <f>income_statement_quarter[[#Headers],[2023_q2]]</f>
        <v>2023_q2</v>
      </c>
      <c r="P3" s="18" t="str">
        <f>income_statement_quarter[[#Headers],[2023_q3]]</f>
        <v>2023_q3</v>
      </c>
      <c r="Q3" s="18" t="str">
        <f>income_statement_quarter[[#Headers],[2023_q4]]</f>
        <v>2023_q4</v>
      </c>
      <c r="R3" s="18" t="str">
        <f>income_statement_quarter[[#Headers],[2024_q1]]</f>
        <v>2024_q1</v>
      </c>
      <c r="S3" s="18" t="str">
        <f>income_statement_quarter[[#Headers],[2024_q2]]</f>
        <v>2024_q2</v>
      </c>
    </row>
    <row r="4" spans="1:19" x14ac:dyDescent="0.35">
      <c r="C4" t="str">
        <f t="array" ref="C4">IFERROR(INDEX(income_statement_quarter[#All], SMALL(IF(LOWER(income_statement_quarter[Company Name]) = LOWER(income_statement_quarter_filter!$B$2), ROW(income_statement_quarter[Company Name]) - ROW(INDEX(income_statement_quarter[Company Name], 1, 1)) + 1), ROW(2:2)), COLUMN(B:B)), "")</f>
        <v>1. Doanh thu bán hàng và cung cấp dịch vụ</v>
      </c>
      <c r="D4" s="14">
        <f t="array" ref="D4">IFERROR(INDEX(income_statement_quarter[#All], SMALL(IF(LOWER(income_statement_quarter[Company Name]) = LOWER(income_statement_quarter_filter!$B$2), ROW(income_statement_quarter[Company Name]) - ROW(INDEX(income_statement_quarter[Company Name], 1, 1)) + 1), ROW(2:2)), COLUMN(C:C)), "")</f>
        <v>145646463123</v>
      </c>
      <c r="E4" s="14">
        <f t="array" ref="E4">IFERROR(INDEX(income_statement_quarter[#All], SMALL(IF(LOWER(income_statement_quarter[Company Name]) = LOWER(income_statement_quarter_filter!$B$2), ROW(income_statement_quarter[Company Name]) - ROW(INDEX(income_statement_quarter[Company Name], 1, 1)) + 1), ROW(2:2)), COLUMN(D:D)), "")</f>
        <v>148894026784</v>
      </c>
      <c r="F4" s="14">
        <f t="array" ref="F4">IFERROR(INDEX(income_statement_quarter[#All], SMALL(IF(LOWER(income_statement_quarter[Company Name]) = LOWER(income_statement_quarter_filter!$B$2), ROW(income_statement_quarter[Company Name]) - ROW(INDEX(income_statement_quarter[Company Name], 1, 1)) + 1), ROW(2:2)), COLUMN(E:E)), "")</f>
        <v>156938670589</v>
      </c>
      <c r="G4" s="14">
        <f t="array" ref="G4">IFERROR(INDEX(income_statement_quarter[#All], SMALL(IF(LOWER(income_statement_quarter[Company Name]) = LOWER(income_statement_quarter_filter!$B$2), ROW(income_statement_quarter[Company Name]) - ROW(INDEX(income_statement_quarter[Company Name], 1, 1)) + 1), ROW(2:2)), COLUMN(F:F)), "")</f>
        <v>174116862184</v>
      </c>
      <c r="H4" s="14">
        <f t="array" ref="H4">IFERROR(INDEX(income_statement_quarter[#All], SMALL(IF(LOWER(income_statement_quarter[Company Name]) = LOWER(income_statement_quarter_filter!$B$2), ROW(income_statement_quarter[Company Name]) - ROW(INDEX(income_statement_quarter[Company Name], 1, 1)) + 1), ROW(2:2)), COLUMN(G:G)), "")</f>
        <v>157732796054</v>
      </c>
      <c r="I4" s="14">
        <f t="array" ref="I4">IFERROR(INDEX(income_statement_quarter[#All], SMALL(IF(LOWER(income_statement_quarter[Company Name]) = LOWER(income_statement_quarter_filter!$B$2), ROW(income_statement_quarter[Company Name]) - ROW(INDEX(income_statement_quarter[Company Name], 1, 1)) + 1), ROW(2:2)), COLUMN(H:H)), "")</f>
        <v>172558048223</v>
      </c>
      <c r="J4" s="14">
        <f t="array" ref="J4">IFERROR(INDEX(income_statement_quarter[#All], SMALL(IF(LOWER(income_statement_quarter[Company Name]) = LOWER(income_statement_quarter_filter!$B$2), ROW(income_statement_quarter[Company Name]) - ROW(INDEX(income_statement_quarter[Company Name], 1, 1)) + 1), ROW(2:2)), COLUMN(I:I)), "")</f>
        <v>186021761861</v>
      </c>
      <c r="K4" s="14">
        <f t="array" ref="K4">IFERROR(INDEX(income_statement_quarter[#All], SMALL(IF(LOWER(income_statement_quarter[Company Name]) = LOWER(income_statement_quarter_filter!$B$2), ROW(income_statement_quarter[Company Name]) - ROW(INDEX(income_statement_quarter[Company Name], 1, 1)) + 1), ROW(2:2)), COLUMN(J:J)), "")</f>
        <v>237414229568</v>
      </c>
      <c r="L4" s="14">
        <f t="array" ref="L4">IFERROR(INDEX(income_statement_quarter[#All], SMALL(IF(LOWER(income_statement_quarter[Company Name]) = LOWER(income_statement_quarter_filter!$B$2), ROW(income_statement_quarter[Company Name]) - ROW(INDEX(income_statement_quarter[Company Name], 1, 1)) + 1), ROW(2:2)), COLUMN(K:K)), "")</f>
        <v>203437074113</v>
      </c>
      <c r="M4" s="14">
        <f t="array" ref="M4">IFERROR(INDEX(income_statement_quarter[#All], SMALL(IF(LOWER(income_statement_quarter[Company Name]) = LOWER(income_statement_quarter_filter!$B$2), ROW(income_statement_quarter[Company Name]) - ROW(INDEX(income_statement_quarter[Company Name], 1, 1)) + 1), ROW(2:2)), COLUMN(L:L)), "")</f>
        <v>181830564179</v>
      </c>
      <c r="N4" s="14">
        <f t="array" ref="N4">IFERROR(INDEX(income_statement_quarter[#All], SMALL(IF(LOWER(income_statement_quarter[Company Name]) = LOWER(income_statement_quarter_filter!$B$2), ROW(income_statement_quarter[Company Name]) - ROW(INDEX(income_statement_quarter[Company Name], 1, 1)) + 1), ROW(2:2)), COLUMN(M:M)), "")</f>
        <v>155326855474</v>
      </c>
      <c r="O4" s="14">
        <f t="array" ref="O4">IFERROR(INDEX(income_statement_quarter[#All], SMALL(IF(LOWER(income_statement_quarter[Company Name]) = LOWER(income_statement_quarter_filter!$B$2), ROW(income_statement_quarter[Company Name]) - ROW(INDEX(income_statement_quarter[Company Name], 1, 1)) + 1), ROW(2:2)), COLUMN(N:N)), "")</f>
        <v>168567076257</v>
      </c>
      <c r="P4" s="14">
        <f t="array" ref="P4">IFERROR(INDEX(income_statement_quarter[#All], SMALL(IF(LOWER(income_statement_quarter[Company Name]) = LOWER(income_statement_quarter_filter!$B$2), ROW(income_statement_quarter[Company Name]) - ROW(INDEX(income_statement_quarter[Company Name], 1, 1)) + 1), ROW(2:2)), COLUMN(O:O)), "")</f>
        <v>178034786564</v>
      </c>
      <c r="Q4" s="14">
        <f t="array" ref="Q4">IFERROR(INDEX(income_statement_quarter[#All], SMALL(IF(LOWER(income_statement_quarter[Company Name]) = LOWER(income_statement_quarter_filter!$B$2), ROW(income_statement_quarter[Company Name]) - ROW(INDEX(income_statement_quarter[Company Name], 1, 1)) + 1), ROW(2:2)), COLUMN(P:P)), "")</f>
        <v>153550514333</v>
      </c>
      <c r="R4" s="14">
        <f t="array" ref="R4">IFERROR(INDEX(income_statement_quarter[#All], SMALL(IF(LOWER(income_statement_quarter[Company Name]) = LOWER(income_statement_quarter_filter!$B$2), ROW(income_statement_quarter[Company Name]) - ROW(INDEX(income_statement_quarter[Company Name], 1, 1)) + 1), ROW(2:2)), COLUMN(Q:Q)), "")</f>
        <v>144736865298</v>
      </c>
      <c r="S4" s="14">
        <f t="array" ref="S4">IFERROR(INDEX(income_statement_quarter[#All], SMALL(IF(LOWER(income_statement_quarter[Company Name]) = LOWER(income_statement_quarter_filter!$B$2), ROW(income_statement_quarter[Company Name]) - ROW(INDEX(income_statement_quarter[Company Name], 1, 1)) + 1), ROW(2:2)), COLUMN(R:R)), "")</f>
        <v>0</v>
      </c>
    </row>
    <row r="5" spans="1:19" x14ac:dyDescent="0.35">
      <c r="C5" t="str">
        <f t="array" ref="C5">IFERROR(INDEX(income_statement_quarter[#All], SMALL(IF(LOWER(income_statement_quarter[Company Name]) = LOWER(income_statement_quarter_filter!$B$2), ROW(income_statement_quarter[Company Name]) - ROW(INDEX(income_statement_quarter[Company Name], 1, 1)) + 1), ROW(3:3)), COLUMN(B:B)), "")</f>
        <v>2. Các khoản giảm trừ doanh thu</v>
      </c>
      <c r="D5" s="14">
        <f t="array" ref="D5">IFERROR(INDEX(income_statement_quarter[#All], SMALL(IF(LOWER(income_statement_quarter[Company Name]) = LOWER(income_statement_quarter_filter!$B$2), ROW(income_statement_quarter[Company Name]) - ROW(INDEX(income_statement_quarter[Company Name], 1, 1)) + 1), ROW(3:3)), COLUMN(C:C)), "")</f>
        <v>0</v>
      </c>
      <c r="E5" s="14">
        <f t="array" ref="E5">IFERROR(INDEX(income_statement_quarter[#All], SMALL(IF(LOWER(income_statement_quarter[Company Name]) = LOWER(income_statement_quarter_filter!$B$2), ROW(income_statement_quarter[Company Name]) - ROW(INDEX(income_statement_quarter[Company Name], 1, 1)) + 1), ROW(3:3)), COLUMN(D:D)), "")</f>
        <v>0</v>
      </c>
      <c r="F5" s="14">
        <f t="array" ref="F5">IFERROR(INDEX(income_statement_quarter[#All], SMALL(IF(LOWER(income_statement_quarter[Company Name]) = LOWER(income_statement_quarter_filter!$B$2), ROW(income_statement_quarter[Company Name]) - ROW(INDEX(income_statement_quarter[Company Name], 1, 1)) + 1), ROW(3:3)), COLUMN(E:E)), "")</f>
        <v>0</v>
      </c>
      <c r="G5" s="14">
        <f t="array" ref="G5">IFERROR(INDEX(income_statement_quarter[#All], SMALL(IF(LOWER(income_statement_quarter[Company Name]) = LOWER(income_statement_quarter_filter!$B$2), ROW(income_statement_quarter[Company Name]) - ROW(INDEX(income_statement_quarter[Company Name], 1, 1)) + 1), ROW(3:3)), COLUMN(F:F)), "")</f>
        <v>0</v>
      </c>
      <c r="H5" s="14">
        <f t="array" ref="H5">IFERROR(INDEX(income_statement_quarter[#All], SMALL(IF(LOWER(income_statement_quarter[Company Name]) = LOWER(income_statement_quarter_filter!$B$2), ROW(income_statement_quarter[Company Name]) - ROW(INDEX(income_statement_quarter[Company Name], 1, 1)) + 1), ROW(3:3)), COLUMN(G:G)), "")</f>
        <v>0</v>
      </c>
      <c r="I5" s="14">
        <f t="array" ref="I5">IFERROR(INDEX(income_statement_quarter[#All], SMALL(IF(LOWER(income_statement_quarter[Company Name]) = LOWER(income_statement_quarter_filter!$B$2), ROW(income_statement_quarter[Company Name]) - ROW(INDEX(income_statement_quarter[Company Name], 1, 1)) + 1), ROW(3:3)), COLUMN(H:H)), "")</f>
        <v>0</v>
      </c>
      <c r="J5" s="14">
        <f t="array" ref="J5">IFERROR(INDEX(income_statement_quarter[#All], SMALL(IF(LOWER(income_statement_quarter[Company Name]) = LOWER(income_statement_quarter_filter!$B$2), ROW(income_statement_quarter[Company Name]) - ROW(INDEX(income_statement_quarter[Company Name], 1, 1)) + 1), ROW(3:3)), COLUMN(I:I)), "")</f>
        <v>0</v>
      </c>
      <c r="K5" s="14">
        <f t="array" ref="K5">IFERROR(INDEX(income_statement_quarter[#All], SMALL(IF(LOWER(income_statement_quarter[Company Name]) = LOWER(income_statement_quarter_filter!$B$2), ROW(income_statement_quarter[Company Name]) - ROW(INDEX(income_statement_quarter[Company Name], 1, 1)) + 1), ROW(3:3)), COLUMN(J:J)), "")</f>
        <v>0</v>
      </c>
      <c r="L5" s="14">
        <f t="array" ref="L5">IFERROR(INDEX(income_statement_quarter[#All], SMALL(IF(LOWER(income_statement_quarter[Company Name]) = LOWER(income_statement_quarter_filter!$B$2), ROW(income_statement_quarter[Company Name]) - ROW(INDEX(income_statement_quarter[Company Name], 1, 1)) + 1), ROW(3:3)), COLUMN(K:K)), "")</f>
        <v>0</v>
      </c>
      <c r="M5" s="14">
        <f t="array" ref="M5">IFERROR(INDEX(income_statement_quarter[#All], SMALL(IF(LOWER(income_statement_quarter[Company Name]) = LOWER(income_statement_quarter_filter!$B$2), ROW(income_statement_quarter[Company Name]) - ROW(INDEX(income_statement_quarter[Company Name], 1, 1)) + 1), ROW(3:3)), COLUMN(L:L)), "")</f>
        <v>0</v>
      </c>
      <c r="N5" s="14">
        <f t="array" ref="N5">IFERROR(INDEX(income_statement_quarter[#All], SMALL(IF(LOWER(income_statement_quarter[Company Name]) = LOWER(income_statement_quarter_filter!$B$2), ROW(income_statement_quarter[Company Name]) - ROW(INDEX(income_statement_quarter[Company Name], 1, 1)) + 1), ROW(3:3)), COLUMN(M:M)), "")</f>
        <v>0</v>
      </c>
      <c r="O5" s="14">
        <f t="array" ref="O5">IFERROR(INDEX(income_statement_quarter[#All], SMALL(IF(LOWER(income_statement_quarter[Company Name]) = LOWER(income_statement_quarter_filter!$B$2), ROW(income_statement_quarter[Company Name]) - ROW(INDEX(income_statement_quarter[Company Name], 1, 1)) + 1), ROW(3:3)), COLUMN(N:N)), "")</f>
        <v>0</v>
      </c>
      <c r="P5" s="14">
        <f t="array" ref="P5">IFERROR(INDEX(income_statement_quarter[#All], SMALL(IF(LOWER(income_statement_quarter[Company Name]) = LOWER(income_statement_quarter_filter!$B$2), ROW(income_statement_quarter[Company Name]) - ROW(INDEX(income_statement_quarter[Company Name], 1, 1)) + 1), ROW(3:3)), COLUMN(O:O)), "")</f>
        <v>0</v>
      </c>
      <c r="Q5" s="14">
        <f t="array" ref="Q5">IFERROR(INDEX(income_statement_quarter[#All], SMALL(IF(LOWER(income_statement_quarter[Company Name]) = LOWER(income_statement_quarter_filter!$B$2), ROW(income_statement_quarter[Company Name]) - ROW(INDEX(income_statement_quarter[Company Name], 1, 1)) + 1), ROW(3:3)), COLUMN(P:P)), "")</f>
        <v>0</v>
      </c>
      <c r="R5" s="14">
        <f t="array" ref="R5">IFERROR(INDEX(income_statement_quarter[#All], SMALL(IF(LOWER(income_statement_quarter[Company Name]) = LOWER(income_statement_quarter_filter!$B$2), ROW(income_statement_quarter[Company Name]) - ROW(INDEX(income_statement_quarter[Company Name], 1, 1)) + 1), ROW(3:3)), COLUMN(Q:Q)), "")</f>
        <v>0</v>
      </c>
      <c r="S5" s="14">
        <f t="array" ref="S5">IFERROR(INDEX(income_statement_quarter[#All], SMALL(IF(LOWER(income_statement_quarter[Company Name]) = LOWER(income_statement_quarter_filter!$B$2), ROW(income_statement_quarter[Company Name]) - ROW(INDEX(income_statement_quarter[Company Name], 1, 1)) + 1), ROW(3:3)), COLUMN(R:R)), "")</f>
        <v>0</v>
      </c>
    </row>
    <row r="6" spans="1:19" x14ac:dyDescent="0.35">
      <c r="C6" t="str">
        <f t="array" ref="C6">IFERROR(INDEX(income_statement_quarter[#All], SMALL(IF(LOWER(income_statement_quarter[Company Name]) = LOWER(income_statement_quarter_filter!$B$2), ROW(income_statement_quarter[Company Name]) - ROW(INDEX(income_statement_quarter[Company Name], 1, 1)) + 1), ROW(4:4)), COLUMN(B:B)), "")</f>
        <v>3. Doanh thu thuần về bán hàng và cung cấp dịch vụ (10 = 01 - 02)</v>
      </c>
      <c r="D6" s="14">
        <f t="array" ref="D6">IFERROR(INDEX(income_statement_quarter[#All], SMALL(IF(LOWER(income_statement_quarter[Company Name]) = LOWER(income_statement_quarter_filter!$B$2), ROW(income_statement_quarter[Company Name]) - ROW(INDEX(income_statement_quarter[Company Name], 1, 1)) + 1), ROW(4:4)), COLUMN(C:C)), "")</f>
        <v>145646463123</v>
      </c>
      <c r="E6" s="14">
        <f t="array" ref="E6">IFERROR(INDEX(income_statement_quarter[#All], SMALL(IF(LOWER(income_statement_quarter[Company Name]) = LOWER(income_statement_quarter_filter!$B$2), ROW(income_statement_quarter[Company Name]) - ROW(INDEX(income_statement_quarter[Company Name], 1, 1)) + 1), ROW(4:4)), COLUMN(D:D)), "")</f>
        <v>148894026784</v>
      </c>
      <c r="F6" s="14">
        <f t="array" ref="F6">IFERROR(INDEX(income_statement_quarter[#All], SMALL(IF(LOWER(income_statement_quarter[Company Name]) = LOWER(income_statement_quarter_filter!$B$2), ROW(income_statement_quarter[Company Name]) - ROW(INDEX(income_statement_quarter[Company Name], 1, 1)) + 1), ROW(4:4)), COLUMN(E:E)), "")</f>
        <v>156938670589</v>
      </c>
      <c r="G6" s="14">
        <f t="array" ref="G6">IFERROR(INDEX(income_statement_quarter[#All], SMALL(IF(LOWER(income_statement_quarter[Company Name]) = LOWER(income_statement_quarter_filter!$B$2), ROW(income_statement_quarter[Company Name]) - ROW(INDEX(income_statement_quarter[Company Name], 1, 1)) + 1), ROW(4:4)), COLUMN(F:F)), "")</f>
        <v>174116862184</v>
      </c>
      <c r="H6" s="14">
        <f t="array" ref="H6">IFERROR(INDEX(income_statement_quarter[#All], SMALL(IF(LOWER(income_statement_quarter[Company Name]) = LOWER(income_statement_quarter_filter!$B$2), ROW(income_statement_quarter[Company Name]) - ROW(INDEX(income_statement_quarter[Company Name], 1, 1)) + 1), ROW(4:4)), COLUMN(G:G)), "")</f>
        <v>157732796054</v>
      </c>
      <c r="I6" s="14">
        <f t="array" ref="I6">IFERROR(INDEX(income_statement_quarter[#All], SMALL(IF(LOWER(income_statement_quarter[Company Name]) = LOWER(income_statement_quarter_filter!$B$2), ROW(income_statement_quarter[Company Name]) - ROW(INDEX(income_statement_quarter[Company Name], 1, 1)) + 1), ROW(4:4)), COLUMN(H:H)), "")</f>
        <v>172558048223</v>
      </c>
      <c r="J6" s="14">
        <f t="array" ref="J6">IFERROR(INDEX(income_statement_quarter[#All], SMALL(IF(LOWER(income_statement_quarter[Company Name]) = LOWER(income_statement_quarter_filter!$B$2), ROW(income_statement_quarter[Company Name]) - ROW(INDEX(income_statement_quarter[Company Name], 1, 1)) + 1), ROW(4:4)), COLUMN(I:I)), "")</f>
        <v>186021761861</v>
      </c>
      <c r="K6" s="14">
        <f t="array" ref="K6">IFERROR(INDEX(income_statement_quarter[#All], SMALL(IF(LOWER(income_statement_quarter[Company Name]) = LOWER(income_statement_quarter_filter!$B$2), ROW(income_statement_quarter[Company Name]) - ROW(INDEX(income_statement_quarter[Company Name], 1, 1)) + 1), ROW(4:4)), COLUMN(J:J)), "")</f>
        <v>237414229568</v>
      </c>
      <c r="L6" s="14">
        <f t="array" ref="L6">IFERROR(INDEX(income_statement_quarter[#All], SMALL(IF(LOWER(income_statement_quarter[Company Name]) = LOWER(income_statement_quarter_filter!$B$2), ROW(income_statement_quarter[Company Name]) - ROW(INDEX(income_statement_quarter[Company Name], 1, 1)) + 1), ROW(4:4)), COLUMN(K:K)), "")</f>
        <v>203437074113</v>
      </c>
      <c r="M6" s="14">
        <f t="array" ref="M6">IFERROR(INDEX(income_statement_quarter[#All], SMALL(IF(LOWER(income_statement_quarter[Company Name]) = LOWER(income_statement_quarter_filter!$B$2), ROW(income_statement_quarter[Company Name]) - ROW(INDEX(income_statement_quarter[Company Name], 1, 1)) + 1), ROW(4:4)), COLUMN(L:L)), "")</f>
        <v>181830564179</v>
      </c>
      <c r="N6" s="14">
        <f t="array" ref="N6">IFERROR(INDEX(income_statement_quarter[#All], SMALL(IF(LOWER(income_statement_quarter[Company Name]) = LOWER(income_statement_quarter_filter!$B$2), ROW(income_statement_quarter[Company Name]) - ROW(INDEX(income_statement_quarter[Company Name], 1, 1)) + 1), ROW(4:4)), COLUMN(M:M)), "")</f>
        <v>155326855474</v>
      </c>
      <c r="O6" s="14">
        <f t="array" ref="O6">IFERROR(INDEX(income_statement_quarter[#All], SMALL(IF(LOWER(income_statement_quarter[Company Name]) = LOWER(income_statement_quarter_filter!$B$2), ROW(income_statement_quarter[Company Name]) - ROW(INDEX(income_statement_quarter[Company Name], 1, 1)) + 1), ROW(4:4)), COLUMN(N:N)), "")</f>
        <v>168567076257</v>
      </c>
      <c r="P6" s="14">
        <f t="array" ref="P6">IFERROR(INDEX(income_statement_quarter[#All], SMALL(IF(LOWER(income_statement_quarter[Company Name]) = LOWER(income_statement_quarter_filter!$B$2), ROW(income_statement_quarter[Company Name]) - ROW(INDEX(income_statement_quarter[Company Name], 1, 1)) + 1), ROW(4:4)), COLUMN(O:O)), "")</f>
        <v>178034786564</v>
      </c>
      <c r="Q6" s="14">
        <f t="array" ref="Q6">IFERROR(INDEX(income_statement_quarter[#All], SMALL(IF(LOWER(income_statement_quarter[Company Name]) = LOWER(income_statement_quarter_filter!$B$2), ROW(income_statement_quarter[Company Name]) - ROW(INDEX(income_statement_quarter[Company Name], 1, 1)) + 1), ROW(4:4)), COLUMN(P:P)), "")</f>
        <v>153550514333</v>
      </c>
      <c r="R6" s="14">
        <f t="array" ref="R6">IFERROR(INDEX(income_statement_quarter[#All], SMALL(IF(LOWER(income_statement_quarter[Company Name]) = LOWER(income_statement_quarter_filter!$B$2), ROW(income_statement_quarter[Company Name]) - ROW(INDEX(income_statement_quarter[Company Name], 1, 1)) + 1), ROW(4:4)), COLUMN(Q:Q)), "")</f>
        <v>144736865298</v>
      </c>
      <c r="S6" s="14">
        <f t="array" ref="S6">IFERROR(INDEX(income_statement_quarter[#All], SMALL(IF(LOWER(income_statement_quarter[Company Name]) = LOWER(income_statement_quarter_filter!$B$2), ROW(income_statement_quarter[Company Name]) - ROW(INDEX(income_statement_quarter[Company Name], 1, 1)) + 1), ROW(4:4)), COLUMN(R:R)), "")</f>
        <v>0</v>
      </c>
    </row>
    <row r="7" spans="1:19" x14ac:dyDescent="0.35">
      <c r="C7" t="str">
        <f t="array" ref="C7">IFERROR(INDEX(income_statement_quarter[#All], SMALL(IF(LOWER(income_statement_quarter[Company Name]) = LOWER(income_statement_quarter_filter!$B$2), ROW(income_statement_quarter[Company Name]) - ROW(INDEX(income_statement_quarter[Company Name], 1, 1)) + 1), ROW(5:5)), COLUMN(B:B)), "")</f>
        <v>4. Giá vốn hàng bán</v>
      </c>
      <c r="D7" s="14">
        <f t="array" ref="D7">IFERROR(INDEX(income_statement_quarter[#All], SMALL(IF(LOWER(income_statement_quarter[Company Name]) = LOWER(income_statement_quarter_filter!$B$2), ROW(income_statement_quarter[Company Name]) - ROW(INDEX(income_statement_quarter[Company Name], 1, 1)) + 1), ROW(5:5)), COLUMN(C:C)), "")</f>
        <v>27278216454</v>
      </c>
      <c r="E7" s="14">
        <f t="array" ref="E7">IFERROR(INDEX(income_statement_quarter[#All], SMALL(IF(LOWER(income_statement_quarter[Company Name]) = LOWER(income_statement_quarter_filter!$B$2), ROW(income_statement_quarter[Company Name]) - ROW(INDEX(income_statement_quarter[Company Name], 1, 1)) + 1), ROW(5:5)), COLUMN(D:D)), "")</f>
        <v>57753667204</v>
      </c>
      <c r="F7" s="14">
        <f t="array" ref="F7">IFERROR(INDEX(income_statement_quarter[#All], SMALL(IF(LOWER(income_statement_quarter[Company Name]) = LOWER(income_statement_quarter_filter!$B$2), ROW(income_statement_quarter[Company Name]) - ROW(INDEX(income_statement_quarter[Company Name], 1, 1)) + 1), ROW(5:5)), COLUMN(E:E)), "")</f>
        <v>64448745381</v>
      </c>
      <c r="G7" s="14">
        <f t="array" ref="G7">IFERROR(INDEX(income_statement_quarter[#All], SMALL(IF(LOWER(income_statement_quarter[Company Name]) = LOWER(income_statement_quarter_filter!$B$2), ROW(income_statement_quarter[Company Name]) - ROW(INDEX(income_statement_quarter[Company Name], 1, 1)) + 1), ROW(5:5)), COLUMN(F:F)), "")</f>
        <v>67184602599</v>
      </c>
      <c r="H7" s="14">
        <f t="array" ref="H7">IFERROR(INDEX(income_statement_quarter[#All], SMALL(IF(LOWER(income_statement_quarter[Company Name]) = LOWER(income_statement_quarter_filter!$B$2), ROW(income_statement_quarter[Company Name]) - ROW(INDEX(income_statement_quarter[Company Name], 1, 1)) + 1), ROW(5:5)), COLUMN(G:G)), "")</f>
        <v>72379523042</v>
      </c>
      <c r="I7" s="14">
        <f t="array" ref="I7">IFERROR(INDEX(income_statement_quarter[#All], SMALL(IF(LOWER(income_statement_quarter[Company Name]) = LOWER(income_statement_quarter_filter!$B$2), ROW(income_statement_quarter[Company Name]) - ROW(INDEX(income_statement_quarter[Company Name], 1, 1)) + 1), ROW(5:5)), COLUMN(H:H)), "")</f>
        <v>84231677255</v>
      </c>
      <c r="J7" s="14">
        <f t="array" ref="J7">IFERROR(INDEX(income_statement_quarter[#All], SMALL(IF(LOWER(income_statement_quarter[Company Name]) = LOWER(income_statement_quarter_filter!$B$2), ROW(income_statement_quarter[Company Name]) - ROW(INDEX(income_statement_quarter[Company Name], 1, 1)) + 1), ROW(5:5)), COLUMN(I:I)), "")</f>
        <v>65696541583</v>
      </c>
      <c r="K7" s="14">
        <f t="array" ref="K7">IFERROR(INDEX(income_statement_quarter[#All], SMALL(IF(LOWER(income_statement_quarter[Company Name]) = LOWER(income_statement_quarter_filter!$B$2), ROW(income_statement_quarter[Company Name]) - ROW(INDEX(income_statement_quarter[Company Name], 1, 1)) + 1), ROW(5:5)), COLUMN(J:J)), "")</f>
        <v>80544717278</v>
      </c>
      <c r="L7" s="14">
        <f t="array" ref="L7">IFERROR(INDEX(income_statement_quarter[#All], SMALL(IF(LOWER(income_statement_quarter[Company Name]) = LOWER(income_statement_quarter_filter!$B$2), ROW(income_statement_quarter[Company Name]) - ROW(INDEX(income_statement_quarter[Company Name], 1, 1)) + 1), ROW(5:5)), COLUMN(K:K)), "")</f>
        <v>78834538097</v>
      </c>
      <c r="M7" s="14">
        <f t="array" ref="M7">IFERROR(INDEX(income_statement_quarter[#All], SMALL(IF(LOWER(income_statement_quarter[Company Name]) = LOWER(income_statement_quarter_filter!$B$2), ROW(income_statement_quarter[Company Name]) - ROW(INDEX(income_statement_quarter[Company Name], 1, 1)) + 1), ROW(5:5)), COLUMN(L:L)), "")</f>
        <v>82933134471</v>
      </c>
      <c r="N7" s="14">
        <f t="array" ref="N7">IFERROR(INDEX(income_statement_quarter[#All], SMALL(IF(LOWER(income_statement_quarter[Company Name]) = LOWER(income_statement_quarter_filter!$B$2), ROW(income_statement_quarter[Company Name]) - ROW(INDEX(income_statement_quarter[Company Name], 1, 1)) + 1), ROW(5:5)), COLUMN(M:M)), "")</f>
        <v>64375542079</v>
      </c>
      <c r="O7" s="14">
        <f t="array" ref="O7">IFERROR(INDEX(income_statement_quarter[#All], SMALL(IF(LOWER(income_statement_quarter[Company Name]) = LOWER(income_statement_quarter_filter!$B$2), ROW(income_statement_quarter[Company Name]) - ROW(INDEX(income_statement_quarter[Company Name], 1, 1)) + 1), ROW(5:5)), COLUMN(N:N)), "")</f>
        <v>68539599662</v>
      </c>
      <c r="P7" s="14">
        <f t="array" ref="P7">IFERROR(INDEX(income_statement_quarter[#All], SMALL(IF(LOWER(income_statement_quarter[Company Name]) = LOWER(income_statement_quarter_filter!$B$2), ROW(income_statement_quarter[Company Name]) - ROW(INDEX(income_statement_quarter[Company Name], 1, 1)) + 1), ROW(5:5)), COLUMN(O:O)), "")</f>
        <v>79641780297</v>
      </c>
      <c r="Q7" s="14">
        <f t="array" ref="Q7">IFERROR(INDEX(income_statement_quarter[#All], SMALL(IF(LOWER(income_statement_quarter[Company Name]) = LOWER(income_statement_quarter_filter!$B$2), ROW(income_statement_quarter[Company Name]) - ROW(INDEX(income_statement_quarter[Company Name], 1, 1)) + 1), ROW(5:5)), COLUMN(P:P)), "")</f>
        <v>75066349088</v>
      </c>
      <c r="R7" s="14">
        <f t="array" ref="R7">IFERROR(INDEX(income_statement_quarter[#All], SMALL(IF(LOWER(income_statement_quarter[Company Name]) = LOWER(income_statement_quarter_filter!$B$2), ROW(income_statement_quarter[Company Name]) - ROW(INDEX(income_statement_quarter[Company Name], 1, 1)) + 1), ROW(5:5)), COLUMN(Q:Q)), "")</f>
        <v>63183975390</v>
      </c>
      <c r="S7" s="14">
        <f t="array" ref="S7">IFERROR(INDEX(income_statement_quarter[#All], SMALL(IF(LOWER(income_statement_quarter[Company Name]) = LOWER(income_statement_quarter_filter!$B$2), ROW(income_statement_quarter[Company Name]) - ROW(INDEX(income_statement_quarter[Company Name], 1, 1)) + 1), ROW(5:5)), COLUMN(R:R)), "")</f>
        <v>0</v>
      </c>
    </row>
    <row r="8" spans="1:19" x14ac:dyDescent="0.35">
      <c r="C8" t="str">
        <f t="array" ref="C8">IFERROR(INDEX(income_statement_quarter[#All], SMALL(IF(LOWER(income_statement_quarter[Company Name]) = LOWER(income_statement_quarter_filter!$B$2), ROW(income_statement_quarter[Company Name]) - ROW(INDEX(income_statement_quarter[Company Name], 1, 1)) + 1), ROW(6:6)), COLUMN(B:B)), "")</f>
        <v>5. Lợi nhuận gộp về bán hàng và cung cấp dịch vụ(20=10-11)</v>
      </c>
      <c r="D8" s="14">
        <f>D6-D7</f>
        <v>118368246669</v>
      </c>
      <c r="E8" s="14">
        <f t="shared" ref="E8:S8" si="0">E6-E7</f>
        <v>91140359580</v>
      </c>
      <c r="F8" s="14">
        <f t="shared" si="0"/>
        <v>92489925208</v>
      </c>
      <c r="G8" s="14">
        <f t="shared" si="0"/>
        <v>106932259585</v>
      </c>
      <c r="H8" s="14">
        <f t="shared" si="0"/>
        <v>85353273012</v>
      </c>
      <c r="I8" s="14">
        <f t="shared" si="0"/>
        <v>88326370968</v>
      </c>
      <c r="J8" s="14">
        <f t="shared" si="0"/>
        <v>120325220278</v>
      </c>
      <c r="K8" s="14">
        <f t="shared" si="0"/>
        <v>156869512290</v>
      </c>
      <c r="L8" s="14">
        <f t="shared" si="0"/>
        <v>124602536016</v>
      </c>
      <c r="M8" s="14">
        <f t="shared" si="0"/>
        <v>98897429708</v>
      </c>
      <c r="N8" s="14">
        <f t="shared" si="0"/>
        <v>90951313395</v>
      </c>
      <c r="O8" s="14">
        <f t="shared" si="0"/>
        <v>100027476595</v>
      </c>
      <c r="P8" s="14">
        <f t="shared" si="0"/>
        <v>98393006267</v>
      </c>
      <c r="Q8" s="14">
        <f t="shared" si="0"/>
        <v>78484165245</v>
      </c>
      <c r="R8" s="14">
        <f t="shared" si="0"/>
        <v>81552889908</v>
      </c>
      <c r="S8" s="14">
        <f t="shared" si="0"/>
        <v>0</v>
      </c>
    </row>
    <row r="9" spans="1:19" x14ac:dyDescent="0.35">
      <c r="C9" t="str">
        <f t="array" ref="C9">IFERROR(INDEX(income_statement_quarter[#All], SMALL(IF(LOWER(income_statement_quarter[Company Name]) = LOWER(income_statement_quarter_filter!$B$2), ROW(income_statement_quarter[Company Name]) - ROW(INDEX(income_statement_quarter[Company Name], 1, 1)) + 1), ROW(7:7)), COLUMN(B:B)), "")</f>
        <v>6. Doanh thu hoạt động tài chính</v>
      </c>
      <c r="D9" s="14">
        <f t="array" ref="D9">IFERROR(INDEX(income_statement_quarter[#All], SMALL(IF(LOWER(income_statement_quarter[Company Name]) = LOWER(income_statement_quarter_filter!$B$2), ROW(income_statement_quarter[Company Name]) - ROW(INDEX(income_statement_quarter[Company Name], 1, 1)) + 1), ROW(7:7)), COLUMN(C:C)), "")</f>
        <v>3690978</v>
      </c>
      <c r="E9" s="14">
        <f t="array" ref="E9">IFERROR(INDEX(income_statement_quarter[#All], SMALL(IF(LOWER(income_statement_quarter[Company Name]) = LOWER(income_statement_quarter_filter!$B$2), ROW(income_statement_quarter[Company Name]) - ROW(INDEX(income_statement_quarter[Company Name], 1, 1)) + 1), ROW(7:7)), COLUMN(D:D)), "")</f>
        <v>150624200</v>
      </c>
      <c r="F9" s="14">
        <f t="array" ref="F9">IFERROR(INDEX(income_statement_quarter[#All], SMALL(IF(LOWER(income_statement_quarter[Company Name]) = LOWER(income_statement_quarter_filter!$B$2), ROW(income_statement_quarter[Company Name]) - ROW(INDEX(income_statement_quarter[Company Name], 1, 1)) + 1), ROW(7:7)), COLUMN(E:E)), "")</f>
        <v>5446758</v>
      </c>
      <c r="G9" s="14">
        <f t="array" ref="G9">IFERROR(INDEX(income_statement_quarter[#All], SMALL(IF(LOWER(income_statement_quarter[Company Name]) = LOWER(income_statement_quarter_filter!$B$2), ROW(income_statement_quarter[Company Name]) - ROW(INDEX(income_statement_quarter[Company Name], 1, 1)) + 1), ROW(7:7)), COLUMN(F:F)), "")</f>
        <v>5113244</v>
      </c>
      <c r="H9" s="14">
        <f t="array" ref="H9">IFERROR(INDEX(income_statement_quarter[#All], SMALL(IF(LOWER(income_statement_quarter[Company Name]) = LOWER(income_statement_quarter_filter!$B$2), ROW(income_statement_quarter[Company Name]) - ROW(INDEX(income_statement_quarter[Company Name], 1, 1)) + 1), ROW(7:7)), COLUMN(G:G)), "")</f>
        <v>5471972</v>
      </c>
      <c r="I9" s="14">
        <f t="array" ref="I9">IFERROR(INDEX(income_statement_quarter[#All], SMALL(IF(LOWER(income_statement_quarter[Company Name]) = LOWER(income_statement_quarter_filter!$B$2), ROW(income_statement_quarter[Company Name]) - ROW(INDEX(income_statement_quarter[Company Name], 1, 1)) + 1), ROW(7:7)), COLUMN(H:H)), "")</f>
        <v>4250095787</v>
      </c>
      <c r="J9" s="14">
        <f t="array" ref="J9">IFERROR(INDEX(income_statement_quarter[#All], SMALL(IF(LOWER(income_statement_quarter[Company Name]) = LOWER(income_statement_quarter_filter!$B$2), ROW(income_statement_quarter[Company Name]) - ROW(INDEX(income_statement_quarter[Company Name], 1, 1)) + 1), ROW(7:7)), COLUMN(I:I)), "")</f>
        <v>7550566</v>
      </c>
      <c r="K9" s="14">
        <f t="array" ref="K9">IFERROR(INDEX(income_statement_quarter[#All], SMALL(IF(LOWER(income_statement_quarter[Company Name]) = LOWER(income_statement_quarter_filter!$B$2), ROW(income_statement_quarter[Company Name]) - ROW(INDEX(income_statement_quarter[Company Name], 1, 1)) + 1), ROW(7:7)), COLUMN(J:J)), "")</f>
        <v>9518620</v>
      </c>
      <c r="L9" s="14">
        <f t="array" ref="L9">IFERROR(INDEX(income_statement_quarter[#All], SMALL(IF(LOWER(income_statement_quarter[Company Name]) = LOWER(income_statement_quarter_filter!$B$2), ROW(income_statement_quarter[Company Name]) - ROW(INDEX(income_statement_quarter[Company Name], 1, 1)) + 1), ROW(7:7)), COLUMN(K:K)), "")</f>
        <v>18138997</v>
      </c>
      <c r="M9" s="14">
        <f t="array" ref="M9">IFERROR(INDEX(income_statement_quarter[#All], SMALL(IF(LOWER(income_statement_quarter[Company Name]) = LOWER(income_statement_quarter_filter!$B$2), ROW(income_statement_quarter[Company Name]) - ROW(INDEX(income_statement_quarter[Company Name], 1, 1)) + 1), ROW(7:7)), COLUMN(L:L)), "")</f>
        <v>94234534</v>
      </c>
      <c r="N9" s="14">
        <f t="array" ref="N9">IFERROR(INDEX(income_statement_quarter[#All], SMALL(IF(LOWER(income_statement_quarter[Company Name]) = LOWER(income_statement_quarter_filter!$B$2), ROW(income_statement_quarter[Company Name]) - ROW(INDEX(income_statement_quarter[Company Name], 1, 1)) + 1), ROW(7:7)), COLUMN(M:M)), "")</f>
        <v>11499679</v>
      </c>
      <c r="O9" s="14">
        <f t="array" ref="O9">IFERROR(INDEX(income_statement_quarter[#All], SMALL(IF(LOWER(income_statement_quarter[Company Name]) = LOWER(income_statement_quarter_filter!$B$2), ROW(income_statement_quarter[Company Name]) - ROW(INDEX(income_statement_quarter[Company Name], 1, 1)) + 1), ROW(7:7)), COLUMN(N:N)), "")</f>
        <v>3337604</v>
      </c>
      <c r="P9" s="14">
        <f t="array" ref="P9">IFERROR(INDEX(income_statement_quarter[#All], SMALL(IF(LOWER(income_statement_quarter[Company Name]) = LOWER(income_statement_quarter_filter!$B$2), ROW(income_statement_quarter[Company Name]) - ROW(INDEX(income_statement_quarter[Company Name], 1, 1)) + 1), ROW(7:7)), COLUMN(O:O)), "")</f>
        <v>49089877</v>
      </c>
      <c r="Q9" s="14">
        <f t="array" ref="Q9">IFERROR(INDEX(income_statement_quarter[#All], SMALL(IF(LOWER(income_statement_quarter[Company Name]) = LOWER(income_statement_quarter_filter!$B$2), ROW(income_statement_quarter[Company Name]) - ROW(INDEX(income_statement_quarter[Company Name], 1, 1)) + 1), ROW(7:7)), COLUMN(P:P)), "")</f>
        <v>108559079</v>
      </c>
      <c r="R9" s="14">
        <f t="array" ref="R9">IFERROR(INDEX(income_statement_quarter[#All], SMALL(IF(LOWER(income_statement_quarter[Company Name]) = LOWER(income_statement_quarter_filter!$B$2), ROW(income_statement_quarter[Company Name]) - ROW(INDEX(income_statement_quarter[Company Name], 1, 1)) + 1), ROW(7:7)), COLUMN(Q:Q)), "")</f>
        <v>4015197</v>
      </c>
      <c r="S9" s="14">
        <f t="array" ref="S9">IFERROR(INDEX(income_statement_quarter[#All], SMALL(IF(LOWER(income_statement_quarter[Company Name]) = LOWER(income_statement_quarter_filter!$B$2), ROW(income_statement_quarter[Company Name]) - ROW(INDEX(income_statement_quarter[Company Name], 1, 1)) + 1), ROW(7:7)), COLUMN(R:R)), "")</f>
        <v>0</v>
      </c>
    </row>
    <row r="10" spans="1:19" x14ac:dyDescent="0.35">
      <c r="C10" t="str">
        <f t="array" ref="C10">IFERROR(INDEX(income_statement_quarter[#All], SMALL(IF(LOWER(income_statement_quarter[Company Name]) = LOWER(income_statement_quarter_filter!$B$2), ROW(income_statement_quarter[Company Name]) - ROW(INDEX(income_statement_quarter[Company Name], 1, 1)) + 1), ROW(8:8)), COLUMN(B:B)), "")</f>
        <v>7. Chi phí tài chính</v>
      </c>
      <c r="D10" s="14">
        <f t="array" ref="D10">IFERROR(INDEX(income_statement_quarter[#All], SMALL(IF(LOWER(income_statement_quarter[Company Name]) = LOWER(income_statement_quarter_filter!$B$2), ROW(income_statement_quarter[Company Name]) - ROW(INDEX(income_statement_quarter[Company Name], 1, 1)) + 1), ROW(8:8)), COLUMN(C:C)), "")</f>
        <v>49452950967</v>
      </c>
      <c r="E10" s="14">
        <f t="array" ref="E10">IFERROR(INDEX(income_statement_quarter[#All], SMALL(IF(LOWER(income_statement_quarter[Company Name]) = LOWER(income_statement_quarter_filter!$B$2), ROW(income_statement_quarter[Company Name]) - ROW(INDEX(income_statement_quarter[Company Name], 1, 1)) + 1), ROW(8:8)), COLUMN(D:D)), "")</f>
        <v>49912401604</v>
      </c>
      <c r="F10" s="14">
        <f t="array" ref="F10">IFERROR(INDEX(income_statement_quarter[#All], SMALL(IF(LOWER(income_statement_quarter[Company Name]) = LOWER(income_statement_quarter_filter!$B$2), ROW(income_statement_quarter[Company Name]) - ROW(INDEX(income_statement_quarter[Company Name], 1, 1)) + 1), ROW(8:8)), COLUMN(E:E)), "")</f>
        <v>52721422936</v>
      </c>
      <c r="G10" s="14">
        <f t="array" ref="G10">IFERROR(INDEX(income_statement_quarter[#All], SMALL(IF(LOWER(income_statement_quarter[Company Name]) = LOWER(income_statement_quarter_filter!$B$2), ROW(income_statement_quarter[Company Name]) - ROW(INDEX(income_statement_quarter[Company Name], 1, 1)) + 1), ROW(8:8)), COLUMN(F:F)), "")</f>
        <v>52766264267</v>
      </c>
      <c r="H10" s="14">
        <f t="array" ref="H10">IFERROR(INDEX(income_statement_quarter[#All], SMALL(IF(LOWER(income_statement_quarter[Company Name]) = LOWER(income_statement_quarter_filter!$B$2), ROW(income_statement_quarter[Company Name]) - ROW(INDEX(income_statement_quarter[Company Name], 1, 1)) + 1), ROW(8:8)), COLUMN(G:G)), "")</f>
        <v>50611166120</v>
      </c>
      <c r="I10" s="14">
        <f t="array" ref="I10">IFERROR(INDEX(income_statement_quarter[#All], SMALL(IF(LOWER(income_statement_quarter[Company Name]) = LOWER(income_statement_quarter_filter!$B$2), ROW(income_statement_quarter[Company Name]) - ROW(INDEX(income_statement_quarter[Company Name], 1, 1)) + 1), ROW(8:8)), COLUMN(H:H)), "")</f>
        <v>52546397328</v>
      </c>
      <c r="J10" s="14">
        <f t="array" ref="J10">IFERROR(INDEX(income_statement_quarter[#All], SMALL(IF(LOWER(income_statement_quarter[Company Name]) = LOWER(income_statement_quarter_filter!$B$2), ROW(income_statement_quarter[Company Name]) - ROW(INDEX(income_statement_quarter[Company Name], 1, 1)) + 1), ROW(8:8)), COLUMN(I:I)), "")</f>
        <v>53980453744</v>
      </c>
      <c r="K10" s="14">
        <f t="array" ref="K10">IFERROR(INDEX(income_statement_quarter[#All], SMALL(IF(LOWER(income_statement_quarter[Company Name]) = LOWER(income_statement_quarter_filter!$B$2), ROW(income_statement_quarter[Company Name]) - ROW(INDEX(income_statement_quarter[Company Name], 1, 1)) + 1), ROW(8:8)), COLUMN(J:J)), "")</f>
        <v>63235691423</v>
      </c>
      <c r="L10" s="14">
        <f t="array" ref="L10">IFERROR(INDEX(income_statement_quarter[#All], SMALL(IF(LOWER(income_statement_quarter[Company Name]) = LOWER(income_statement_quarter_filter!$B$2), ROW(income_statement_quarter[Company Name]) - ROW(INDEX(income_statement_quarter[Company Name], 1, 1)) + 1), ROW(8:8)), COLUMN(K:K)), "")</f>
        <v>62052007185</v>
      </c>
      <c r="M10" s="14">
        <f t="array" ref="M10">IFERROR(INDEX(income_statement_quarter[#All], SMALL(IF(LOWER(income_statement_quarter[Company Name]) = LOWER(income_statement_quarter_filter!$B$2), ROW(income_statement_quarter[Company Name]) - ROW(INDEX(income_statement_quarter[Company Name], 1, 1)) + 1), ROW(8:8)), COLUMN(L:L)), "")</f>
        <v>51131070959</v>
      </c>
      <c r="N10" s="14">
        <f t="array" ref="N10">IFERROR(INDEX(income_statement_quarter[#All], SMALL(IF(LOWER(income_statement_quarter[Company Name]) = LOWER(income_statement_quarter_filter!$B$2), ROW(income_statement_quarter[Company Name]) - ROW(INDEX(income_statement_quarter[Company Name], 1, 1)) + 1), ROW(8:8)), COLUMN(M:M)), "")</f>
        <v>59899825646</v>
      </c>
      <c r="O10" s="14">
        <f t="array" ref="O10">IFERROR(INDEX(income_statement_quarter[#All], SMALL(IF(LOWER(income_statement_quarter[Company Name]) = LOWER(income_statement_quarter_filter!$B$2), ROW(income_statement_quarter[Company Name]) - ROW(INDEX(income_statement_quarter[Company Name], 1, 1)) + 1), ROW(8:8)), COLUMN(N:N)), "")</f>
        <v>56421316908</v>
      </c>
      <c r="P10" s="14">
        <f t="array" ref="P10">IFERROR(INDEX(income_statement_quarter[#All], SMALL(IF(LOWER(income_statement_quarter[Company Name]) = LOWER(income_statement_quarter_filter!$B$2), ROW(income_statement_quarter[Company Name]) - ROW(INDEX(income_statement_quarter[Company Name], 1, 1)) + 1), ROW(8:8)), COLUMN(O:O)), "")</f>
        <v>49965429100</v>
      </c>
      <c r="Q10" s="14">
        <f t="array" ref="Q10">IFERROR(INDEX(income_statement_quarter[#All], SMALL(IF(LOWER(income_statement_quarter[Company Name]) = LOWER(income_statement_quarter_filter!$B$2), ROW(income_statement_quarter[Company Name]) - ROW(INDEX(income_statement_quarter[Company Name], 1, 1)) + 1), ROW(8:8)), COLUMN(P:P)), "")</f>
        <v>48928345701</v>
      </c>
      <c r="R10" s="14">
        <f t="array" ref="R10">IFERROR(INDEX(income_statement_quarter[#All], SMALL(IF(LOWER(income_statement_quarter[Company Name]) = LOWER(income_statement_quarter_filter!$B$2), ROW(income_statement_quarter[Company Name]) - ROW(INDEX(income_statement_quarter[Company Name], 1, 1)) + 1), ROW(8:8)), COLUMN(Q:Q)), "")</f>
        <v>37952638025</v>
      </c>
      <c r="S10" s="14">
        <f t="array" ref="S10">IFERROR(INDEX(income_statement_quarter[#All], SMALL(IF(LOWER(income_statement_quarter[Company Name]) = LOWER(income_statement_quarter_filter!$B$2), ROW(income_statement_quarter[Company Name]) - ROW(INDEX(income_statement_quarter[Company Name], 1, 1)) + 1), ROW(8:8)), COLUMN(R:R)), "")</f>
        <v>0</v>
      </c>
    </row>
    <row r="11" spans="1:19" x14ac:dyDescent="0.35">
      <c r="C11" t="str">
        <f t="array" ref="C11">IFERROR(INDEX(income_statement_quarter[#All], SMALL(IF(LOWER(income_statement_quarter[Company Name]) = LOWER(income_statement_quarter_filter!$B$2), ROW(income_statement_quarter[Company Name]) - ROW(INDEX(income_statement_quarter[Company Name], 1, 1)) + 1), ROW(9:9)), COLUMN(B:B)), "")</f>
        <v>- Trong đó: Chi phí lãi vay</v>
      </c>
      <c r="D11" s="14">
        <f t="array" ref="D11">IFERROR(INDEX(income_statement_quarter[#All], SMALL(IF(LOWER(income_statement_quarter[Company Name]) = LOWER(income_statement_quarter_filter!$B$2), ROW(income_statement_quarter[Company Name]) - ROW(INDEX(income_statement_quarter[Company Name], 1, 1)) + 1), ROW(9:9)), COLUMN(C:C)), "")</f>
        <v>49452950967</v>
      </c>
      <c r="E11" s="14">
        <f t="array" ref="E11">IFERROR(INDEX(income_statement_quarter[#All], SMALL(IF(LOWER(income_statement_quarter[Company Name]) = LOWER(income_statement_quarter_filter!$B$2), ROW(income_statement_quarter[Company Name]) - ROW(INDEX(income_statement_quarter[Company Name], 1, 1)) + 1), ROW(9:9)), COLUMN(D:D)), "")</f>
        <v>49912401604</v>
      </c>
      <c r="F11" s="14">
        <f t="array" ref="F11">IFERROR(INDEX(income_statement_quarter[#All], SMALL(IF(LOWER(income_statement_quarter[Company Name]) = LOWER(income_statement_quarter_filter!$B$2), ROW(income_statement_quarter[Company Name]) - ROW(INDEX(income_statement_quarter[Company Name], 1, 1)) + 1), ROW(9:9)), COLUMN(E:E)), "")</f>
        <v>52721422936</v>
      </c>
      <c r="G11" s="14">
        <f t="array" ref="G11">IFERROR(INDEX(income_statement_quarter[#All], SMALL(IF(LOWER(income_statement_quarter[Company Name]) = LOWER(income_statement_quarter_filter!$B$2), ROW(income_statement_quarter[Company Name]) - ROW(INDEX(income_statement_quarter[Company Name], 1, 1)) + 1), ROW(9:9)), COLUMN(F:F)), "")</f>
        <v>52766264267</v>
      </c>
      <c r="H11" s="14">
        <f t="array" ref="H11">IFERROR(INDEX(income_statement_quarter[#All], SMALL(IF(LOWER(income_statement_quarter[Company Name]) = LOWER(income_statement_quarter_filter!$B$2), ROW(income_statement_quarter[Company Name]) - ROW(INDEX(income_statement_quarter[Company Name], 1, 1)) + 1), ROW(9:9)), COLUMN(G:G)), "")</f>
        <v>50611166120</v>
      </c>
      <c r="I11" s="14">
        <f t="array" ref="I11">IFERROR(INDEX(income_statement_quarter[#All], SMALL(IF(LOWER(income_statement_quarter[Company Name]) = LOWER(income_statement_quarter_filter!$B$2), ROW(income_statement_quarter[Company Name]) - ROW(INDEX(income_statement_quarter[Company Name], 1, 1)) + 1), ROW(9:9)), COLUMN(H:H)), "")</f>
        <v>52546397328</v>
      </c>
      <c r="J11" s="14">
        <f t="array" ref="J11">IFERROR(INDEX(income_statement_quarter[#All], SMALL(IF(LOWER(income_statement_quarter[Company Name]) = LOWER(income_statement_quarter_filter!$B$2), ROW(income_statement_quarter[Company Name]) - ROW(INDEX(income_statement_quarter[Company Name], 1, 1)) + 1), ROW(9:9)), COLUMN(I:I)), "")</f>
        <v>46859506116</v>
      </c>
      <c r="K11" s="14">
        <f t="array" ref="K11">IFERROR(INDEX(income_statement_quarter[#All], SMALL(IF(LOWER(income_statement_quarter[Company Name]) = LOWER(income_statement_quarter_filter!$B$2), ROW(income_statement_quarter[Company Name]) - ROW(INDEX(income_statement_quarter[Company Name], 1, 1)) + 1), ROW(9:9)), COLUMN(J:J)), "")</f>
        <v>48763994026</v>
      </c>
      <c r="L11" s="14">
        <f t="array" ref="L11">IFERROR(INDEX(income_statement_quarter[#All], SMALL(IF(LOWER(income_statement_quarter[Company Name]) = LOWER(income_statement_quarter_filter!$B$2), ROW(income_statement_quarter[Company Name]) - ROW(INDEX(income_statement_quarter[Company Name], 1, 1)) + 1), ROW(9:9)), COLUMN(K:K)), "")</f>
        <v>46458953291</v>
      </c>
      <c r="M11" s="14">
        <f t="array" ref="M11">IFERROR(INDEX(income_statement_quarter[#All], SMALL(IF(LOWER(income_statement_quarter[Company Name]) = LOWER(income_statement_quarter_filter!$B$2), ROW(income_statement_quarter[Company Name]) - ROW(INDEX(income_statement_quarter[Company Name], 1, 1)) + 1), ROW(9:9)), COLUMN(L:L)), "")</f>
        <v>49643624181</v>
      </c>
      <c r="N11" s="14">
        <f t="array" ref="N11">IFERROR(INDEX(income_statement_quarter[#All], SMALL(IF(LOWER(income_statement_quarter[Company Name]) = LOWER(income_statement_quarter_filter!$B$2), ROW(income_statement_quarter[Company Name]) - ROW(INDEX(income_statement_quarter[Company Name], 1, 1)) + 1), ROW(9:9)), COLUMN(M:M)), "")</f>
        <v>56166247854</v>
      </c>
      <c r="O11" s="14">
        <f t="array" ref="O11">IFERROR(INDEX(income_statement_quarter[#All], SMALL(IF(LOWER(income_statement_quarter[Company Name]) = LOWER(income_statement_quarter_filter!$B$2), ROW(income_statement_quarter[Company Name]) - ROW(INDEX(income_statement_quarter[Company Name], 1, 1)) + 1), ROW(9:9)), COLUMN(N:N)), "")</f>
        <v>56421316908</v>
      </c>
      <c r="P11" s="14">
        <f t="array" ref="P11">IFERROR(INDEX(income_statement_quarter[#All], SMALL(IF(LOWER(income_statement_quarter[Company Name]) = LOWER(income_statement_quarter_filter!$B$2), ROW(income_statement_quarter[Company Name]) - ROW(INDEX(income_statement_quarter[Company Name], 1, 1)) + 1), ROW(9:9)), COLUMN(O:O)), "")</f>
        <v>49965429100</v>
      </c>
      <c r="Q11" s="14">
        <f t="array" ref="Q11">IFERROR(INDEX(income_statement_quarter[#All], SMALL(IF(LOWER(income_statement_quarter[Company Name]) = LOWER(income_statement_quarter_filter!$B$2), ROW(income_statement_quarter[Company Name]) - ROW(INDEX(income_statement_quarter[Company Name], 1, 1)) + 1), ROW(9:9)), COLUMN(P:P)), "")</f>
        <v>48928345701</v>
      </c>
      <c r="R11" s="14">
        <f t="array" ref="R11">IFERROR(INDEX(income_statement_quarter[#All], SMALL(IF(LOWER(income_statement_quarter[Company Name]) = LOWER(income_statement_quarter_filter!$B$2), ROW(income_statement_quarter[Company Name]) - ROW(INDEX(income_statement_quarter[Company Name], 1, 1)) + 1), ROW(9:9)), COLUMN(Q:Q)), "")</f>
        <v>37952638025</v>
      </c>
      <c r="S11" s="14">
        <f t="array" ref="S11">IFERROR(INDEX(income_statement_quarter[#All], SMALL(IF(LOWER(income_statement_quarter[Company Name]) = LOWER(income_statement_quarter_filter!$B$2), ROW(income_statement_quarter[Company Name]) - ROW(INDEX(income_statement_quarter[Company Name], 1, 1)) + 1), ROW(9:9)), COLUMN(R:R)), "")</f>
        <v>0</v>
      </c>
    </row>
    <row r="12" spans="1:19" x14ac:dyDescent="0.35">
      <c r="C12" t="str">
        <f t="array" ref="C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COLUMN(B:B)), "")</f>
        <v>8. Phần lãi lỗ trong công ty liên doanh, liên kết</v>
      </c>
      <c r="D12" s="14">
        <f t="array" ref="D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COLUMN(C:C)), "")</f>
        <v>0</v>
      </c>
      <c r="E12" s="14">
        <f t="array" ref="E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COLUMN(D:D)), "")</f>
        <v>0</v>
      </c>
      <c r="F12" s="14">
        <f t="array" ref="F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COLUMN(E:E)), "")</f>
        <v>0</v>
      </c>
      <c r="G12" s="14">
        <f t="array" ref="G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COLUMN(F:F)), "")</f>
        <v>0</v>
      </c>
      <c r="H12" s="14">
        <f t="array" ref="H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COLUMN(G:G)), "")</f>
        <v>0</v>
      </c>
      <c r="I12" s="14">
        <f t="array" ref="I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COLUMN(H:H)), "")</f>
        <v>0</v>
      </c>
      <c r="J12" s="14">
        <f t="array" ref="J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COLUMN(I:I)), "")</f>
        <v>0</v>
      </c>
      <c r="K12" s="14">
        <f t="array" ref="K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COLUMN(J:J)), "")</f>
        <v>0</v>
      </c>
      <c r="L12" s="14">
        <f t="array" ref="L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COLUMN(K:K)), "")</f>
        <v>0</v>
      </c>
      <c r="M12" s="14">
        <f t="array" ref="M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COLUMN(L:L)), "")</f>
        <v>0</v>
      </c>
      <c r="N12" s="14">
        <f t="array" ref="N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COLUMN(M:M)), "")</f>
        <v>0</v>
      </c>
      <c r="O12" s="14">
        <f t="array" ref="O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COLUMN(N:N)), "")</f>
        <v>0</v>
      </c>
      <c r="P12" s="14">
        <f t="array" ref="P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COLUMN(O:O)), "")</f>
        <v>0</v>
      </c>
      <c r="Q12" s="14">
        <f t="array" ref="Q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COLUMN(P:P)), "")</f>
        <v>0</v>
      </c>
      <c r="R12" s="14">
        <f t="array" ref="R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COLUMN(Q:Q)), "")</f>
        <v>0</v>
      </c>
      <c r="S12" s="14">
        <f t="array" ref="S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COLUMN(R:R)), "")</f>
        <v>0</v>
      </c>
    </row>
    <row r="13" spans="1:19" x14ac:dyDescent="0.35">
      <c r="C13" t="str">
        <f t="array" ref="C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COLUMN(B:B)), "")</f>
        <v>9. Chi phí bán hàng</v>
      </c>
      <c r="D13" s="14">
        <f t="array" ref="D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COLUMN(C:C)), "")</f>
        <v>0</v>
      </c>
      <c r="E13" s="14">
        <f t="array" ref="E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COLUMN(D:D)), "")</f>
        <v>0</v>
      </c>
      <c r="F13" s="14">
        <f t="array" ref="F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COLUMN(E:E)), "")</f>
        <v>0</v>
      </c>
      <c r="G13" s="14">
        <f t="array" ref="G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COLUMN(F:F)), "")</f>
        <v>0</v>
      </c>
      <c r="H13" s="14">
        <f t="array" ref="H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COLUMN(G:G)), "")</f>
        <v>0</v>
      </c>
      <c r="I13" s="14">
        <f t="array" ref="I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COLUMN(H:H)), "")</f>
        <v>0</v>
      </c>
      <c r="J13" s="14">
        <f t="array" ref="J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COLUMN(I:I)), "")</f>
        <v>0</v>
      </c>
      <c r="K13" s="14">
        <f t="array" ref="K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COLUMN(J:J)), "")</f>
        <v>0</v>
      </c>
      <c r="L13" s="14">
        <f t="array" ref="L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COLUMN(K:K)), "")</f>
        <v>0</v>
      </c>
      <c r="M13" s="14">
        <f t="array" ref="M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COLUMN(L:L)), "")</f>
        <v>0</v>
      </c>
      <c r="N13" s="14">
        <f t="array" ref="N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COLUMN(M:M)), "")</f>
        <v>0</v>
      </c>
      <c r="O13" s="14">
        <f t="array" ref="O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COLUMN(N:N)), "")</f>
        <v>0</v>
      </c>
      <c r="P13" s="14">
        <f t="array" ref="P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COLUMN(O:O)), "")</f>
        <v>0</v>
      </c>
      <c r="Q13" s="14">
        <f t="array" ref="Q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COLUMN(P:P)), "")</f>
        <v>0</v>
      </c>
      <c r="R13" s="14">
        <f t="array" ref="R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COLUMN(Q:Q)), "")</f>
        <v>0</v>
      </c>
      <c r="S13" s="14">
        <f t="array" ref="S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COLUMN(R:R)), "")</f>
        <v>0</v>
      </c>
    </row>
    <row r="14" spans="1:19" x14ac:dyDescent="0.35">
      <c r="C14" t="str">
        <f t="array" ref="C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COLUMN(B:B)), "")</f>
        <v>10. Chi phí quản lý doanh nghiệp</v>
      </c>
      <c r="D14" s="14">
        <f t="array" ref="D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COLUMN(C:C)), "")</f>
        <v>5149739269</v>
      </c>
      <c r="E14" s="14">
        <f t="array" ref="E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COLUMN(D:D)), "")</f>
        <v>6409988593</v>
      </c>
      <c r="F14" s="14">
        <f t="array" ref="F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COLUMN(E:E)), "")</f>
        <v>3756802721</v>
      </c>
      <c r="G14" s="14">
        <f t="array" ref="G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COLUMN(F:F)), "")</f>
        <v>5697684785</v>
      </c>
      <c r="H14" s="14">
        <f t="array" ref="H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COLUMN(G:G)), "")</f>
        <v>3979418288</v>
      </c>
      <c r="I14" s="14">
        <f t="array" ref="I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COLUMN(H:H)), "")</f>
        <v>7594821195</v>
      </c>
      <c r="J14" s="14">
        <f t="array" ref="J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COLUMN(I:I)), "")</f>
        <v>4403720998</v>
      </c>
      <c r="K14" s="14">
        <f t="array" ref="K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COLUMN(J:J)), "")</f>
        <v>4879053915</v>
      </c>
      <c r="L14" s="14">
        <f t="array" ref="L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COLUMN(K:K)), "")</f>
        <v>5309705093</v>
      </c>
      <c r="M14" s="14">
        <f t="array" ref="M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COLUMN(L:L)), "")</f>
        <v>6312747483</v>
      </c>
      <c r="N14" s="14">
        <f t="array" ref="N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COLUMN(M:M)), "")</f>
        <v>4352414607</v>
      </c>
      <c r="O14" s="14">
        <f t="array" ref="O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COLUMN(N:N)), "")</f>
        <v>4219922281</v>
      </c>
      <c r="P14" s="14">
        <f t="array" ref="P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COLUMN(O:O)), "")</f>
        <v>4863979554</v>
      </c>
      <c r="Q14" s="14">
        <f t="array" ref="Q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COLUMN(P:P)), "")</f>
        <v>6664877222</v>
      </c>
      <c r="R14" s="14">
        <f t="array" ref="R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COLUMN(Q:Q)), "")</f>
        <v>4926062683</v>
      </c>
      <c r="S14" s="14">
        <f t="array" ref="S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COLUMN(R:R)), "")</f>
        <v>0</v>
      </c>
    </row>
    <row r="15" spans="1:19" x14ac:dyDescent="0.35">
      <c r="C15" t="str">
        <f t="array" ref="C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COLUMN(B:B)), "")</f>
        <v>11. Lợi nhuận thuần từ hoạt động kinh doanh{30=20+(21-22) + 24 - (25+26)}</v>
      </c>
      <c r="D15" s="14">
        <f t="array" ref="D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COLUMN(C:C)), "")</f>
        <v>63769247411</v>
      </c>
      <c r="E15" s="14">
        <f t="array" ref="E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COLUMN(D:D)), "")</f>
        <v>34968593583</v>
      </c>
      <c r="F15" s="14">
        <f t="array" ref="F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COLUMN(E:E)), "")</f>
        <v>36017146309</v>
      </c>
      <c r="G15" s="14">
        <f t="array" ref="G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COLUMN(F:F)), "")</f>
        <v>48473423777</v>
      </c>
      <c r="H15" s="14">
        <f t="array" ref="H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COLUMN(G:G)), "")</f>
        <v>30768160576</v>
      </c>
      <c r="I15" s="14">
        <f t="array" ref="I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COLUMN(H:H)), "")</f>
        <v>32435248232</v>
      </c>
      <c r="J15" s="14">
        <f t="array" ref="J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COLUMN(I:I)), "")</f>
        <v>61948596102</v>
      </c>
      <c r="K15" s="14">
        <f t="array" ref="K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COLUMN(J:J)), "")</f>
        <v>88764285572</v>
      </c>
      <c r="L15" s="14">
        <f t="array" ref="L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COLUMN(K:K)), "")</f>
        <v>57258962735</v>
      </c>
      <c r="M15" s="14">
        <f t="array" ref="M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COLUMN(L:L)), "")</f>
        <v>41547845800</v>
      </c>
      <c r="N15" s="14">
        <f t="array" ref="N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COLUMN(M:M)), "")</f>
        <v>26710572821</v>
      </c>
      <c r="O15" s="14">
        <f t="array" ref="O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COLUMN(N:N)), "")</f>
        <v>39389575010</v>
      </c>
      <c r="P15" s="14">
        <f t="array" ref="P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COLUMN(O:O)), "")</f>
        <v>43612687490</v>
      </c>
      <c r="Q15" s="14">
        <f t="array" ref="Q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COLUMN(P:P)), "")</f>
        <v>22999501401</v>
      </c>
      <c r="R15" s="14">
        <f t="array" ref="R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COLUMN(Q:Q)), "")</f>
        <v>38678204397</v>
      </c>
      <c r="S15" s="14">
        <f t="array" ref="S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COLUMN(R:R)), "")</f>
        <v>0</v>
      </c>
    </row>
    <row r="16" spans="1:19" x14ac:dyDescent="0.35">
      <c r="C16" t="str">
        <f t="array" ref="C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COLUMN(B:B)), "")</f>
        <v>12. Thu nhập khác</v>
      </c>
      <c r="D16" s="14">
        <f t="array" ref="D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COLUMN(C:C)), "")</f>
        <v>45107913</v>
      </c>
      <c r="E16" s="14">
        <f t="array" ref="E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COLUMN(D:D)), "")</f>
        <v>1036358057</v>
      </c>
      <c r="F16" s="14">
        <f t="array" ref="F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COLUMN(E:E)), "")</f>
        <v>0</v>
      </c>
      <c r="G16" s="14">
        <f t="array" ref="G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COLUMN(F:F)), "")</f>
        <v>0</v>
      </c>
      <c r="H16" s="14">
        <f t="array" ref="H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COLUMN(G:G)), "")</f>
        <v>0</v>
      </c>
      <c r="I16" s="14">
        <f t="array" ref="I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COLUMN(H:H)), "")</f>
        <v>18182379</v>
      </c>
      <c r="J16" s="14">
        <f t="array" ref="J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COLUMN(I:I)), "")</f>
        <v>0</v>
      </c>
      <c r="K16" s="14">
        <f t="array" ref="K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COLUMN(J:J)), "")</f>
        <v>870446</v>
      </c>
      <c r="L16" s="14">
        <f t="array" ref="L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COLUMN(K:K)), "")</f>
        <v>0</v>
      </c>
      <c r="M16" s="14">
        <f t="array" ref="M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COLUMN(L:L)), "")</f>
        <v>144002</v>
      </c>
      <c r="N16" s="14">
        <f t="array" ref="N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COLUMN(M:M)), "")</f>
        <v>0</v>
      </c>
      <c r="O16" s="14">
        <f t="array" ref="O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COLUMN(N:N)), "")</f>
        <v>659614858</v>
      </c>
      <c r="P16" s="14">
        <f t="array" ref="P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COLUMN(O:O)), "")</f>
        <v>0</v>
      </c>
      <c r="Q16" s="14">
        <f t="array" ref="Q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COLUMN(P:P)), "")</f>
        <v>762953</v>
      </c>
      <c r="R16" s="14">
        <f t="array" ref="R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COLUMN(Q:Q)), "")</f>
        <v>0</v>
      </c>
      <c r="S16" s="14">
        <f t="array" ref="S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COLUMN(R:R)), "")</f>
        <v>0</v>
      </c>
    </row>
    <row r="17" spans="3:19" x14ac:dyDescent="0.35">
      <c r="C17" t="str">
        <f t="array" ref="C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COLUMN(B:B)), "")</f>
        <v>13. Chi phí khác</v>
      </c>
      <c r="D17" s="14">
        <f t="array" ref="D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COLUMN(C:C)), "")</f>
        <v>555853897</v>
      </c>
      <c r="E17" s="14">
        <f t="array" ref="E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COLUMN(D:D)), "")</f>
        <v>472034370</v>
      </c>
      <c r="F17" s="14">
        <f t="array" ref="F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COLUMN(E:E)), "")</f>
        <v>2109951659</v>
      </c>
      <c r="G17" s="14">
        <f t="array" ref="G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COLUMN(F:F)), "")</f>
        <v>940573593</v>
      </c>
      <c r="H17" s="14">
        <f t="array" ref="H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COLUMN(G:G)), "")</f>
        <v>452466950</v>
      </c>
      <c r="I17" s="14">
        <f t="array" ref="I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COLUMN(H:H)), "")</f>
        <v>4221966426</v>
      </c>
      <c r="J17" s="14">
        <f t="array" ref="J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COLUMN(I:I)), "")</f>
        <v>733785845</v>
      </c>
      <c r="K17" s="14">
        <f t="array" ref="K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COLUMN(J:J)), "")</f>
        <v>7485612226</v>
      </c>
      <c r="L17" s="14">
        <f t="array" ref="L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COLUMN(K:K)), "")</f>
        <v>1036108584</v>
      </c>
      <c r="M17" s="14">
        <f t="array" ref="M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COLUMN(L:L)), "")</f>
        <v>1391470964</v>
      </c>
      <c r="N17" s="14">
        <f t="array" ref="N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COLUMN(M:M)), "")</f>
        <v>309608751</v>
      </c>
      <c r="O17" s="14">
        <f t="array" ref="O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COLUMN(N:N)), "")</f>
        <v>6835985288</v>
      </c>
      <c r="P17" s="14">
        <f t="array" ref="P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COLUMN(O:O)), "")</f>
        <v>421656595</v>
      </c>
      <c r="Q17" s="14">
        <f t="array" ref="Q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COLUMN(P:P)), "")</f>
        <v>4756927700</v>
      </c>
      <c r="R17" s="14">
        <f t="array" ref="R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COLUMN(Q:Q)), "")</f>
        <v>504608750</v>
      </c>
      <c r="S17" s="14">
        <f t="array" ref="S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COLUMN(R:R)), "")</f>
        <v>0</v>
      </c>
    </row>
    <row r="18" spans="3:19" x14ac:dyDescent="0.35">
      <c r="C18" t="str">
        <f t="array" ref="C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COLUMN(B:B)), "")</f>
        <v>14. Lợi nhuận khác(40=31-32)</v>
      </c>
      <c r="D18" s="14">
        <f t="array" ref="D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COLUMN(C:C)), "")</f>
        <v>-510745984</v>
      </c>
      <c r="E18" s="14">
        <f t="array" ref="E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COLUMN(D:D)), "")</f>
        <v>564323687</v>
      </c>
      <c r="F18" s="14">
        <f t="array" ref="F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COLUMN(E:E)), "")</f>
        <v>-2109951659</v>
      </c>
      <c r="G18" s="14">
        <f t="array" ref="G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COLUMN(F:F)), "")</f>
        <v>-940573593</v>
      </c>
      <c r="H18" s="14">
        <f t="array" ref="H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COLUMN(G:G)), "")</f>
        <v>-452466950</v>
      </c>
      <c r="I18" s="14">
        <f t="array" ref="I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COLUMN(H:H)), "")</f>
        <v>-4203784047</v>
      </c>
      <c r="J18" s="14">
        <f t="array" ref="J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COLUMN(I:I)), "")</f>
        <v>-733785845</v>
      </c>
      <c r="K18" s="14">
        <f t="array" ref="K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COLUMN(J:J)), "")</f>
        <v>-7484741780</v>
      </c>
      <c r="L18" s="14">
        <f t="array" ref="L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COLUMN(K:K)), "")</f>
        <v>-1036108584</v>
      </c>
      <c r="M18" s="14">
        <f t="array" ref="M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COLUMN(L:L)), "")</f>
        <v>-1391326962</v>
      </c>
      <c r="N18" s="14">
        <f t="array" ref="N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COLUMN(M:M)), "")</f>
        <v>-309608751</v>
      </c>
      <c r="O18" s="14">
        <f t="array" ref="O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COLUMN(N:N)), "")</f>
        <v>-6176370430</v>
      </c>
      <c r="P18" s="14">
        <f t="array" ref="P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COLUMN(O:O)), "")</f>
        <v>-421656595</v>
      </c>
      <c r="Q18" s="14">
        <f t="array" ref="Q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COLUMN(P:P)), "")</f>
        <v>-4756164747</v>
      </c>
      <c r="R18" s="14">
        <f t="array" ref="R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COLUMN(Q:Q)), "")</f>
        <v>-504608750</v>
      </c>
      <c r="S18" s="14">
        <f t="array" ref="S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COLUMN(R:R)), "")</f>
        <v>0</v>
      </c>
    </row>
    <row r="19" spans="3:19" x14ac:dyDescent="0.35">
      <c r="C19" t="str">
        <f t="array" ref="C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COLUMN(B:B)), "")</f>
        <v>15. Tổng lợi nhuận kế toán trước thuế(50=30+40)</v>
      </c>
      <c r="D19" s="14">
        <f t="array" ref="D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COLUMN(C:C)), "")</f>
        <v>63258501427</v>
      </c>
      <c r="E19" s="14">
        <f t="array" ref="E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COLUMN(D:D)), "")</f>
        <v>35532917270</v>
      </c>
      <c r="F19" s="14">
        <f t="array" ref="F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COLUMN(E:E)), "")</f>
        <v>33907194650</v>
      </c>
      <c r="G19" s="14">
        <f t="array" ref="G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COLUMN(F:F)), "")</f>
        <v>47532850184</v>
      </c>
      <c r="H19" s="14">
        <f t="array" ref="H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COLUMN(G:G)), "")</f>
        <v>30315693626</v>
      </c>
      <c r="I19" s="14">
        <f t="array" ref="I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COLUMN(H:H)), "")</f>
        <v>28231464185</v>
      </c>
      <c r="J19" s="14">
        <f t="array" ref="J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COLUMN(I:I)), "")</f>
        <v>61214810257</v>
      </c>
      <c r="K19" s="14">
        <f t="array" ref="K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COLUMN(J:J)), "")</f>
        <v>81279543792</v>
      </c>
      <c r="L19" s="14">
        <f t="array" ref="L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COLUMN(K:K)), "")</f>
        <v>56222854151</v>
      </c>
      <c r="M19" s="14">
        <f t="array" ref="M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COLUMN(L:L)), "")</f>
        <v>40156518838</v>
      </c>
      <c r="N19" s="14">
        <f t="array" ref="N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COLUMN(M:M)), "")</f>
        <v>26400964070</v>
      </c>
      <c r="O19" s="14">
        <f t="array" ref="O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COLUMN(N:N)), "")</f>
        <v>33213204580</v>
      </c>
      <c r="P19" s="14">
        <f t="array" ref="P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COLUMN(O:O)), "")</f>
        <v>43191030895</v>
      </c>
      <c r="Q19" s="14">
        <f t="array" ref="Q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COLUMN(P:P)), "")</f>
        <v>18243336654</v>
      </c>
      <c r="R19" s="14">
        <f t="array" ref="R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COLUMN(Q:Q)), "")</f>
        <v>38173595647</v>
      </c>
      <c r="S19" s="14">
        <f t="array" ref="S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COLUMN(R:R)), "")</f>
        <v>0</v>
      </c>
    </row>
    <row r="20" spans="3:19" x14ac:dyDescent="0.35">
      <c r="C20" t="str">
        <f t="array" ref="C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COLUMN(B:B)), "")</f>
        <v>16. Chi phí thuế TNDN hiện hành</v>
      </c>
      <c r="D20" s="14">
        <f t="array" ref="D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COLUMN(C:C)), "")</f>
        <v>1604865545</v>
      </c>
      <c r="E20" s="14">
        <f t="array" ref="E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COLUMN(D:D)), "")</f>
        <v>9906951162</v>
      </c>
      <c r="F20" s="14">
        <f t="array" ref="F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COLUMN(E:E)), "")</f>
        <v>2891888619</v>
      </c>
      <c r="G20" s="14">
        <f t="array" ref="G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COLUMN(F:F)), "")</f>
        <v>1807734429</v>
      </c>
      <c r="H20" s="14">
        <f t="array" ref="H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COLUMN(G:G)), "")</f>
        <v>1260679045</v>
      </c>
      <c r="I20" s="14">
        <f t="array" ref="I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COLUMN(H:H)), "")</f>
        <v>2785664721</v>
      </c>
      <c r="J20" s="14">
        <f t="array" ref="J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COLUMN(I:I)), "")</f>
        <v>3590625990</v>
      </c>
      <c r="K20" s="14">
        <f t="array" ref="K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COLUMN(J:J)), "")</f>
        <v>5164493223</v>
      </c>
      <c r="L20" s="14">
        <f t="array" ref="L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COLUMN(K:K)), "")</f>
        <v>3775536104</v>
      </c>
      <c r="M20" s="14">
        <f t="array" ref="M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COLUMN(L:L)), "")</f>
        <v>3223340546</v>
      </c>
      <c r="N20" s="14">
        <f t="array" ref="N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COLUMN(M:M)), "")</f>
        <v>2822772030</v>
      </c>
      <c r="O20" s="14">
        <f t="array" ref="O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COLUMN(N:N)), "")</f>
        <v>3234242506</v>
      </c>
      <c r="P20" s="14">
        <f t="array" ref="P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COLUMN(O:O)), "")</f>
        <v>2986239825</v>
      </c>
      <c r="Q20" s="14">
        <f t="array" ref="Q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COLUMN(P:P)), "")</f>
        <v>3393859808</v>
      </c>
      <c r="R20" s="14">
        <f t="array" ref="R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COLUMN(Q:Q)), "")</f>
        <v>2804674403</v>
      </c>
      <c r="S20" s="14">
        <f t="array" ref="S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COLUMN(R:R)), "")</f>
        <v>0</v>
      </c>
    </row>
    <row r="21" spans="3:19" x14ac:dyDescent="0.35">
      <c r="C21" t="str">
        <f t="array" ref="C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COLUMN(B:B)), "")</f>
        <v>17. Chi phí thuế TNDN hoãn lại</v>
      </c>
      <c r="D21" s="14">
        <f t="array" ref="D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COLUMN(C:C)), "")</f>
        <v>0</v>
      </c>
      <c r="E21" s="14">
        <f t="array" ref="E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COLUMN(D:D)), "")</f>
        <v>0</v>
      </c>
      <c r="F21" s="14">
        <f t="array" ref="F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COLUMN(E:E)), "")</f>
        <v>0</v>
      </c>
      <c r="G21" s="14">
        <f t="array" ref="G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COLUMN(F:F)), "")</f>
        <v>0</v>
      </c>
      <c r="H21" s="14">
        <f t="array" ref="H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COLUMN(G:G)), "")</f>
        <v>0</v>
      </c>
      <c r="I21" s="14">
        <f t="array" ref="I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COLUMN(H:H)), "")</f>
        <v>0</v>
      </c>
      <c r="J21" s="14">
        <f t="array" ref="J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COLUMN(I:I)), "")</f>
        <v>0</v>
      </c>
      <c r="K21" s="14">
        <f t="array" ref="K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COLUMN(J:J)), "")</f>
        <v>0</v>
      </c>
      <c r="L21" s="14">
        <f t="array" ref="L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COLUMN(K:K)), "")</f>
        <v>0</v>
      </c>
      <c r="M21" s="14">
        <f t="array" ref="M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COLUMN(L:L)), "")</f>
        <v>0</v>
      </c>
      <c r="N21" s="14">
        <f t="array" ref="N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COLUMN(M:M)), "")</f>
        <v>0</v>
      </c>
      <c r="O21" s="14">
        <f t="array" ref="O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COLUMN(N:N)), "")</f>
        <v>0</v>
      </c>
      <c r="P21" s="14">
        <f t="array" ref="P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COLUMN(O:O)), "")</f>
        <v>0</v>
      </c>
      <c r="Q21" s="14">
        <f t="array" ref="Q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COLUMN(P:P)), "")</f>
        <v>0</v>
      </c>
      <c r="R21" s="14">
        <f t="array" ref="R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COLUMN(Q:Q)), "")</f>
        <v>0</v>
      </c>
      <c r="S21" s="14">
        <f t="array" ref="S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COLUMN(R:R)), "")</f>
        <v>0</v>
      </c>
    </row>
    <row r="22" spans="3:19" x14ac:dyDescent="0.35">
      <c r="C22" t="str">
        <f t="array" ref="C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COLUMN(B:B)), "")</f>
        <v>18. Lợi nhuận sau thuế thu nhập doanh nghiệp(60=50-51-52)</v>
      </c>
      <c r="D22" s="14">
        <f t="array" ref="D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COLUMN(C:C)), "")</f>
        <v>61653635882</v>
      </c>
      <c r="E22" s="14">
        <f t="array" ref="E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COLUMN(D:D)), "")</f>
        <v>25625966108</v>
      </c>
      <c r="F22" s="14">
        <f t="array" ref="F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COLUMN(E:E)), "")</f>
        <v>31015306031</v>
      </c>
      <c r="G22" s="14">
        <f t="array" ref="G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COLUMN(F:F)), "")</f>
        <v>45725115755</v>
      </c>
      <c r="H22" s="14">
        <f t="array" ref="H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COLUMN(G:G)), "")</f>
        <v>29055014581</v>
      </c>
      <c r="I22" s="14">
        <f t="array" ref="I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COLUMN(H:H)), "")</f>
        <v>25445799464</v>
      </c>
      <c r="J22" s="14">
        <f t="array" ref="J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COLUMN(I:I)), "")</f>
        <v>57624184267</v>
      </c>
      <c r="K22" s="14">
        <f t="array" ref="K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COLUMN(J:J)), "")</f>
        <v>76115050569</v>
      </c>
      <c r="L22" s="14">
        <f t="array" ref="L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COLUMN(K:K)), "")</f>
        <v>52447318047</v>
      </c>
      <c r="M22" s="14">
        <f t="array" ref="M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COLUMN(L:L)), "")</f>
        <v>36933178292</v>
      </c>
      <c r="N22" s="14">
        <f t="array" ref="N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COLUMN(M:M)), "")</f>
        <v>23578192040</v>
      </c>
      <c r="O22" s="14">
        <f t="array" ref="O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COLUMN(N:N)), "")</f>
        <v>29978962074</v>
      </c>
      <c r="P22" s="14">
        <f t="array" ref="P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COLUMN(O:O)), "")</f>
        <v>40204791070</v>
      </c>
      <c r="Q22" s="14">
        <f t="array" ref="Q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COLUMN(P:P)), "")</f>
        <v>14849476846</v>
      </c>
      <c r="R22" s="14">
        <f t="array" ref="R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COLUMN(Q:Q)), "")</f>
        <v>35368921244</v>
      </c>
      <c r="S22" s="14">
        <f t="array" ref="S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COLUMN(R:R)), "")</f>
        <v>0</v>
      </c>
    </row>
    <row r="23" spans="3:19" x14ac:dyDescent="0.35">
      <c r="C23" t="str">
        <f t="array" ref="C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COLUMN(B:B)), "")</f>
        <v>19. Lợi nhuận sau thuế công ty mẹ</v>
      </c>
      <c r="D23" s="14">
        <f t="array" ref="D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COLUMN(C:C)), "")</f>
        <v>61653635882</v>
      </c>
      <c r="E23" s="14">
        <f t="array" ref="E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COLUMN(D:D)), "")</f>
        <v>25625966108</v>
      </c>
      <c r="F23" s="14">
        <f t="array" ref="F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COLUMN(E:E)), "")</f>
        <v>31015306031</v>
      </c>
      <c r="G23" s="14">
        <f t="array" ref="G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COLUMN(F:F)), "")</f>
        <v>45725115755</v>
      </c>
      <c r="H23" s="14">
        <f t="array" ref="H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COLUMN(G:G)), "")</f>
        <v>29055014581</v>
      </c>
      <c r="I23" s="14">
        <f t="array" ref="I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COLUMN(H:H)), "")</f>
        <v>25445799464</v>
      </c>
      <c r="J23" s="14">
        <f t="array" ref="J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COLUMN(I:I)), "")</f>
        <v>57624184267</v>
      </c>
      <c r="K23" s="14">
        <f t="array" ref="K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COLUMN(J:J)), "")</f>
        <v>76115050569</v>
      </c>
      <c r="L23" s="14">
        <f t="array" ref="L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COLUMN(K:K)), "")</f>
        <v>52447318047</v>
      </c>
      <c r="M23" s="14">
        <f t="array" ref="M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COLUMN(L:L)), "")</f>
        <v>36933178292</v>
      </c>
      <c r="N23" s="14">
        <f t="array" ref="N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COLUMN(M:M)), "")</f>
        <v>23578192040</v>
      </c>
      <c r="O23" s="14">
        <f t="array" ref="O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COLUMN(N:N)), "")</f>
        <v>29978962074</v>
      </c>
      <c r="P23" s="14">
        <f t="array" ref="P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COLUMN(O:O)), "")</f>
        <v>40204791070</v>
      </c>
      <c r="Q23" s="14">
        <f t="array" ref="Q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COLUMN(P:P)), "")</f>
        <v>14849476846</v>
      </c>
      <c r="R23" s="14">
        <f t="array" ref="R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COLUMN(Q:Q)), "")</f>
        <v>35368921244</v>
      </c>
      <c r="S23" s="14">
        <f t="array" ref="S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COLUMN(R:R)), "")</f>
        <v>0</v>
      </c>
    </row>
    <row r="24" spans="3:19" x14ac:dyDescent="0.35">
      <c r="C24" t="str">
        <f t="array" ref="C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COLUMN(B:B)), "")</f>
        <v>20. Lợi nhuận sau thuế công ty mẹ không kiểm soát</v>
      </c>
      <c r="D24" s="14">
        <f t="array" ref="D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COLUMN(C:C)), "")</f>
        <v>0</v>
      </c>
      <c r="E24" s="14">
        <f t="array" ref="E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COLUMN(D:D)), "")</f>
        <v>0</v>
      </c>
      <c r="F24" s="14">
        <f t="array" ref="F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COLUMN(E:E)), "")</f>
        <v>0</v>
      </c>
      <c r="G24" s="14">
        <f t="array" ref="G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COLUMN(F:F)), "")</f>
        <v>0</v>
      </c>
      <c r="H24" s="14">
        <f t="array" ref="H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COLUMN(G:G)), "")</f>
        <v>0</v>
      </c>
      <c r="I24" s="14">
        <f t="array" ref="I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COLUMN(H:H)), "")</f>
        <v>0</v>
      </c>
      <c r="J24" s="14">
        <f t="array" ref="J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COLUMN(I:I)), "")</f>
        <v>0</v>
      </c>
      <c r="K24" s="14">
        <f t="array" ref="K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COLUMN(J:J)), "")</f>
        <v>0</v>
      </c>
      <c r="L24" s="14">
        <f t="array" ref="L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COLUMN(K:K)), "")</f>
        <v>0</v>
      </c>
      <c r="M24" s="14">
        <f t="array" ref="M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COLUMN(L:L)), "")</f>
        <v>0</v>
      </c>
      <c r="N24" s="14">
        <f t="array" ref="N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COLUMN(M:M)), "")</f>
        <v>0</v>
      </c>
      <c r="O24" s="14">
        <f t="array" ref="O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COLUMN(N:N)), "")</f>
        <v>0</v>
      </c>
      <c r="P24" s="14">
        <f t="array" ref="P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COLUMN(O:O)), "")</f>
        <v>0</v>
      </c>
      <c r="Q24" s="14">
        <f t="array" ref="Q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COLUMN(P:P)), "")</f>
        <v>0</v>
      </c>
      <c r="R24" s="14">
        <f t="array" ref="R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COLUMN(Q:Q)), "")</f>
        <v>0</v>
      </c>
      <c r="S24" s="14">
        <f t="array" ref="S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COLUMN(R:R)), "")</f>
        <v>0</v>
      </c>
    </row>
    <row r="25" spans="3:19" x14ac:dyDescent="0.35">
      <c r="C25" t="str">
        <f t="array" ref="C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COLUMN(B:B)), "")</f>
        <v>21. Lãi cơ bản trên cổ phiếu(*)</v>
      </c>
      <c r="D25" s="14">
        <f t="array" ref="D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COLUMN(C:C)), "")</f>
        <v>382</v>
      </c>
      <c r="E25" s="14">
        <f t="array" ref="E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COLUMN(D:D)), "")</f>
        <v>149</v>
      </c>
      <c r="F25" s="14">
        <f t="array" ref="F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COLUMN(E:E)), "")</f>
        <v>196</v>
      </c>
      <c r="G25" s="14">
        <f t="array" ref="G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COLUMN(F:F)), "")</f>
        <v>303</v>
      </c>
      <c r="H25" s="14">
        <f t="array" ref="H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COLUMN(G:G)), "")</f>
        <v>154</v>
      </c>
      <c r="I25" s="14">
        <f t="array" ref="I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COLUMN(H:H)), "")</f>
        <v>83</v>
      </c>
      <c r="J25" s="14">
        <f t="array" ref="J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COLUMN(I:I)), "")</f>
        <v>336</v>
      </c>
      <c r="K25" s="14">
        <f t="array" ref="K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COLUMN(J:J)), "")</f>
        <v>441</v>
      </c>
      <c r="L25" s="14">
        <f t="array" ref="L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COLUMN(K:K)), "")</f>
        <v>217</v>
      </c>
      <c r="M25" s="14">
        <f t="array" ref="M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COLUMN(L:L)), "")</f>
        <v>160</v>
      </c>
      <c r="N25" s="14">
        <f t="array" ref="N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COLUMN(M:M)), "")</f>
        <v>115</v>
      </c>
      <c r="O25" s="14">
        <f t="array" ref="O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COLUMN(N:N)), "")</f>
        <v>153</v>
      </c>
      <c r="P25" s="14">
        <f t="array" ref="P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COLUMN(O:O)), "")</f>
        <v>187</v>
      </c>
      <c r="Q25" s="14">
        <f t="array" ref="Q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COLUMN(P:P)), "")</f>
        <v>42</v>
      </c>
      <c r="R25" s="14">
        <f t="array" ref="R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COLUMN(Q:Q)), "")</f>
        <v>178</v>
      </c>
      <c r="S25" s="14">
        <f t="array" ref="S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COLUMN(R:R)), "")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C0A2-40BB-471F-8F9F-9E58E5B3F192}">
  <dimension ref="A2:G33"/>
  <sheetViews>
    <sheetView topLeftCell="B1" workbookViewId="0">
      <selection activeCell="D3" sqref="D3:G3"/>
    </sheetView>
  </sheetViews>
  <sheetFormatPr defaultRowHeight="14.5" x14ac:dyDescent="0.35"/>
  <cols>
    <col min="1" max="1" width="18.26953125" customWidth="1"/>
    <col min="3" max="3" width="77.7265625" bestFit="1" customWidth="1"/>
    <col min="4" max="7" width="17.54296875" customWidth="1"/>
  </cols>
  <sheetData>
    <row r="2" spans="1:7" ht="15.5" x14ac:dyDescent="0.35">
      <c r="A2" s="13" t="s">
        <v>137</v>
      </c>
      <c r="B2" s="13" t="str">
        <f>DCF!C2</f>
        <v>TTA</v>
      </c>
      <c r="C2" s="7"/>
      <c r="D2" s="8"/>
      <c r="E2" s="8"/>
      <c r="F2" s="8"/>
      <c r="G2" s="8"/>
    </row>
    <row r="3" spans="1:7" ht="18.5" x14ac:dyDescent="0.45">
      <c r="A3" s="9"/>
      <c r="B3" s="10"/>
      <c r="C3" s="6" t="s">
        <v>138</v>
      </c>
      <c r="D3" s="6" t="str">
        <f>cash_flow_annual[[#Headers],[2020]]</f>
        <v>2020</v>
      </c>
      <c r="E3" s="6" t="str">
        <f>cash_flow_annual[[#Headers],[2021]]</f>
        <v>2021</v>
      </c>
      <c r="F3" s="6" t="str">
        <f>cash_flow_annual[[#Headers],[2022]]</f>
        <v>2022</v>
      </c>
      <c r="G3" s="6" t="str">
        <f>cash_flow_annual[[#Headers],[2023]]</f>
        <v>2023</v>
      </c>
    </row>
    <row r="4" spans="1:7" x14ac:dyDescent="0.35">
      <c r="C4" t="str">
        <f t="array" ref="C4">IFERROR(INDEX(cash_flow_annual[#All], SMALL(IF(LOWER(cash_flow_annual[Company Name]) = LOWER(cash_flow_annual_filter!$B$2), ROW(cash_flow_annual[Company Name]) - ROW(INDEX(cash_flow_annual[Company Name], 1, 1)) + 1), ROW(2:2)), COLUMN(B:B)), "")</f>
        <v>I. Lưu chuyển tiền từ hoạt động kinh doanh</v>
      </c>
      <c r="D4" s="19">
        <f t="array" ref="D4">IFERROR(INDEX(cash_flow_annual[#All], SMALL(IF(LOWER(cash_flow_annual[Company Name]) = LOWER(cash_flow_annual_filter!$B$2), ROW(cash_flow_annual[Company Name]) - ROW(INDEX(cash_flow_annual[Company Name], 1, 1)) + 1), ROW(2:2)), COLUMN(C:C)), "")</f>
        <v>0</v>
      </c>
      <c r="E4" s="19">
        <f t="array" ref="E4">IFERROR(INDEX(cash_flow_annual[#All], SMALL(IF(LOWER(cash_flow_annual[Company Name]) = LOWER(cash_flow_annual_filter!$B$2), ROW(cash_flow_annual[Company Name]) - ROW(INDEX(cash_flow_annual[Company Name], 1, 1)) + 1), ROW(2:2)), COLUMN(D:D)), "")</f>
        <v>0</v>
      </c>
      <c r="F4" s="19">
        <f t="array" ref="F4">IFERROR(INDEX(cash_flow_annual[#All], SMALL(IF(LOWER(cash_flow_annual[Company Name]) = LOWER(cash_flow_annual_filter!$B$2), ROW(cash_flow_annual[Company Name]) - ROW(INDEX(cash_flow_annual[Company Name], 1, 1)) + 1), ROW(2:2)), COLUMN(E:E)), "")</f>
        <v>0</v>
      </c>
      <c r="G4" s="19">
        <f t="array" ref="G4">IFERROR(INDEX(cash_flow_annual[#All], SMALL(IF(LOWER(cash_flow_annual[Company Name]) = LOWER(cash_flow_annual_filter!$B$2), ROW(cash_flow_annual[Company Name]) - ROW(INDEX(cash_flow_annual[Company Name], 1, 1)) + 1), ROW(2:2)), COLUMN(F:F)), "")</f>
        <v>0</v>
      </c>
    </row>
    <row r="5" spans="1:7" x14ac:dyDescent="0.35">
      <c r="C5" t="str">
        <f t="array" ref="C5">IFERROR(INDEX(cash_flow_annual[#All], SMALL(IF(LOWER(cash_flow_annual[Company Name]) = LOWER(cash_flow_annual_filter!$B$2), ROW(cash_flow_annual[Company Name]) - ROW(INDEX(cash_flow_annual[Company Name], 1, 1)) + 1), ROW(3:3)), COLUMN(B:B)), "")</f>
        <v>1. Lợi nhuận trước thuế</v>
      </c>
      <c r="D5" s="19">
        <f t="array" ref="D5">IFERROR(INDEX(cash_flow_annual[#All], SMALL(IF(LOWER(cash_flow_annual[Company Name]) = LOWER(cash_flow_annual_filter!$B$2), ROW(cash_flow_annual[Company Name]) - ROW(INDEX(cash_flow_annual[Company Name], 1, 1)) + 1), ROW(3:3)), COLUMN(C:C)), "")</f>
        <v>142910465806</v>
      </c>
      <c r="E5" s="19">
        <f t="array" ref="E5">IFERROR(INDEX(cash_flow_annual[#All], SMALL(IF(LOWER(cash_flow_annual[Company Name]) = LOWER(cash_flow_annual_filter!$B$2), ROW(cash_flow_annual[Company Name]) - ROW(INDEX(cash_flow_annual[Company Name], 1, 1)) + 1), ROW(3:3)), COLUMN(D:D)), "")</f>
        <v>142146235618</v>
      </c>
      <c r="F5" s="19">
        <f t="array" ref="F5">IFERROR(INDEX(cash_flow_annual[#All], SMALL(IF(LOWER(cash_flow_annual[Company Name]) = LOWER(cash_flow_annual_filter!$B$2), ROW(cash_flow_annual[Company Name]) - ROW(INDEX(cash_flow_annual[Company Name], 1, 1)) + 1), ROW(3:3)), COLUMN(E:E)), "")</f>
        <v>219806770225</v>
      </c>
      <c r="G5" s="19">
        <f t="array" ref="G5">IFERROR(INDEX(cash_flow_annual[#All], SMALL(IF(LOWER(cash_flow_annual[Company Name]) = LOWER(cash_flow_annual_filter!$B$2), ROW(cash_flow_annual[Company Name]) - ROW(INDEX(cash_flow_annual[Company Name], 1, 1)) + 1), ROW(3:3)), COLUMN(F:F)), "")</f>
        <v>113112170533</v>
      </c>
    </row>
    <row r="6" spans="1:7" x14ac:dyDescent="0.35">
      <c r="C6" t="str">
        <f t="array" ref="C6">IFERROR(INDEX(cash_flow_annual[#All], SMALL(IF(LOWER(cash_flow_annual[Company Name]) = LOWER(cash_flow_annual_filter!$B$2), ROW(cash_flow_annual[Company Name]) - ROW(INDEX(cash_flow_annual[Company Name], 1, 1)) + 1), ROW(4:4)), COLUMN(B:B)), "")</f>
        <v>2. Điều chỉnh cho các khoản</v>
      </c>
      <c r="D6" s="19">
        <f t="array" ref="D6">IFERROR(INDEX(cash_flow_annual[#All], SMALL(IF(LOWER(cash_flow_annual[Company Name]) = LOWER(cash_flow_annual_filter!$B$2), ROW(cash_flow_annual[Company Name]) - ROW(INDEX(cash_flow_annual[Company Name], 1, 1)) + 1), ROW(4:4)), COLUMN(C:C)), "")</f>
        <v>0</v>
      </c>
      <c r="E6" s="19">
        <f t="array" ref="E6">IFERROR(INDEX(cash_flow_annual[#All], SMALL(IF(LOWER(cash_flow_annual[Company Name]) = LOWER(cash_flow_annual_filter!$B$2), ROW(cash_flow_annual[Company Name]) - ROW(INDEX(cash_flow_annual[Company Name], 1, 1)) + 1), ROW(4:4)), COLUMN(D:D)), "")</f>
        <v>0</v>
      </c>
      <c r="F6" s="19">
        <f t="array" ref="F6">IFERROR(INDEX(cash_flow_annual[#All], SMALL(IF(LOWER(cash_flow_annual[Company Name]) = LOWER(cash_flow_annual_filter!$B$2), ROW(cash_flow_annual[Company Name]) - ROW(INDEX(cash_flow_annual[Company Name], 1, 1)) + 1), ROW(4:4)), COLUMN(E:E)), "")</f>
        <v>0</v>
      </c>
      <c r="G6" s="19">
        <f t="array" ref="G6">IFERROR(INDEX(cash_flow_annual[#All], SMALL(IF(LOWER(cash_flow_annual[Company Name]) = LOWER(cash_flow_annual_filter!$B$2), ROW(cash_flow_annual[Company Name]) - ROW(INDEX(cash_flow_annual[Company Name], 1, 1)) + 1), ROW(4:4)), COLUMN(F:F)), "")</f>
        <v>0</v>
      </c>
    </row>
    <row r="7" spans="1:7" x14ac:dyDescent="0.35">
      <c r="C7" t="str">
        <f t="array" ref="C7">IFERROR(INDEX(cash_flow_annual[#All], SMALL(IF(LOWER(cash_flow_annual[Company Name]) = LOWER(cash_flow_annual_filter!$B$2), ROW(cash_flow_annual[Company Name]) - ROW(INDEX(cash_flow_annual[Company Name], 1, 1)) + 1), ROW(5:5)), COLUMN(B:B)), "")</f>
        <v>- Khấu hao TSCĐ và BĐSĐT</v>
      </c>
      <c r="D7" s="19">
        <f t="array" ref="D7">IFERROR(INDEX(cash_flow_annual[#All], SMALL(IF(LOWER(cash_flow_annual[Company Name]) = LOWER(cash_flow_annual_filter!$B$2), ROW(cash_flow_annual[Company Name]) - ROW(INDEX(cash_flow_annual[Company Name], 1, 1)) + 1), ROW(5:5)), COLUMN(C:C)), "")</f>
        <v>114468091603</v>
      </c>
      <c r="E7" s="19">
        <f t="array" ref="E7">IFERROR(INDEX(cash_flow_annual[#All], SMALL(IF(LOWER(cash_flow_annual[Company Name]) = LOWER(cash_flow_annual_filter!$B$2), ROW(cash_flow_annual[Company Name]) - ROW(INDEX(cash_flow_annual[Company Name], 1, 1)) + 1), ROW(5:5)), COLUMN(D:D)), "")</f>
        <v>206365591731</v>
      </c>
      <c r="F7" s="19">
        <f t="array" ref="F7">IFERROR(INDEX(cash_flow_annual[#All], SMALL(IF(LOWER(cash_flow_annual[Company Name]) = LOWER(cash_flow_annual_filter!$B$2), ROW(cash_flow_annual[Company Name]) - ROW(INDEX(cash_flow_annual[Company Name], 1, 1)) + 1), ROW(5:5)), COLUMN(E:E)), "")</f>
        <v>205959572045</v>
      </c>
      <c r="G7" s="19">
        <f t="array" ref="G7">IFERROR(INDEX(cash_flow_annual[#All], SMALL(IF(LOWER(cash_flow_annual[Company Name]) = LOWER(cash_flow_annual_filter!$B$2), ROW(cash_flow_annual[Company Name]) - ROW(INDEX(cash_flow_annual[Company Name], 1, 1)) + 1), ROW(5:5)), COLUMN(F:F)), "")</f>
        <v>205742815269</v>
      </c>
    </row>
    <row r="8" spans="1:7" x14ac:dyDescent="0.35">
      <c r="C8" t="str">
        <f t="array" ref="C8">IFERROR(INDEX(cash_flow_annual[#All], SMALL(IF(LOWER(cash_flow_annual[Company Name]) = LOWER(cash_flow_annual_filter!$B$2), ROW(cash_flow_annual[Company Name]) - ROW(INDEX(cash_flow_annual[Company Name], 1, 1)) + 1), ROW(6:6)), COLUMN(B:B)), "")</f>
        <v>- Các khoản dự phòng</v>
      </c>
      <c r="D8" s="19">
        <f t="array" ref="D8">IFERROR(INDEX(cash_flow_annual[#All], SMALL(IF(LOWER(cash_flow_annual[Company Name]) = LOWER(cash_flow_annual_filter!$B$2), ROW(cash_flow_annual[Company Name]) - ROW(INDEX(cash_flow_annual[Company Name], 1, 1)) + 1), ROW(6:6)), COLUMN(C:C)), "")</f>
        <v>0</v>
      </c>
      <c r="E8" s="19">
        <f t="array" ref="E8">IFERROR(INDEX(cash_flow_annual[#All], SMALL(IF(LOWER(cash_flow_annual[Company Name]) = LOWER(cash_flow_annual_filter!$B$2), ROW(cash_flow_annual[Company Name]) - ROW(INDEX(cash_flow_annual[Company Name], 1, 1)) + 1), ROW(6:6)), COLUMN(D:D)), "")</f>
        <v>0</v>
      </c>
      <c r="F8" s="19">
        <f t="array" ref="F8">IFERROR(INDEX(cash_flow_annual[#All], SMALL(IF(LOWER(cash_flow_annual[Company Name]) = LOWER(cash_flow_annual_filter!$B$2), ROW(cash_flow_annual[Company Name]) - ROW(INDEX(cash_flow_annual[Company Name], 1, 1)) + 1), ROW(6:6)), COLUMN(E:E)), "")</f>
        <v>9332493120</v>
      </c>
      <c r="G8" s="19">
        <f t="array" ref="G8">IFERROR(INDEX(cash_flow_annual[#All], SMALL(IF(LOWER(cash_flow_annual[Company Name]) = LOWER(cash_flow_annual_filter!$B$2), ROW(cash_flow_annual[Company Name]) - ROW(INDEX(cash_flow_annual[Company Name], 1, 1)) + 1), ROW(6:6)), COLUMN(F:F)), "")</f>
        <v>7870607810</v>
      </c>
    </row>
    <row r="9" spans="1:7" x14ac:dyDescent="0.35">
      <c r="C9" t="str">
        <f t="array" ref="C9">IFERROR(INDEX(cash_flow_annual[#All], SMALL(IF(LOWER(cash_flow_annual[Company Name]) = LOWER(cash_flow_annual_filter!$B$2), ROW(cash_flow_annual[Company Name]) - ROW(INDEX(cash_flow_annual[Company Name], 1, 1)) + 1), ROW(7:7)), COLUMN(B:B)), "")</f>
        <v>- Lãi, lỗ chênh lệch tỷ giá hối đoái do đánh giá lại các khoản mục tiền tệ có gốc ngoại tệ</v>
      </c>
      <c r="D9" s="19">
        <f t="array" ref="D9">IFERROR(INDEX(cash_flow_annual[#All], SMALL(IF(LOWER(cash_flow_annual[Company Name]) = LOWER(cash_flow_annual_filter!$B$2), ROW(cash_flow_annual[Company Name]) - ROW(INDEX(cash_flow_annual[Company Name], 1, 1)) + 1), ROW(7:7)), COLUMN(C:C)), "")</f>
        <v>0</v>
      </c>
      <c r="E9" s="19">
        <f t="array" ref="E9">IFERROR(INDEX(cash_flow_annual[#All], SMALL(IF(LOWER(cash_flow_annual[Company Name]) = LOWER(cash_flow_annual_filter!$B$2), ROW(cash_flow_annual[Company Name]) - ROW(INDEX(cash_flow_annual[Company Name], 1, 1)) + 1), ROW(7:7)), COLUMN(D:D)), "")</f>
        <v>0</v>
      </c>
      <c r="F9" s="19">
        <f t="array" ref="F9">IFERROR(INDEX(cash_flow_annual[#All], SMALL(IF(LOWER(cash_flow_annual[Company Name]) = LOWER(cash_flow_annual_filter!$B$2), ROW(cash_flow_annual[Company Name]) - ROW(INDEX(cash_flow_annual[Company Name], 1, 1)) + 1), ROW(7:7)), COLUMN(E:E)), "")</f>
        <v>8188526493</v>
      </c>
      <c r="G9" s="19">
        <f t="array" ref="G9">IFERROR(INDEX(cash_flow_annual[#All], SMALL(IF(LOWER(cash_flow_annual[Company Name]) = LOWER(cash_flow_annual_filter!$B$2), ROW(cash_flow_annual[Company Name]) - ROW(INDEX(cash_flow_annual[Company Name], 1, 1)) + 1), ROW(7:7)), COLUMN(F:F)), "")</f>
        <v>0</v>
      </c>
    </row>
    <row r="10" spans="1:7" x14ac:dyDescent="0.35">
      <c r="C10" t="str">
        <f t="array" ref="C10">IFERROR(INDEX(cash_flow_annual[#All], SMALL(IF(LOWER(cash_flow_annual[Company Name]) = LOWER(cash_flow_annual_filter!$B$2), ROW(cash_flow_annual[Company Name]) - ROW(INDEX(cash_flow_annual[Company Name], 1, 1)) + 1), ROW(8:8)), COLUMN(B:B)), "")</f>
        <v>- Lãi, lỗ từ hoạt động đầu tư</v>
      </c>
      <c r="D10" s="19">
        <f t="array" ref="D10">IFERROR(INDEX(cash_flow_annual[#All], SMALL(IF(LOWER(cash_flow_annual[Company Name]) = LOWER(cash_flow_annual_filter!$B$2), ROW(cash_flow_annual[Company Name]) - ROW(INDEX(cash_flow_annual[Company Name], 1, 1)) + 1), ROW(8:8)), COLUMN(C:C)), "")</f>
        <v>-163385273</v>
      </c>
      <c r="E10" s="19">
        <f t="array" ref="E10">IFERROR(INDEX(cash_flow_annual[#All], SMALL(IF(LOWER(cash_flow_annual[Company Name]) = LOWER(cash_flow_annual_filter!$B$2), ROW(cash_flow_annual[Company Name]) - ROW(INDEX(cash_flow_annual[Company Name], 1, 1)) + 1), ROW(8:8)), COLUMN(D:D)), "")</f>
        <v>-104012408</v>
      </c>
      <c r="F10" s="19">
        <f t="array" ref="F10">IFERROR(INDEX(cash_flow_annual[#All], SMALL(IF(LOWER(cash_flow_annual[Company Name]) = LOWER(cash_flow_annual_filter!$B$2), ROW(cash_flow_annual[Company Name]) - ROW(INDEX(cash_flow_annual[Company Name], 1, 1)) + 1), ROW(8:8)), COLUMN(E:E)), "")</f>
        <v>-129442717</v>
      </c>
      <c r="G10" s="19">
        <f t="array" ref="G10">IFERROR(INDEX(cash_flow_annual[#All], SMALL(IF(LOWER(cash_flow_annual[Company Name]) = LOWER(cash_flow_annual_filter!$B$2), ROW(cash_flow_annual[Company Name]) - ROW(INDEX(cash_flow_annual[Company Name], 1, 1)) + 1), ROW(8:8)), COLUMN(F:F)), "")</f>
        <v>-172486239</v>
      </c>
    </row>
    <row r="11" spans="1:7" x14ac:dyDescent="0.35">
      <c r="C11" t="str">
        <f t="array" ref="C11">IFERROR(INDEX(cash_flow_annual[#All], SMALL(IF(LOWER(cash_flow_annual[Company Name]) = LOWER(cash_flow_annual_filter!$B$2), ROW(cash_flow_annual[Company Name]) - ROW(INDEX(cash_flow_annual[Company Name], 1, 1)) + 1), ROW(9:9)), COLUMN(B:B)), "")</f>
        <v>- Chi phí lãi vay</v>
      </c>
      <c r="D11" s="19">
        <f t="array" ref="D11">IFERROR(INDEX(cash_flow_annual[#All], SMALL(IF(LOWER(cash_flow_annual[Company Name]) = LOWER(cash_flow_annual_filter!$B$2), ROW(cash_flow_annual[Company Name]) - ROW(INDEX(cash_flow_annual[Company Name], 1, 1)) + 1), ROW(9:9)), COLUMN(C:C)), "")</f>
        <v>163716453201</v>
      </c>
      <c r="E11" s="19">
        <f t="array" ref="E11">IFERROR(INDEX(cash_flow_annual[#All], SMALL(IF(LOWER(cash_flow_annual[Company Name]) = LOWER(cash_flow_annual_filter!$B$2), ROW(cash_flow_annual[Company Name]) - ROW(INDEX(cash_flow_annual[Company Name], 1, 1)) + 1), ROW(9:9)), COLUMN(D:D)), "")</f>
        <v>207910574527</v>
      </c>
      <c r="F11" s="19">
        <f t="array" ref="F11">IFERROR(INDEX(cash_flow_annual[#All], SMALL(IF(LOWER(cash_flow_annual[Company Name]) = LOWER(cash_flow_annual_filter!$B$2), ROW(cash_flow_annual[Company Name]) - ROW(INDEX(cash_flow_annual[Company Name], 1, 1)) + 1), ROW(9:9)), COLUMN(E:E)), "")</f>
        <v>191726077614</v>
      </c>
      <c r="G11" s="19">
        <f t="array" ref="G11">IFERROR(INDEX(cash_flow_annual[#All], SMALL(IF(LOWER(cash_flow_annual[Company Name]) = LOWER(cash_flow_annual_filter!$B$2), ROW(cash_flow_annual[Company Name]) - ROW(INDEX(cash_flow_annual[Company Name], 1, 1)) + 1), ROW(9:9)), COLUMN(F:F)), "")</f>
        <v>211481339563</v>
      </c>
    </row>
    <row r="12" spans="1:7" x14ac:dyDescent="0.35">
      <c r="C12" t="str">
        <f t="array" ref="C12">IFERROR(INDEX(cash_flow_annual[#All], SMALL(IF(LOWER(cash_flow_annual[Company Name]) = LOWER(cash_flow_annual_filter!$B$2), ROW(cash_flow_annual[Company Name]) - ROW(INDEX(cash_flow_annual[Company Name], 1, 1)) + 1), ROW(10:10)), COLUMN(B:B)), "")</f>
        <v>- Các khoản điều chỉnh khác</v>
      </c>
      <c r="D12" s="19">
        <f t="array" ref="D12">IFERROR(INDEX(cash_flow_annual[#All], SMALL(IF(LOWER(cash_flow_annual[Company Name]) = LOWER(cash_flow_annual_filter!$B$2), ROW(cash_flow_annual[Company Name]) - ROW(INDEX(cash_flow_annual[Company Name], 1, 1)) + 1), ROW(10:10)), COLUMN(C:C)), "")</f>
        <v>0</v>
      </c>
      <c r="E12" s="19">
        <f t="array" ref="E12">IFERROR(INDEX(cash_flow_annual[#All], SMALL(IF(LOWER(cash_flow_annual[Company Name]) = LOWER(cash_flow_annual_filter!$B$2), ROW(cash_flow_annual[Company Name]) - ROW(INDEX(cash_flow_annual[Company Name], 1, 1)) + 1), ROW(10:10)), COLUMN(D:D)), "")</f>
        <v>0</v>
      </c>
      <c r="F12" s="19">
        <f t="array" ref="F12">IFERROR(INDEX(cash_flow_annual[#All], SMALL(IF(LOWER(cash_flow_annual[Company Name]) = LOWER(cash_flow_annual_filter!$B$2), ROW(cash_flow_annual[Company Name]) - ROW(INDEX(cash_flow_annual[Company Name], 1, 1)) + 1), ROW(10:10)), COLUMN(E:E)), "")</f>
        <v>0</v>
      </c>
      <c r="G12" s="19">
        <f t="array" ref="G12">IFERROR(INDEX(cash_flow_annual[#All], SMALL(IF(LOWER(cash_flow_annual[Company Name]) = LOWER(cash_flow_annual_filter!$B$2), ROW(cash_flow_annual[Company Name]) - ROW(INDEX(cash_flow_annual[Company Name], 1, 1)) + 1), ROW(10:10)), COLUMN(F:F)), "")</f>
        <v>0</v>
      </c>
    </row>
    <row r="13" spans="1:7" x14ac:dyDescent="0.35">
      <c r="C13" t="str">
        <f t="array" ref="C13">IFERROR(INDEX(cash_flow_annual[#All], SMALL(IF(LOWER(cash_flow_annual[Company Name]) = LOWER(cash_flow_annual_filter!$B$2), ROW(cash_flow_annual[Company Name]) - ROW(INDEX(cash_flow_annual[Company Name], 1, 1)) + 1), ROW(11:11)), COLUMN(B:B)), "")</f>
        <v>3. Lợi nhuận từ hoạt động kinh doanh trước thay đổi vốn lưu động</v>
      </c>
      <c r="D13" s="19">
        <f t="array" ref="D13">IFERROR(INDEX(cash_flow_annual[#All], SMALL(IF(LOWER(cash_flow_annual[Company Name]) = LOWER(cash_flow_annual_filter!$B$2), ROW(cash_flow_annual[Company Name]) - ROW(INDEX(cash_flow_annual[Company Name], 1, 1)) + 1), ROW(11:11)), COLUMN(C:C)), "")</f>
        <v>420931625337</v>
      </c>
      <c r="E13" s="19">
        <f t="array" ref="E13">IFERROR(INDEX(cash_flow_annual[#All], SMALL(IF(LOWER(cash_flow_annual[Company Name]) = LOWER(cash_flow_annual_filter!$B$2), ROW(cash_flow_annual[Company Name]) - ROW(INDEX(cash_flow_annual[Company Name], 1, 1)) + 1), ROW(11:11)), COLUMN(D:D)), "")</f>
        <v>556318389468</v>
      </c>
      <c r="F13" s="19">
        <f t="array" ref="F13">IFERROR(INDEX(cash_flow_annual[#All], SMALL(IF(LOWER(cash_flow_annual[Company Name]) = LOWER(cash_flow_annual_filter!$B$2), ROW(cash_flow_annual[Company Name]) - ROW(INDEX(cash_flow_annual[Company Name], 1, 1)) + 1), ROW(11:11)), COLUMN(E:E)), "")</f>
        <v>634883996780</v>
      </c>
      <c r="G13" s="19">
        <f t="array" ref="G13">IFERROR(INDEX(cash_flow_annual[#All], SMALL(IF(LOWER(cash_flow_annual[Company Name]) = LOWER(cash_flow_annual_filter!$B$2), ROW(cash_flow_annual[Company Name]) - ROW(INDEX(cash_flow_annual[Company Name], 1, 1)) + 1), ROW(11:11)), COLUMN(F:F)), "")</f>
        <v>538034446936</v>
      </c>
    </row>
    <row r="14" spans="1:7" x14ac:dyDescent="0.35">
      <c r="C14" t="str">
        <f t="array" ref="C14">IFERROR(INDEX(cash_flow_annual[#All], SMALL(IF(LOWER(cash_flow_annual[Company Name]) = LOWER(cash_flow_annual_filter!$B$2), ROW(cash_flow_annual[Company Name]) - ROW(INDEX(cash_flow_annual[Company Name], 1, 1)) + 1), ROW(12:12)), COLUMN(B:B)), "")</f>
        <v>- Tăng, giảm các khoản phải thu</v>
      </c>
      <c r="D14" s="19">
        <f t="array" ref="D14">IFERROR(INDEX(cash_flow_annual[#All], SMALL(IF(LOWER(cash_flow_annual[Company Name]) = LOWER(cash_flow_annual_filter!$B$2), ROW(cash_flow_annual[Company Name]) - ROW(INDEX(cash_flow_annual[Company Name], 1, 1)) + 1), ROW(12:12)), COLUMN(C:C)), "")</f>
        <v>-4737146679</v>
      </c>
      <c r="E14" s="19">
        <f t="array" ref="E14">IFERROR(INDEX(cash_flow_annual[#All], SMALL(IF(LOWER(cash_flow_annual[Company Name]) = LOWER(cash_flow_annual_filter!$B$2), ROW(cash_flow_annual[Company Name]) - ROW(INDEX(cash_flow_annual[Company Name], 1, 1)) + 1), ROW(12:12)), COLUMN(D:D)), "")</f>
        <v>13134405231</v>
      </c>
      <c r="F14" s="19">
        <f t="array" ref="F14">IFERROR(INDEX(cash_flow_annual[#All], SMALL(IF(LOWER(cash_flow_annual[Company Name]) = LOWER(cash_flow_annual_filter!$B$2), ROW(cash_flow_annual[Company Name]) - ROW(INDEX(cash_flow_annual[Company Name], 1, 1)) + 1), ROW(12:12)), COLUMN(E:E)), "")</f>
        <v>2655334734</v>
      </c>
      <c r="G14" s="19">
        <f t="array" ref="G14">IFERROR(INDEX(cash_flow_annual[#All], SMALL(IF(LOWER(cash_flow_annual[Company Name]) = LOWER(cash_flow_annual_filter!$B$2), ROW(cash_flow_annual[Company Name]) - ROW(INDEX(cash_flow_annual[Company Name], 1, 1)) + 1), ROW(12:12)), COLUMN(F:F)), "")</f>
        <v>-9153702571</v>
      </c>
    </row>
    <row r="15" spans="1:7" x14ac:dyDescent="0.35">
      <c r="C15" t="str">
        <f t="array" ref="C15">IFERROR(INDEX(cash_flow_annual[#All], SMALL(IF(LOWER(cash_flow_annual[Company Name]) = LOWER(cash_flow_annual_filter!$B$2), ROW(cash_flow_annual[Company Name]) - ROW(INDEX(cash_flow_annual[Company Name], 1, 1)) + 1), ROW(13:13)), COLUMN(B:B)), "")</f>
        <v>- Tăng, giảm hàng tồn kho</v>
      </c>
      <c r="D15" s="19">
        <f t="array" ref="D15">IFERROR(INDEX(cash_flow_annual[#All], SMALL(IF(LOWER(cash_flow_annual[Company Name]) = LOWER(cash_flow_annual_filter!$B$2), ROW(cash_flow_annual[Company Name]) - ROW(INDEX(cash_flow_annual[Company Name], 1, 1)) + 1), ROW(13:13)), COLUMN(C:C)), "")</f>
        <v>394547272</v>
      </c>
      <c r="E15" s="19">
        <f t="array" ref="E15">IFERROR(INDEX(cash_flow_annual[#All], SMALL(IF(LOWER(cash_flow_annual[Company Name]) = LOWER(cash_flow_annual_filter!$B$2), ROW(cash_flow_annual[Company Name]) - ROW(INDEX(cash_flow_annual[Company Name], 1, 1)) + 1), ROW(13:13)), COLUMN(D:D)), "")</f>
        <v>0</v>
      </c>
      <c r="F15" s="19">
        <f t="array" ref="F15">IFERROR(INDEX(cash_flow_annual[#All], SMALL(IF(LOWER(cash_flow_annual[Company Name]) = LOWER(cash_flow_annual_filter!$B$2), ROW(cash_flow_annual[Company Name]) - ROW(INDEX(cash_flow_annual[Company Name], 1, 1)) + 1), ROW(13:13)), COLUMN(E:E)), "")</f>
        <v>0</v>
      </c>
      <c r="G15" s="19">
        <f t="array" ref="G15">IFERROR(INDEX(cash_flow_annual[#All], SMALL(IF(LOWER(cash_flow_annual[Company Name]) = LOWER(cash_flow_annual_filter!$B$2), ROW(cash_flow_annual[Company Name]) - ROW(INDEX(cash_flow_annual[Company Name], 1, 1)) + 1), ROW(13:13)), COLUMN(F:F)), "")</f>
        <v>0</v>
      </c>
    </row>
    <row r="16" spans="1:7" x14ac:dyDescent="0.35">
      <c r="C16" t="str">
        <f t="array" ref="C16">IFERROR(INDEX(cash_flow_annual[#All], SMALL(IF(LOWER(cash_flow_annual[Company Name]) = LOWER(cash_flow_annual_filter!$B$2), ROW(cash_flow_annual[Company Name]) - ROW(INDEX(cash_flow_annual[Company Name], 1, 1)) + 1), ROW(14:14)), COLUMN(B:B)), "")</f>
        <v>- Tăng, giảm các khoản phải trả (Không kể lãi vay phải trả, thuế thu nhập doanh nghiệp phải nộp)</v>
      </c>
      <c r="D16" s="19">
        <f t="array" ref="D16">IFERROR(INDEX(cash_flow_annual[#All], SMALL(IF(LOWER(cash_flow_annual[Company Name]) = LOWER(cash_flow_annual_filter!$B$2), ROW(cash_flow_annual[Company Name]) - ROW(INDEX(cash_flow_annual[Company Name], 1, 1)) + 1), ROW(14:14)), COLUMN(C:C)), "")</f>
        <v>183312538643</v>
      </c>
      <c r="E16" s="19">
        <f t="array" ref="E16">IFERROR(INDEX(cash_flow_annual[#All], SMALL(IF(LOWER(cash_flow_annual[Company Name]) = LOWER(cash_flow_annual_filter!$B$2), ROW(cash_flow_annual[Company Name]) - ROW(INDEX(cash_flow_annual[Company Name], 1, 1)) + 1), ROW(14:14)), COLUMN(D:D)), "")</f>
        <v>-19453380901</v>
      </c>
      <c r="F16" s="19">
        <f t="array" ref="F16">IFERROR(INDEX(cash_flow_annual[#All], SMALL(IF(LOWER(cash_flow_annual[Company Name]) = LOWER(cash_flow_annual_filter!$B$2), ROW(cash_flow_annual[Company Name]) - ROW(INDEX(cash_flow_annual[Company Name], 1, 1)) + 1), ROW(14:14)), COLUMN(E:E)), "")</f>
        <v>-137120120257</v>
      </c>
      <c r="G16" s="19">
        <f t="array" ref="G16">IFERROR(INDEX(cash_flow_annual[#All], SMALL(IF(LOWER(cash_flow_annual[Company Name]) = LOWER(cash_flow_annual_filter!$B$2), ROW(cash_flow_annual[Company Name]) - ROW(INDEX(cash_flow_annual[Company Name], 1, 1)) + 1), ROW(14:14)), COLUMN(F:F)), "")</f>
        <v>-304202629036</v>
      </c>
    </row>
    <row r="17" spans="3:7" x14ac:dyDescent="0.35">
      <c r="C17" t="str">
        <f t="array" ref="C17">IFERROR(INDEX(cash_flow_annual[#All], SMALL(IF(LOWER(cash_flow_annual[Company Name]) = LOWER(cash_flow_annual_filter!$B$2), ROW(cash_flow_annual[Company Name]) - ROW(INDEX(cash_flow_annual[Company Name], 1, 1)) + 1), ROW(15:15)), COLUMN(B:B)), "")</f>
        <v>- Tăng, giảm chi phí trả trước</v>
      </c>
      <c r="D17" s="19">
        <f t="array" ref="D17">IFERROR(INDEX(cash_flow_annual[#All], SMALL(IF(LOWER(cash_flow_annual[Company Name]) = LOWER(cash_flow_annual_filter!$B$2), ROW(cash_flow_annual[Company Name]) - ROW(INDEX(cash_flow_annual[Company Name], 1, 1)) + 1), ROW(15:15)), COLUMN(C:C)), "")</f>
        <v>172760688</v>
      </c>
      <c r="E17" s="19">
        <f t="array" ref="E17">IFERROR(INDEX(cash_flow_annual[#All], SMALL(IF(LOWER(cash_flow_annual[Company Name]) = LOWER(cash_flow_annual_filter!$B$2), ROW(cash_flow_annual[Company Name]) - ROW(INDEX(cash_flow_annual[Company Name], 1, 1)) + 1), ROW(15:15)), COLUMN(D:D)), "")</f>
        <v>-12547966578</v>
      </c>
      <c r="F17" s="19">
        <f t="array" ref="F17">IFERROR(INDEX(cash_flow_annual[#All], SMALL(IF(LOWER(cash_flow_annual[Company Name]) = LOWER(cash_flow_annual_filter!$B$2), ROW(cash_flow_annual[Company Name]) - ROW(INDEX(cash_flow_annual[Company Name], 1, 1)) + 1), ROW(15:15)), COLUMN(E:E)), "")</f>
        <v>10948033930</v>
      </c>
      <c r="G17" s="19">
        <f t="array" ref="G17">IFERROR(INDEX(cash_flow_annual[#All], SMALL(IF(LOWER(cash_flow_annual[Company Name]) = LOWER(cash_flow_annual_filter!$B$2), ROW(cash_flow_annual[Company Name]) - ROW(INDEX(cash_flow_annual[Company Name], 1, 1)) + 1), ROW(15:15)), COLUMN(F:F)), "")</f>
        <v>1419257564</v>
      </c>
    </row>
    <row r="18" spans="3:7" x14ac:dyDescent="0.35">
      <c r="C18" t="str">
        <f t="array" ref="C18">IFERROR(INDEX(cash_flow_annual[#All], SMALL(IF(LOWER(cash_flow_annual[Company Name]) = LOWER(cash_flow_annual_filter!$B$2), ROW(cash_flow_annual[Company Name]) - ROW(INDEX(cash_flow_annual[Company Name], 1, 1)) + 1), ROW(16:16)), COLUMN(B:B)), "")</f>
        <v>- Tăng, giảm chứng khoán kinh doanh</v>
      </c>
      <c r="D18" s="19">
        <f t="array" ref="D18">IFERROR(INDEX(cash_flow_annual[#All], SMALL(IF(LOWER(cash_flow_annual[Company Name]) = LOWER(cash_flow_annual_filter!$B$2), ROW(cash_flow_annual[Company Name]) - ROW(INDEX(cash_flow_annual[Company Name], 1, 1)) + 1), ROW(16:16)), COLUMN(C:C)), "")</f>
        <v>0</v>
      </c>
      <c r="E18" s="19">
        <f t="array" ref="E18">IFERROR(INDEX(cash_flow_annual[#All], SMALL(IF(LOWER(cash_flow_annual[Company Name]) = LOWER(cash_flow_annual_filter!$B$2), ROW(cash_flow_annual[Company Name]) - ROW(INDEX(cash_flow_annual[Company Name], 1, 1)) + 1), ROW(16:16)), COLUMN(D:D)), "")</f>
        <v>0</v>
      </c>
      <c r="F18" s="19">
        <f t="array" ref="F18">IFERROR(INDEX(cash_flow_annual[#All], SMALL(IF(LOWER(cash_flow_annual[Company Name]) = LOWER(cash_flow_annual_filter!$B$2), ROW(cash_flow_annual[Company Name]) - ROW(INDEX(cash_flow_annual[Company Name], 1, 1)) + 1), ROW(16:16)), COLUMN(E:E)), "")</f>
        <v>0</v>
      </c>
      <c r="G18" s="19">
        <f t="array" ref="G18">IFERROR(INDEX(cash_flow_annual[#All], SMALL(IF(LOWER(cash_flow_annual[Company Name]) = LOWER(cash_flow_annual_filter!$B$2), ROW(cash_flow_annual[Company Name]) - ROW(INDEX(cash_flow_annual[Company Name], 1, 1)) + 1), ROW(16:16)), COLUMN(F:F)), "")</f>
        <v>0</v>
      </c>
    </row>
    <row r="19" spans="3:7" x14ac:dyDescent="0.35">
      <c r="C19" t="str">
        <f t="array" ref="C19">IFERROR(INDEX(cash_flow_annual[#All], SMALL(IF(LOWER(cash_flow_annual[Company Name]) = LOWER(cash_flow_annual_filter!$B$2), ROW(cash_flow_annual[Company Name]) - ROW(INDEX(cash_flow_annual[Company Name], 1, 1)) + 1), ROW(17:17)), COLUMN(B:B)), "")</f>
        <v>- Tiền lãi vay đã trả</v>
      </c>
      <c r="D19" s="19">
        <f t="array" ref="D19">IFERROR(INDEX(cash_flow_annual[#All], SMALL(IF(LOWER(cash_flow_annual[Company Name]) = LOWER(cash_flow_annual_filter!$B$2), ROW(cash_flow_annual[Company Name]) - ROW(INDEX(cash_flow_annual[Company Name], 1, 1)) + 1), ROW(17:17)), COLUMN(C:C)), "")</f>
        <v>-169284159151</v>
      </c>
      <c r="E19" s="19">
        <f t="array" ref="E19">IFERROR(INDEX(cash_flow_annual[#All], SMALL(IF(LOWER(cash_flow_annual[Company Name]) = LOWER(cash_flow_annual_filter!$B$2), ROW(cash_flow_annual[Company Name]) - ROW(INDEX(cash_flow_annual[Company Name], 1, 1)) + 1), ROW(17:17)), COLUMN(D:D)), "")</f>
        <v>-203272561823</v>
      </c>
      <c r="F19" s="19">
        <f t="array" ref="F19">IFERROR(INDEX(cash_flow_annual[#All], SMALL(IF(LOWER(cash_flow_annual[Company Name]) = LOWER(cash_flow_annual_filter!$B$2), ROW(cash_flow_annual[Company Name]) - ROW(INDEX(cash_flow_annual[Company Name], 1, 1)) + 1), ROW(17:17)), COLUMN(E:E)), "")</f>
        <v>-193159354000</v>
      </c>
      <c r="G19" s="19">
        <f t="array" ref="G19">IFERROR(INDEX(cash_flow_annual[#All], SMALL(IF(LOWER(cash_flow_annual[Company Name]) = LOWER(cash_flow_annual_filter!$B$2), ROW(cash_flow_annual[Company Name]) - ROW(INDEX(cash_flow_annual[Company Name], 1, 1)) + 1), ROW(17:17)), COLUMN(F:F)), "")</f>
        <v>-206076327943</v>
      </c>
    </row>
    <row r="20" spans="3:7" x14ac:dyDescent="0.35">
      <c r="C20" t="str">
        <f t="array" ref="C20">IFERROR(INDEX(cash_flow_annual[#All], SMALL(IF(LOWER(cash_flow_annual[Company Name]) = LOWER(cash_flow_annual_filter!$B$2), ROW(cash_flow_annual[Company Name]) - ROW(INDEX(cash_flow_annual[Company Name], 1, 1)) + 1), ROW(18:18)), COLUMN(B:B)), "")</f>
        <v>- Thuế thu nhập doanh nghiệp đã nộp</v>
      </c>
      <c r="D20" s="19">
        <f t="array" ref="D20">IFERROR(INDEX(cash_flow_annual[#All], SMALL(IF(LOWER(cash_flow_annual[Company Name]) = LOWER(cash_flow_annual_filter!$B$2), ROW(cash_flow_annual[Company Name]) - ROW(INDEX(cash_flow_annual[Company Name], 1, 1)) + 1), ROW(18:18)), COLUMN(C:C)), "")</f>
        <v>-11056661593</v>
      </c>
      <c r="E20" s="19">
        <f t="array" ref="E20">IFERROR(INDEX(cash_flow_annual[#All], SMALL(IF(LOWER(cash_flow_annual[Company Name]) = LOWER(cash_flow_annual_filter!$B$2), ROW(cash_flow_annual[Company Name]) - ROW(INDEX(cash_flow_annual[Company Name], 1, 1)) + 1), ROW(18:18)), COLUMN(D:D)), "")</f>
        <v>-8111855581</v>
      </c>
      <c r="F20" s="19">
        <f t="array" ref="F20">IFERROR(INDEX(cash_flow_annual[#All], SMALL(IF(LOWER(cash_flow_annual[Company Name]) = LOWER(cash_flow_annual_filter!$B$2), ROW(cash_flow_annual[Company Name]) - ROW(INDEX(cash_flow_annual[Company Name], 1, 1)) + 1), ROW(18:18)), COLUMN(E:E)), "")</f>
        <v>-7610160806</v>
      </c>
      <c r="G20" s="19">
        <f t="array" ref="G20">IFERROR(INDEX(cash_flow_annual[#All], SMALL(IF(LOWER(cash_flow_annual[Company Name]) = LOWER(cash_flow_annual_filter!$B$2), ROW(cash_flow_annual[Company Name]) - ROW(INDEX(cash_flow_annual[Company Name], 1, 1)) + 1), ROW(18:18)), COLUMN(F:F)), "")</f>
        <v>-14822505336</v>
      </c>
    </row>
    <row r="21" spans="3:7" x14ac:dyDescent="0.35">
      <c r="C21" t="str">
        <f t="array" ref="C21">IFERROR(INDEX(cash_flow_annual[#All], SMALL(IF(LOWER(cash_flow_annual[Company Name]) = LOWER(cash_flow_annual_filter!$B$2), ROW(cash_flow_annual[Company Name]) - ROW(INDEX(cash_flow_annual[Company Name], 1, 1)) + 1), ROW(19:19)), COLUMN(B:B)), "")</f>
        <v>- Tiền thu khác từ hoạt động kinh doanh</v>
      </c>
      <c r="D21" s="19">
        <f t="array" ref="D21">IFERROR(INDEX(cash_flow_annual[#All], SMALL(IF(LOWER(cash_flow_annual[Company Name]) = LOWER(cash_flow_annual_filter!$B$2), ROW(cash_flow_annual[Company Name]) - ROW(INDEX(cash_flow_annual[Company Name], 1, 1)) + 1), ROW(19:19)), COLUMN(C:C)), "")</f>
        <v>0</v>
      </c>
      <c r="E21" s="19">
        <f t="array" ref="E21">IFERROR(INDEX(cash_flow_annual[#All], SMALL(IF(LOWER(cash_flow_annual[Company Name]) = LOWER(cash_flow_annual_filter!$B$2), ROW(cash_flow_annual[Company Name]) - ROW(INDEX(cash_flow_annual[Company Name], 1, 1)) + 1), ROW(19:19)), COLUMN(D:D)), "")</f>
        <v>0</v>
      </c>
      <c r="F21" s="19">
        <f t="array" ref="F21">IFERROR(INDEX(cash_flow_annual[#All], SMALL(IF(LOWER(cash_flow_annual[Company Name]) = LOWER(cash_flow_annual_filter!$B$2), ROW(cash_flow_annual[Company Name]) - ROW(INDEX(cash_flow_annual[Company Name], 1, 1)) + 1), ROW(19:19)), COLUMN(E:E)), "")</f>
        <v>0</v>
      </c>
      <c r="G21" s="19">
        <f t="array" ref="G21">IFERROR(INDEX(cash_flow_annual[#All], SMALL(IF(LOWER(cash_flow_annual[Company Name]) = LOWER(cash_flow_annual_filter!$B$2), ROW(cash_flow_annual[Company Name]) - ROW(INDEX(cash_flow_annual[Company Name], 1, 1)) + 1), ROW(19:19)), COLUMN(F:F)), "")</f>
        <v>0</v>
      </c>
    </row>
    <row r="22" spans="3:7" x14ac:dyDescent="0.35">
      <c r="C22" t="str">
        <f t="array" ref="C22">IFERROR(INDEX(cash_flow_annual[#All], SMALL(IF(LOWER(cash_flow_annual[Company Name]) = LOWER(cash_flow_annual_filter!$B$2), ROW(cash_flow_annual[Company Name]) - ROW(INDEX(cash_flow_annual[Company Name], 1, 1)) + 1), ROW(20:20)), COLUMN(B:B)), "")</f>
        <v>- Tiền chi khác cho hoạt động kinh doanh</v>
      </c>
      <c r="D22" s="19">
        <f t="array" ref="D22">IFERROR(INDEX(cash_flow_annual[#All], SMALL(IF(LOWER(cash_flow_annual[Company Name]) = LOWER(cash_flow_annual_filter!$B$2), ROW(cash_flow_annual[Company Name]) - ROW(INDEX(cash_flow_annual[Company Name], 1, 1)) + 1), ROW(20:20)), COLUMN(C:C)), "")</f>
        <v>0</v>
      </c>
      <c r="E22" s="19">
        <f t="array" ref="E22">IFERROR(INDEX(cash_flow_annual[#All], SMALL(IF(LOWER(cash_flow_annual[Company Name]) = LOWER(cash_flow_annual_filter!$B$2), ROW(cash_flow_annual[Company Name]) - ROW(INDEX(cash_flow_annual[Company Name], 1, 1)) + 1), ROW(20:20)), COLUMN(D:D)), "")</f>
        <v>0</v>
      </c>
      <c r="F22" s="19">
        <f t="array" ref="F22">IFERROR(INDEX(cash_flow_annual[#All], SMALL(IF(LOWER(cash_flow_annual[Company Name]) = LOWER(cash_flow_annual_filter!$B$2), ROW(cash_flow_annual[Company Name]) - ROW(INDEX(cash_flow_annual[Company Name], 1, 1)) + 1), ROW(20:20)), COLUMN(E:E)), "")</f>
        <v>-1995292200</v>
      </c>
      <c r="G22" s="19">
        <f t="array" ref="G22">IFERROR(INDEX(cash_flow_annual[#All], SMALL(IF(LOWER(cash_flow_annual[Company Name]) = LOWER(cash_flow_annual_filter!$B$2), ROW(cash_flow_annual[Company Name]) - ROW(INDEX(cash_flow_annual[Company Name], 1, 1)) + 1), ROW(20:20)), COLUMN(F:F)), "")</f>
        <v>-3586416000</v>
      </c>
    </row>
    <row r="23" spans="3:7" x14ac:dyDescent="0.35">
      <c r="C23" t="str">
        <f t="array" ref="C23">IFERROR(INDEX(cash_flow_annual[#All], SMALL(IF(LOWER(cash_flow_annual[Company Name]) = LOWER(cash_flow_annual_filter!$B$2), ROW(cash_flow_annual[Company Name]) - ROW(INDEX(cash_flow_annual[Company Name], 1, 1)) + 1), ROW(21:21)), COLUMN(B:B)), "")</f>
        <v>Lưu chuyển tiền thuần từ hoạt động kinh doanh</v>
      </c>
      <c r="D23" s="19">
        <f t="array" ref="D23">IFERROR(INDEX(cash_flow_annual[#All], SMALL(IF(LOWER(cash_flow_annual[Company Name]) = LOWER(cash_flow_annual_filter!$B$2), ROW(cash_flow_annual[Company Name]) - ROW(INDEX(cash_flow_annual[Company Name], 1, 1)) + 1), ROW(21:21)), COLUMN(C:C)), "")</f>
        <v>419733504517</v>
      </c>
      <c r="E23" s="19">
        <f t="array" ref="E23">IFERROR(INDEX(cash_flow_annual[#All], SMALL(IF(LOWER(cash_flow_annual[Company Name]) = LOWER(cash_flow_annual_filter!$B$2), ROW(cash_flow_annual[Company Name]) - ROW(INDEX(cash_flow_annual[Company Name], 1, 1)) + 1), ROW(21:21)), COLUMN(D:D)), "")</f>
        <v>326067029816</v>
      </c>
      <c r="F23" s="19">
        <f t="array" ref="F23">IFERROR(INDEX(cash_flow_annual[#All], SMALL(IF(LOWER(cash_flow_annual[Company Name]) = LOWER(cash_flow_annual_filter!$B$2), ROW(cash_flow_annual[Company Name]) - ROW(INDEX(cash_flow_annual[Company Name], 1, 1)) + 1), ROW(21:21)), COLUMN(E:E)), "")</f>
        <v>308602438181</v>
      </c>
      <c r="G23" s="19">
        <f t="array" ref="G23">IFERROR(INDEX(cash_flow_annual[#All], SMALL(IF(LOWER(cash_flow_annual[Company Name]) = LOWER(cash_flow_annual_filter!$B$2), ROW(cash_flow_annual[Company Name]) - ROW(INDEX(cash_flow_annual[Company Name], 1, 1)) + 1), ROW(21:21)), COLUMN(F:F)), "")</f>
        <v>1612123614</v>
      </c>
    </row>
    <row r="24" spans="3:7" x14ac:dyDescent="0.35">
      <c r="C24" t="str">
        <f t="array" ref="C24">IFERROR(INDEX(cash_flow_annual[#All], SMALL(IF(LOWER(cash_flow_annual[Company Name]) = LOWER(cash_flow_annual_filter!$B$2), ROW(cash_flow_annual[Company Name]) - ROW(INDEX(cash_flow_annual[Company Name], 1, 1)) + 1), ROW(22:22)), COLUMN(B:B)), "")</f>
        <v>II. Lưu chuyển tiền từ hoạt động đầu tư</v>
      </c>
      <c r="D24" s="19">
        <f t="array" ref="D24">IFERROR(INDEX(cash_flow_annual[#All], SMALL(IF(LOWER(cash_flow_annual[Company Name]) = LOWER(cash_flow_annual_filter!$B$2), ROW(cash_flow_annual[Company Name]) - ROW(INDEX(cash_flow_annual[Company Name], 1, 1)) + 1), ROW(22:22)), COLUMN(C:C)), "")</f>
        <v>0</v>
      </c>
      <c r="E24" s="19">
        <f t="array" ref="E24">IFERROR(INDEX(cash_flow_annual[#All], SMALL(IF(LOWER(cash_flow_annual[Company Name]) = LOWER(cash_flow_annual_filter!$B$2), ROW(cash_flow_annual[Company Name]) - ROW(INDEX(cash_flow_annual[Company Name], 1, 1)) + 1), ROW(22:22)), COLUMN(D:D)), "")</f>
        <v>0</v>
      </c>
      <c r="F24" s="19">
        <f t="array" ref="F24">IFERROR(INDEX(cash_flow_annual[#All], SMALL(IF(LOWER(cash_flow_annual[Company Name]) = LOWER(cash_flow_annual_filter!$B$2), ROW(cash_flow_annual[Company Name]) - ROW(INDEX(cash_flow_annual[Company Name], 1, 1)) + 1), ROW(22:22)), COLUMN(E:E)), "")</f>
        <v>0</v>
      </c>
      <c r="G24" s="19">
        <f t="array" ref="G24">IFERROR(INDEX(cash_flow_annual[#All], SMALL(IF(LOWER(cash_flow_annual[Company Name]) = LOWER(cash_flow_annual_filter!$B$2), ROW(cash_flow_annual[Company Name]) - ROW(INDEX(cash_flow_annual[Company Name], 1, 1)) + 1), ROW(22:22)), COLUMN(F:F)), "")</f>
        <v>0</v>
      </c>
    </row>
    <row r="25" spans="3:7" x14ac:dyDescent="0.35">
      <c r="C25" t="str">
        <f t="array" ref="C25">IFERROR(INDEX(cash_flow_annual[#All], SMALL(IF(LOWER(cash_flow_annual[Company Name]) = LOWER(cash_flow_annual_filter!$B$2), ROW(cash_flow_annual[Company Name]) - ROW(INDEX(cash_flow_annual[Company Name], 1, 1)) + 1), ROW(23:23)), COLUMN(B:B)), "")</f>
        <v>1.Tiền chi để mua sắm, xây dựng TSCĐ và các tài sản dài hạn khác</v>
      </c>
      <c r="D25" s="19">
        <f t="array" ref="D25">IFERROR(INDEX(cash_flow_annual[#All], SMALL(IF(LOWER(cash_flow_annual[Company Name]) = LOWER(cash_flow_annual_filter!$B$2), ROW(cash_flow_annual[Company Name]) - ROW(INDEX(cash_flow_annual[Company Name], 1, 1)) + 1), ROW(23:23)), COLUMN(C:C)), "")</f>
        <v>-643012602424</v>
      </c>
      <c r="E25" s="19">
        <f t="array" ref="E25">IFERROR(INDEX(cash_flow_annual[#All], SMALL(IF(LOWER(cash_flow_annual[Company Name]) = LOWER(cash_flow_annual_filter!$B$2), ROW(cash_flow_annual[Company Name]) - ROW(INDEX(cash_flow_annual[Company Name], 1, 1)) + 1), ROW(23:23)), COLUMN(D:D)), "")</f>
        <v>-289086485462</v>
      </c>
      <c r="F25" s="19">
        <f t="array" ref="F25">IFERROR(INDEX(cash_flow_annual[#All], SMALL(IF(LOWER(cash_flow_annual[Company Name]) = LOWER(cash_flow_annual_filter!$B$2), ROW(cash_flow_annual[Company Name]) - ROW(INDEX(cash_flow_annual[Company Name], 1, 1)) + 1), ROW(23:23)), COLUMN(E:E)), "")</f>
        <v>-13274367075</v>
      </c>
      <c r="G25" s="19">
        <f t="array" ref="G25">IFERROR(INDEX(cash_flow_annual[#All], SMALL(IF(LOWER(cash_flow_annual[Company Name]) = LOWER(cash_flow_annual_filter!$B$2), ROW(cash_flow_annual[Company Name]) - ROW(INDEX(cash_flow_annual[Company Name], 1, 1)) + 1), ROW(23:23)), COLUMN(F:F)), "")</f>
        <v>0</v>
      </c>
    </row>
    <row r="26" spans="3:7" x14ac:dyDescent="0.35">
      <c r="C26" t="str">
        <f t="array" ref="C26">IFERROR(INDEX(cash_flow_annual[#All], SMALL(IF(LOWER(cash_flow_annual[Company Name]) = LOWER(cash_flow_annual_filter!$B$2), ROW(cash_flow_annual[Company Name]) - ROW(INDEX(cash_flow_annual[Company Name], 1, 1)) + 1), ROW(24:24)), COLUMN(B:B)), "")</f>
        <v>2.Tiền thu từ thanh lý, nhượng bán TSCĐ và các tài sản dài hạn khác</v>
      </c>
      <c r="D26" s="19">
        <f t="array" ref="D26">IFERROR(INDEX(cash_flow_annual[#All], SMALL(IF(LOWER(cash_flow_annual[Company Name]) = LOWER(cash_flow_annual_filter!$B$2), ROW(cash_flow_annual[Company Name]) - ROW(INDEX(cash_flow_annual[Company Name], 1, 1)) + 1), ROW(24:24)), COLUMN(C:C)), "")</f>
        <v>0</v>
      </c>
      <c r="E26" s="19">
        <f t="array" ref="E26">IFERROR(INDEX(cash_flow_annual[#All], SMALL(IF(LOWER(cash_flow_annual[Company Name]) = LOWER(cash_flow_annual_filter!$B$2), ROW(cash_flow_annual[Company Name]) - ROW(INDEX(cash_flow_annual[Company Name], 1, 1)) + 1), ROW(24:24)), COLUMN(D:D)), "")</f>
        <v>0</v>
      </c>
      <c r="F26" s="19">
        <f t="array" ref="F26">IFERROR(INDEX(cash_flow_annual[#All], SMALL(IF(LOWER(cash_flow_annual[Company Name]) = LOWER(cash_flow_annual_filter!$B$2), ROW(cash_flow_annual[Company Name]) - ROW(INDEX(cash_flow_annual[Company Name], 1, 1)) + 1), ROW(24:24)), COLUMN(E:E)), "")</f>
        <v>0</v>
      </c>
      <c r="G26" s="19">
        <f t="array" ref="G26">IFERROR(INDEX(cash_flow_annual[#All], SMALL(IF(LOWER(cash_flow_annual[Company Name]) = LOWER(cash_flow_annual_filter!$B$2), ROW(cash_flow_annual[Company Name]) - ROW(INDEX(cash_flow_annual[Company Name], 1, 1)) + 1), ROW(24:24)), COLUMN(F:F)), "")</f>
        <v>0</v>
      </c>
    </row>
    <row r="27" spans="3:7" x14ac:dyDescent="0.35">
      <c r="C27" t="str">
        <f t="array" ref="C27">IFERROR(INDEX(cash_flow_annual[#All], SMALL(IF(LOWER(cash_flow_annual[Company Name]) = LOWER(cash_flow_annual_filter!$B$2), ROW(cash_flow_annual[Company Name]) - ROW(INDEX(cash_flow_annual[Company Name], 1, 1)) + 1), ROW(25:25)), COLUMN(B:B)), "")</f>
        <v>3.Tiền chi cho vay, mua các công cụ nợ của đơn vị khác</v>
      </c>
      <c r="D27" s="19">
        <f t="array" ref="D27">IFERROR(INDEX(cash_flow_annual[#All], SMALL(IF(LOWER(cash_flow_annual[Company Name]) = LOWER(cash_flow_annual_filter!$B$2), ROW(cash_flow_annual[Company Name]) - ROW(INDEX(cash_flow_annual[Company Name], 1, 1)) + 1), ROW(25:25)), COLUMN(C:C)), "")</f>
        <v>0</v>
      </c>
      <c r="E27" s="19">
        <f t="array" ref="E27">IFERROR(INDEX(cash_flow_annual[#All], SMALL(IF(LOWER(cash_flow_annual[Company Name]) = LOWER(cash_flow_annual_filter!$B$2), ROW(cash_flow_annual[Company Name]) - ROW(INDEX(cash_flow_annual[Company Name], 1, 1)) + 1), ROW(25:25)), COLUMN(D:D)), "")</f>
        <v>0</v>
      </c>
      <c r="F27" s="19">
        <f t="array" ref="F27">IFERROR(INDEX(cash_flow_annual[#All], SMALL(IF(LOWER(cash_flow_annual[Company Name]) = LOWER(cash_flow_annual_filter!$B$2), ROW(cash_flow_annual[Company Name]) - ROW(INDEX(cash_flow_annual[Company Name], 1, 1)) + 1), ROW(25:25)), COLUMN(E:E)), "")</f>
        <v>0</v>
      </c>
      <c r="G27" s="19">
        <f t="array" ref="G27">IFERROR(INDEX(cash_flow_annual[#All], SMALL(IF(LOWER(cash_flow_annual[Company Name]) = LOWER(cash_flow_annual_filter!$B$2), ROW(cash_flow_annual[Company Name]) - ROW(INDEX(cash_flow_annual[Company Name], 1, 1)) + 1), ROW(25:25)), COLUMN(F:F)), "")</f>
        <v>0</v>
      </c>
    </row>
    <row r="28" spans="3:7" x14ac:dyDescent="0.35">
      <c r="C28" t="str">
        <f t="array" ref="C28">IFERROR(INDEX(cash_flow_annual[#All], SMALL(IF(LOWER(cash_flow_annual[Company Name]) = LOWER(cash_flow_annual_filter!$B$2), ROW(cash_flow_annual[Company Name]) - ROW(INDEX(cash_flow_annual[Company Name], 1, 1)) + 1), ROW(26:26)), COLUMN(B:B)), "")</f>
        <v>4.Tiền thu hồi cho vay, bán lại các công cụ nợ của đơn vị khác</v>
      </c>
      <c r="D28" s="19">
        <f t="array" ref="D28">IFERROR(INDEX(cash_flow_annual[#All], SMALL(IF(LOWER(cash_flow_annual[Company Name]) = LOWER(cash_flow_annual_filter!$B$2), ROW(cash_flow_annual[Company Name]) - ROW(INDEX(cash_flow_annual[Company Name], 1, 1)) + 1), ROW(26:26)), COLUMN(C:C)), "")</f>
        <v>590000000</v>
      </c>
      <c r="E28" s="19">
        <f t="array" ref="E28">IFERROR(INDEX(cash_flow_annual[#All], SMALL(IF(LOWER(cash_flow_annual[Company Name]) = LOWER(cash_flow_annual_filter!$B$2), ROW(cash_flow_annual[Company Name]) - ROW(INDEX(cash_flow_annual[Company Name], 1, 1)) + 1), ROW(26:26)), COLUMN(D:D)), "")</f>
        <v>0</v>
      </c>
      <c r="F28" s="19">
        <f t="array" ref="F28">IFERROR(INDEX(cash_flow_annual[#All], SMALL(IF(LOWER(cash_flow_annual[Company Name]) = LOWER(cash_flow_annual_filter!$B$2), ROW(cash_flow_annual[Company Name]) - ROW(INDEX(cash_flow_annual[Company Name], 1, 1)) + 1), ROW(26:26)), COLUMN(E:E)), "")</f>
        <v>0</v>
      </c>
      <c r="G28" s="19">
        <f t="array" ref="G28">IFERROR(INDEX(cash_flow_annual[#All], SMALL(IF(LOWER(cash_flow_annual[Company Name]) = LOWER(cash_flow_annual_filter!$B$2), ROW(cash_flow_annual[Company Name]) - ROW(INDEX(cash_flow_annual[Company Name], 1, 1)) + 1), ROW(26:26)), COLUMN(F:F)), "")</f>
        <v>200000000</v>
      </c>
    </row>
    <row r="29" spans="3:7" x14ac:dyDescent="0.35">
      <c r="C29" t="str">
        <f t="array" ref="C29">IFERROR(INDEX(cash_flow_annual[#All], SMALL(IF(LOWER(cash_flow_annual[Company Name]) = LOWER(cash_flow_annual_filter!$B$2), ROW(cash_flow_annual[Company Name]) - ROW(INDEX(cash_flow_annual[Company Name], 1, 1)) + 1), ROW(27:27)), COLUMN(B:B)), "")</f>
        <v>5.Tiền chi đầu tư góp vốn vào đơn vị khác</v>
      </c>
      <c r="D29" s="19">
        <f t="array" ref="D29">IFERROR(INDEX(cash_flow_annual[#All], SMALL(IF(LOWER(cash_flow_annual[Company Name]) = LOWER(cash_flow_annual_filter!$B$2), ROW(cash_flow_annual[Company Name]) - ROW(INDEX(cash_flow_annual[Company Name], 1, 1)) + 1), ROW(27:27)), COLUMN(C:C)), "")</f>
        <v>0</v>
      </c>
      <c r="E29" s="19">
        <f t="array" ref="E29">IFERROR(INDEX(cash_flow_annual[#All], SMALL(IF(LOWER(cash_flow_annual[Company Name]) = LOWER(cash_flow_annual_filter!$B$2), ROW(cash_flow_annual[Company Name]) - ROW(INDEX(cash_flow_annual[Company Name], 1, 1)) + 1), ROW(27:27)), COLUMN(D:D)), "")</f>
        <v>0</v>
      </c>
      <c r="F29" s="19">
        <f t="array" ref="F29">IFERROR(INDEX(cash_flow_annual[#All], SMALL(IF(LOWER(cash_flow_annual[Company Name]) = LOWER(cash_flow_annual_filter!$B$2), ROW(cash_flow_annual[Company Name]) - ROW(INDEX(cash_flow_annual[Company Name], 1, 1)) + 1), ROW(27:27)), COLUMN(E:E)), "")</f>
        <v>0</v>
      </c>
      <c r="G29" s="19">
        <f t="array" ref="G29">IFERROR(INDEX(cash_flow_annual[#All], SMALL(IF(LOWER(cash_flow_annual[Company Name]) = LOWER(cash_flow_annual_filter!$B$2), ROW(cash_flow_annual[Company Name]) - ROW(INDEX(cash_flow_annual[Company Name], 1, 1)) + 1), ROW(27:27)), COLUMN(F:F)), "")</f>
        <v>0</v>
      </c>
    </row>
    <row r="30" spans="3:7" x14ac:dyDescent="0.35">
      <c r="C30" t="str">
        <f t="array" ref="C30">IFERROR(INDEX(cash_flow_annual[#All], SMALL(IF(LOWER(cash_flow_annual[Company Name]) = LOWER(cash_flow_annual_filter!$B$2), ROW(cash_flow_annual[Company Name]) - ROW(INDEX(cash_flow_annual[Company Name], 1, 1)) + 1), ROW(28:28)), COLUMN(B:B)), "")</f>
        <v>6.Tiền thu hồi đầu tư góp vốn vào đơn vị khác</v>
      </c>
      <c r="D30" s="19">
        <f t="array" ref="D30">IFERROR(INDEX(cash_flow_annual[#All], SMALL(IF(LOWER(cash_flow_annual[Company Name]) = LOWER(cash_flow_annual_filter!$B$2), ROW(cash_flow_annual[Company Name]) - ROW(INDEX(cash_flow_annual[Company Name], 1, 1)) + 1), ROW(28:28)), COLUMN(C:C)), "")</f>
        <v>61467889892</v>
      </c>
      <c r="E30" s="19">
        <f t="array" ref="E30">IFERROR(INDEX(cash_flow_annual[#All], SMALL(IF(LOWER(cash_flow_annual[Company Name]) = LOWER(cash_flow_annual_filter!$B$2), ROW(cash_flow_annual[Company Name]) - ROW(INDEX(cash_flow_annual[Company Name], 1, 1)) + 1), ROW(28:28)), COLUMN(D:D)), "")</f>
        <v>0</v>
      </c>
      <c r="F30" s="19">
        <f t="array" ref="F30">IFERROR(INDEX(cash_flow_annual[#All], SMALL(IF(LOWER(cash_flow_annual[Company Name]) = LOWER(cash_flow_annual_filter!$B$2), ROW(cash_flow_annual[Company Name]) - ROW(INDEX(cash_flow_annual[Company Name], 1, 1)) + 1), ROW(28:28)), COLUMN(E:E)), "")</f>
        <v>0</v>
      </c>
      <c r="G30" s="19">
        <f t="array" ref="G30">IFERROR(INDEX(cash_flow_annual[#All], SMALL(IF(LOWER(cash_flow_annual[Company Name]) = LOWER(cash_flow_annual_filter!$B$2), ROW(cash_flow_annual[Company Name]) - ROW(INDEX(cash_flow_annual[Company Name], 1, 1)) + 1), ROW(28:28)), COLUMN(F:F)), "")</f>
        <v>0</v>
      </c>
    </row>
    <row r="31" spans="3:7" x14ac:dyDescent="0.35">
      <c r="C31" t="str">
        <f t="array" ref="C31">IFERROR(INDEX(cash_flow_annual[#All], SMALL(IF(LOWER(cash_flow_annual[Company Name]) = LOWER(cash_flow_annual_filter!$B$2), ROW(cash_flow_annual[Company Name]) - ROW(INDEX(cash_flow_annual[Company Name], 1, 1)) + 1), ROW(29:29)), COLUMN(B:B)), "")</f>
        <v>7.Tiền thu lãi cho vay, cổ tức và lợi nhuận được chia</v>
      </c>
      <c r="D31" s="19">
        <f t="array" ref="D31">IFERROR(INDEX(cash_flow_annual[#All], SMALL(IF(LOWER(cash_flow_annual[Company Name]) = LOWER(cash_flow_annual_filter!$B$2), ROW(cash_flow_annual[Company Name]) - ROW(INDEX(cash_flow_annual[Company Name], 1, 1)) + 1), ROW(29:29)), COLUMN(C:C)), "")</f>
        <v>163385273</v>
      </c>
      <c r="E31" s="19">
        <f t="array" ref="E31">IFERROR(INDEX(cash_flow_annual[#All], SMALL(IF(LOWER(cash_flow_annual[Company Name]) = LOWER(cash_flow_annual_filter!$B$2), ROW(cash_flow_annual[Company Name]) - ROW(INDEX(cash_flow_annual[Company Name], 1, 1)) + 1), ROW(29:29)), COLUMN(D:D)), "")</f>
        <v>104012408</v>
      </c>
      <c r="F31" s="19">
        <f t="array" ref="F31">IFERROR(INDEX(cash_flow_annual[#All], SMALL(IF(LOWER(cash_flow_annual[Company Name]) = LOWER(cash_flow_annual_filter!$B$2), ROW(cash_flow_annual[Company Name]) - ROW(INDEX(cash_flow_annual[Company Name], 1, 1)) + 1), ROW(29:29)), COLUMN(E:E)), "")</f>
        <v>129442717</v>
      </c>
      <c r="G31" s="19">
        <f t="array" ref="G31">IFERROR(INDEX(cash_flow_annual[#All], SMALL(IF(LOWER(cash_flow_annual[Company Name]) = LOWER(cash_flow_annual_filter!$B$2), ROW(cash_flow_annual[Company Name]) - ROW(INDEX(cash_flow_annual[Company Name], 1, 1)) + 1), ROW(29:29)), COLUMN(F:F)), "")</f>
        <v>172486239</v>
      </c>
    </row>
    <row r="32" spans="3:7" x14ac:dyDescent="0.35">
      <c r="C32" t="str">
        <f t="array" ref="C32">IFERROR(INDEX(cash_flow_annual[#All], SMALL(IF(LOWER(cash_flow_annual[Company Name]) = LOWER(cash_flow_annual_filter!$B$2), ROW(cash_flow_annual[Company Name]) - ROW(INDEX(cash_flow_annual[Company Name], 1, 1)) + 1), ROW(30:30)), COLUMN(B:B)), "")</f>
        <v>Lưu chuyển tiền thuần từ hoạt động đầu tư</v>
      </c>
      <c r="D32" s="19">
        <f t="array" ref="D32">IFERROR(INDEX(cash_flow_annual[#All], SMALL(IF(LOWER(cash_flow_annual[Company Name]) = LOWER(cash_flow_annual_filter!$B$2), ROW(cash_flow_annual[Company Name]) - ROW(INDEX(cash_flow_annual[Company Name], 1, 1)) + 1), ROW(30:30)), COLUMN(C:C)), "")</f>
        <v>-580791327259</v>
      </c>
      <c r="E32" s="19">
        <f t="array" ref="E32">IFERROR(INDEX(cash_flow_annual[#All], SMALL(IF(LOWER(cash_flow_annual[Company Name]) = LOWER(cash_flow_annual_filter!$B$2), ROW(cash_flow_annual[Company Name]) - ROW(INDEX(cash_flow_annual[Company Name], 1, 1)) + 1), ROW(30:30)), COLUMN(D:D)), "")</f>
        <v>-288982473054</v>
      </c>
      <c r="F32" s="19">
        <f t="array" ref="F32">IFERROR(INDEX(cash_flow_annual[#All], SMALL(IF(LOWER(cash_flow_annual[Company Name]) = LOWER(cash_flow_annual_filter!$B$2), ROW(cash_flow_annual[Company Name]) - ROW(INDEX(cash_flow_annual[Company Name], 1, 1)) + 1), ROW(30:30)), COLUMN(E:E)), "")</f>
        <v>-13144924358</v>
      </c>
      <c r="G32" s="19">
        <f t="array" ref="G32">IFERROR(INDEX(cash_flow_annual[#All], SMALL(IF(LOWER(cash_flow_annual[Company Name]) = LOWER(cash_flow_annual_filter!$B$2), ROW(cash_flow_annual[Company Name]) - ROW(INDEX(cash_flow_annual[Company Name], 1, 1)) + 1), ROW(30:30)), COLUMN(F:F)), "")</f>
        <v>372486239</v>
      </c>
    </row>
    <row r="33" spans="3:7" x14ac:dyDescent="0.35">
      <c r="C33" t="str">
        <f t="array" ref="C33">IFERROR(INDEX(cash_flow_annual[#All], SMALL(IF(LOWER(cash_flow_annual[Company Name]) = LOWER(cash_flow_annual_filter!$B$2), ROW(cash_flow_annual[Company Name]) - ROW(INDEX(cash_flow_annual[Company Name], 1, 1)) + 1), ROW(31:31)), COLUMN(B:B)), "")</f>
        <v>III. Lưu chuyển tiền từ hoạt động tài chính</v>
      </c>
      <c r="D33" s="19">
        <f t="array" ref="D33">IFERROR(INDEX(cash_flow_annual[#All], SMALL(IF(LOWER(cash_flow_annual[Company Name]) = LOWER(cash_flow_annual_filter!$B$2), ROW(cash_flow_annual[Company Name]) - ROW(INDEX(cash_flow_annual[Company Name], 1, 1)) + 1), ROW(31:31)), COLUMN(C:C)), "")</f>
        <v>0</v>
      </c>
      <c r="E33" s="19">
        <f t="array" ref="E33">IFERROR(INDEX(cash_flow_annual[#All], SMALL(IF(LOWER(cash_flow_annual[Company Name]) = LOWER(cash_flow_annual_filter!$B$2), ROW(cash_flow_annual[Company Name]) - ROW(INDEX(cash_flow_annual[Company Name], 1, 1)) + 1), ROW(31:31)), COLUMN(D:D)), "")</f>
        <v>0</v>
      </c>
      <c r="F33" s="19">
        <f t="array" ref="F33">IFERROR(INDEX(cash_flow_annual[#All], SMALL(IF(LOWER(cash_flow_annual[Company Name]) = LOWER(cash_flow_annual_filter!$B$2), ROW(cash_flow_annual[Company Name]) - ROW(INDEX(cash_flow_annual[Company Name], 1, 1)) + 1), ROW(31:31)), COLUMN(E:E)), "")</f>
        <v>0</v>
      </c>
      <c r="G33" s="19">
        <f t="array" ref="G33">IFERROR(INDEX(cash_flow_annual[#All], SMALL(IF(LOWER(cash_flow_annual[Company Name]) = LOWER(cash_flow_annual_filter!$B$2), ROW(cash_flow_annual[Company Name]) - ROW(INDEX(cash_flow_annual[Company Name], 1, 1)) + 1), ROW(31:31)), COLUMN(F:F)), "")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7CFD-5DED-4936-97CD-FC373D5D71AA}">
  <dimension ref="A2:S33"/>
  <sheetViews>
    <sheetView workbookViewId="0">
      <selection activeCell="D3" sqref="D3:S3"/>
    </sheetView>
  </sheetViews>
  <sheetFormatPr defaultRowHeight="14.5" x14ac:dyDescent="0.35"/>
  <cols>
    <col min="1" max="1" width="18.1796875" customWidth="1"/>
    <col min="3" max="3" width="77.7265625" bestFit="1" customWidth="1"/>
    <col min="4" max="10" width="15.453125" bestFit="1" customWidth="1"/>
    <col min="11" max="13" width="16.453125" bestFit="1" customWidth="1"/>
    <col min="14" max="14" width="15.453125" bestFit="1" customWidth="1"/>
    <col min="15" max="16" width="16.453125" bestFit="1" customWidth="1"/>
    <col min="17" max="17" width="8" bestFit="1" customWidth="1"/>
    <col min="18" max="18" width="16.453125" bestFit="1" customWidth="1"/>
    <col min="19" max="19" width="8" bestFit="1" customWidth="1"/>
  </cols>
  <sheetData>
    <row r="2" spans="1:19" ht="15.5" x14ac:dyDescent="0.35">
      <c r="A2" s="13" t="s">
        <v>137</v>
      </c>
      <c r="B2" s="13" t="str">
        <f>DCF!C2</f>
        <v>TTA</v>
      </c>
      <c r="C2" s="16"/>
      <c r="D2" s="17"/>
      <c r="E2" s="17"/>
      <c r="F2" s="17"/>
      <c r="G2" s="17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ht="18.5" x14ac:dyDescent="0.45">
      <c r="A3" s="9"/>
      <c r="B3" s="10"/>
      <c r="C3" s="15" t="s">
        <v>138</v>
      </c>
      <c r="D3" s="20" t="str">
        <f>cash_flow_quarter[[#Headers],[2020_q3]]</f>
        <v>2020_q3</v>
      </c>
      <c r="E3" s="20" t="str">
        <f>cash_flow_quarter[[#Headers],[2020_q4]]</f>
        <v>2020_q4</v>
      </c>
      <c r="F3" s="20" t="str">
        <f>cash_flow_quarter[[#Headers],[2021_q1]]</f>
        <v>2021_q1</v>
      </c>
      <c r="G3" s="20" t="str">
        <f>cash_flow_quarter[[#Headers],[2021_q2]]</f>
        <v>2021_q2</v>
      </c>
      <c r="H3" s="20" t="str">
        <f>cash_flow_quarter[[#Headers],[2021_q3]]</f>
        <v>2021_q3</v>
      </c>
      <c r="I3" s="20" t="str">
        <f>cash_flow_quarter[[#Headers],[2021_q4]]</f>
        <v>2021_q4</v>
      </c>
      <c r="J3" s="20" t="str">
        <f>cash_flow_quarter[[#Headers],[2022_q1]]</f>
        <v>2022_q1</v>
      </c>
      <c r="K3" s="20" t="str">
        <f>cash_flow_quarter[[#Headers],[2022_q2]]</f>
        <v>2022_q2</v>
      </c>
      <c r="L3" s="20" t="str">
        <f>cash_flow_quarter[[#Headers],[2022_q3]]</f>
        <v>2022_q3</v>
      </c>
      <c r="M3" s="20" t="str">
        <f>cash_flow_quarter[[#Headers],[2022_q4]]</f>
        <v>2022_q4</v>
      </c>
      <c r="N3" s="20" t="str">
        <f>cash_flow_quarter[[#Headers],[2023_q1]]</f>
        <v>2023_q1</v>
      </c>
      <c r="O3" s="20" t="str">
        <f>cash_flow_quarter[[#Headers],[2023_q2]]</f>
        <v>2023_q2</v>
      </c>
      <c r="P3" s="20" t="str">
        <f>cash_flow_quarter[[#Headers],[2023_q3]]</f>
        <v>2023_q3</v>
      </c>
      <c r="Q3" s="20" t="str">
        <f>cash_flow_quarter[[#Headers],[2023_q4]]</f>
        <v>2023_q4</v>
      </c>
      <c r="R3" s="20" t="str">
        <f>cash_flow_quarter[[#Headers],[2024_q1]]</f>
        <v>2024_q1</v>
      </c>
      <c r="S3" s="20" t="str">
        <f>cash_flow_quarter[[#Headers],[2024_q2]]</f>
        <v>2024_q2</v>
      </c>
    </row>
    <row r="4" spans="1:19" x14ac:dyDescent="0.35">
      <c r="C4" t="str">
        <f t="array" ref="C4">IFERROR(INDEX(cash_flow_quarter[#All], SMALL(IF(LOWER(cash_flow_quarter[Company Name]) = LOWER(cash_flow_quarter_filter!$B$2), ROW(cash_flow_quarter[Company Name]) - ROW(INDEX(cash_flow_quarter[Company Name], 1, 1)) + 1), ROW(2:2)), COLUMN(B:B)), "")</f>
        <v>I. Lưu chuyển tiền từ hoạt động kinh doanh</v>
      </c>
      <c r="D4" s="19">
        <f t="array" ref="D4">IFERROR(INDEX(cash_flow_quarter[#All], SMALL(IF(LOWER(cash_flow_quarter[Company Name]) = LOWER(cash_flow_quarter_filter!$B$2), ROW(cash_flow_quarter[Company Name]) - ROW(INDEX(cash_flow_quarter[Company Name], 1, 1)) + 1), ROW(2:2)), COLUMN(C:C)), "")</f>
        <v>0</v>
      </c>
      <c r="E4" s="19">
        <f t="array" ref="E4">IFERROR(INDEX(cash_flow_quarter[#All], SMALL(IF(LOWER(cash_flow_quarter[Company Name]) = LOWER(cash_flow_quarter_filter!$B$2), ROW(cash_flow_quarter[Company Name]) - ROW(INDEX(cash_flow_quarter[Company Name], 1, 1)) + 1), ROW(2:2)), COLUMN(D:D)), "")</f>
        <v>0</v>
      </c>
      <c r="F4" s="19">
        <f t="array" ref="F4">IFERROR(INDEX(cash_flow_quarter[#All], SMALL(IF(LOWER(cash_flow_quarter[Company Name]) = LOWER(cash_flow_quarter_filter!$B$2), ROW(cash_flow_quarter[Company Name]) - ROW(INDEX(cash_flow_quarter[Company Name], 1, 1)) + 1), ROW(2:2)), COLUMN(E:E)), "")</f>
        <v>0</v>
      </c>
      <c r="G4" s="19">
        <f t="array" ref="G4">IFERROR(INDEX(cash_flow_quarter[#All], SMALL(IF(LOWER(cash_flow_quarter[Company Name]) = LOWER(cash_flow_quarter_filter!$B$2), ROW(cash_flow_quarter[Company Name]) - ROW(INDEX(cash_flow_quarter[Company Name], 1, 1)) + 1), ROW(2:2)), COLUMN(F:F)), "")</f>
        <v>0</v>
      </c>
      <c r="H4" s="19">
        <f t="array" ref="H4">IFERROR(INDEX(cash_flow_quarter[#All], SMALL(IF(LOWER(cash_flow_quarter[Company Name]) = LOWER(cash_flow_quarter_filter!$B$2), ROW(cash_flow_quarter[Company Name]) - ROW(INDEX(cash_flow_quarter[Company Name], 1, 1)) + 1), ROW(2:2)), COLUMN(G:G)), "")</f>
        <v>0</v>
      </c>
      <c r="I4" s="19">
        <f t="array" ref="I4">IFERROR(INDEX(cash_flow_quarter[#All], SMALL(IF(LOWER(cash_flow_quarter[Company Name]) = LOWER(cash_flow_quarter_filter!$B$2), ROW(cash_flow_quarter[Company Name]) - ROW(INDEX(cash_flow_quarter[Company Name], 1, 1)) + 1), ROW(2:2)), COLUMN(H:H)), "")</f>
        <v>0</v>
      </c>
      <c r="J4" s="19">
        <f t="array" ref="J4">IFERROR(INDEX(cash_flow_quarter[#All], SMALL(IF(LOWER(cash_flow_quarter[Company Name]) = LOWER(cash_flow_quarter_filter!$B$2), ROW(cash_flow_quarter[Company Name]) - ROW(INDEX(cash_flow_quarter[Company Name], 1, 1)) + 1), ROW(2:2)), COLUMN(I:I)), "")</f>
        <v>0</v>
      </c>
      <c r="K4" s="19">
        <f t="array" ref="K4">IFERROR(INDEX(cash_flow_quarter[#All], SMALL(IF(LOWER(cash_flow_quarter[Company Name]) = LOWER(cash_flow_quarter_filter!$B$2), ROW(cash_flow_quarter[Company Name]) - ROW(INDEX(cash_flow_quarter[Company Name], 1, 1)) + 1), ROW(2:2)), COLUMN(J:J)), "")</f>
        <v>0</v>
      </c>
      <c r="L4" s="19">
        <f t="array" ref="L4">IFERROR(INDEX(cash_flow_quarter[#All], SMALL(IF(LOWER(cash_flow_quarter[Company Name]) = LOWER(cash_flow_quarter_filter!$B$2), ROW(cash_flow_quarter[Company Name]) - ROW(INDEX(cash_flow_quarter[Company Name], 1, 1)) + 1), ROW(2:2)), COLUMN(K:K)), "")</f>
        <v>0</v>
      </c>
      <c r="M4" s="19">
        <f t="array" ref="M4">IFERROR(INDEX(cash_flow_quarter[#All], SMALL(IF(LOWER(cash_flow_quarter[Company Name]) = LOWER(cash_flow_quarter_filter!$B$2), ROW(cash_flow_quarter[Company Name]) - ROW(INDEX(cash_flow_quarter[Company Name], 1, 1)) + 1), ROW(2:2)), COLUMN(L:L)), "")</f>
        <v>0</v>
      </c>
      <c r="N4" s="19">
        <f t="array" ref="N4">IFERROR(INDEX(cash_flow_quarter[#All], SMALL(IF(LOWER(cash_flow_quarter[Company Name]) = LOWER(cash_flow_quarter_filter!$B$2), ROW(cash_flow_quarter[Company Name]) - ROW(INDEX(cash_flow_quarter[Company Name], 1, 1)) + 1), ROW(2:2)), COLUMN(M:M)), "")</f>
        <v>0</v>
      </c>
      <c r="O4" s="19">
        <f t="array" ref="O4">IFERROR(INDEX(cash_flow_quarter[#All], SMALL(IF(LOWER(cash_flow_quarter[Company Name]) = LOWER(cash_flow_quarter_filter!$B$2), ROW(cash_flow_quarter[Company Name]) - ROW(INDEX(cash_flow_quarter[Company Name], 1, 1)) + 1), ROW(2:2)), COLUMN(N:N)), "")</f>
        <v>0</v>
      </c>
      <c r="P4" s="19">
        <f t="array" ref="P4">IFERROR(INDEX(cash_flow_quarter[#All], SMALL(IF(LOWER(cash_flow_quarter[Company Name]) = LOWER(cash_flow_quarter_filter!$B$2), ROW(cash_flow_quarter[Company Name]) - ROW(INDEX(cash_flow_quarter[Company Name], 1, 1)) + 1), ROW(2:2)), COLUMN(O:O)), "")</f>
        <v>0</v>
      </c>
      <c r="Q4" s="19">
        <f t="array" ref="Q4">IFERROR(INDEX(cash_flow_quarter[#All], SMALL(IF(LOWER(cash_flow_quarter[Company Name]) = LOWER(cash_flow_quarter_filter!$B$2), ROW(cash_flow_quarter[Company Name]) - ROW(INDEX(cash_flow_quarter[Company Name], 1, 1)) + 1), ROW(2:2)), COLUMN(P:P)), "")</f>
        <v>0</v>
      </c>
      <c r="R4" s="19">
        <f t="array" ref="R4">IFERROR(INDEX(cash_flow_quarter[#All], SMALL(IF(LOWER(cash_flow_quarter[Company Name]) = LOWER(cash_flow_quarter_filter!$B$2), ROW(cash_flow_quarter[Company Name]) - ROW(INDEX(cash_flow_quarter[Company Name], 1, 1)) + 1), ROW(2:2)), COLUMN(Q:Q)), "")</f>
        <v>0</v>
      </c>
      <c r="S4" s="19">
        <f t="array" ref="S4">IFERROR(INDEX(cash_flow_quarter[#All], SMALL(IF(LOWER(cash_flow_quarter[Company Name]) = LOWER(cash_flow_quarter_filter!$B$2), ROW(cash_flow_quarter[Company Name]) - ROW(INDEX(cash_flow_quarter[Company Name], 1, 1)) + 1), ROW(2:2)), COLUMN(R:R)), "")</f>
        <v>0</v>
      </c>
    </row>
    <row r="5" spans="1:19" x14ac:dyDescent="0.35">
      <c r="C5" t="str">
        <f t="array" ref="C5">IFERROR(INDEX(cash_flow_quarter[#All], SMALL(IF(LOWER(cash_flow_quarter[Company Name]) = LOWER(cash_flow_quarter_filter!$B$2), ROW(cash_flow_quarter[Company Name]) - ROW(INDEX(cash_flow_quarter[Company Name], 1, 1)) + 1), ROW(3:3)), COLUMN(B:B)), "")</f>
        <v>1. Lợi nhuận trước thuế</v>
      </c>
      <c r="D5" s="19">
        <f t="array" ref="D5">IFERROR(INDEX(cash_flow_quarter[#All], SMALL(IF(LOWER(cash_flow_quarter[Company Name]) = LOWER(cash_flow_quarter_filter!$B$2), ROW(cash_flow_quarter[Company Name]) - ROW(INDEX(cash_flow_quarter[Company Name], 1, 1)) + 1), ROW(3:3)), COLUMN(C:C)), "")</f>
        <v>107291794364</v>
      </c>
      <c r="E5" s="19">
        <f t="array" ref="E5">IFERROR(INDEX(cash_flow_quarter[#All], SMALL(IF(LOWER(cash_flow_quarter[Company Name]) = LOWER(cash_flow_quarter_filter!$B$2), ROW(cash_flow_quarter[Company Name]) - ROW(INDEX(cash_flow_quarter[Company Name], 1, 1)) + 1), ROW(3:3)), COLUMN(D:D)), "")</f>
        <v>142565711634</v>
      </c>
      <c r="F5" s="19">
        <f t="array" ref="F5">IFERROR(INDEX(cash_flow_quarter[#All], SMALL(IF(LOWER(cash_flow_quarter[Company Name]) = LOWER(cash_flow_quarter_filter!$B$2), ROW(cash_flow_quarter[Company Name]) - ROW(INDEX(cash_flow_quarter[Company Name], 1, 1)) + 1), ROW(3:3)), COLUMN(E:E)), "")</f>
        <v>33840194650</v>
      </c>
      <c r="G5" s="19">
        <f t="array" ref="G5">IFERROR(INDEX(cash_flow_quarter[#All], SMALL(IF(LOWER(cash_flow_quarter[Company Name]) = LOWER(cash_flow_quarter_filter!$B$2), ROW(cash_flow_quarter[Company Name]) - ROW(INDEX(cash_flow_quarter[Company Name], 1, 1)) + 1), ROW(3:3)), COLUMN(F:F)), "")</f>
        <v>81440044834</v>
      </c>
      <c r="H5" s="19">
        <f t="array" ref="H5">IFERROR(INDEX(cash_flow_quarter[#All], SMALL(IF(LOWER(cash_flow_quarter[Company Name]) = LOWER(cash_flow_quarter_filter!$B$2), ROW(cash_flow_quarter[Company Name]) - ROW(INDEX(cash_flow_quarter[Company Name], 1, 1)) + 1), ROW(3:3)), COLUMN(G:G)), "")</f>
        <v>111755738460</v>
      </c>
      <c r="I5" s="19">
        <f t="array" ref="I5">IFERROR(INDEX(cash_flow_quarter[#All], SMALL(IF(LOWER(cash_flow_quarter[Company Name]) = LOWER(cash_flow_quarter_filter!$B$2), ROW(cash_flow_quarter[Company Name]) - ROW(INDEX(cash_flow_quarter[Company Name], 1, 1)) + 1), ROW(3:3)), COLUMN(H:H)), "")</f>
        <v>139987202645</v>
      </c>
      <c r="J5" s="19">
        <f t="array" ref="J5">IFERROR(INDEX(cash_flow_quarter[#All], SMALL(IF(LOWER(cash_flow_quarter[Company Name]) = LOWER(cash_flow_quarter_filter!$B$2), ROW(cash_flow_quarter[Company Name]) - ROW(INDEX(cash_flow_quarter[Company Name], 1, 1)) + 1), ROW(3:3)), COLUMN(I:I)), "")</f>
        <v>61214810257</v>
      </c>
      <c r="K5" s="19">
        <f t="array" ref="K5">IFERROR(INDEX(cash_flow_quarter[#All], SMALL(IF(LOWER(cash_flow_quarter[Company Name]) = LOWER(cash_flow_quarter_filter!$B$2), ROW(cash_flow_quarter[Company Name]) - ROW(INDEX(cash_flow_quarter[Company Name], 1, 1)) + 1), ROW(3:3)), COLUMN(J:J)), "")</f>
        <v>142494354049</v>
      </c>
      <c r="L5" s="19">
        <f t="array" ref="L5">IFERROR(INDEX(cash_flow_quarter[#All], SMALL(IF(LOWER(cash_flow_quarter[Company Name]) = LOWER(cash_flow_quarter_filter!$B$2), ROW(cash_flow_quarter[Company Name]) - ROW(INDEX(cash_flow_quarter[Company Name], 1, 1)) + 1), ROW(3:3)), COLUMN(K:K)), "")</f>
        <v>198717208200</v>
      </c>
      <c r="M5" s="19">
        <f t="array" ref="M5">IFERROR(INDEX(cash_flow_quarter[#All], SMALL(IF(LOWER(cash_flow_quarter[Company Name]) = LOWER(cash_flow_quarter_filter!$B$2), ROW(cash_flow_quarter[Company Name]) - ROW(INDEX(cash_flow_quarter[Company Name], 1, 1)) + 1), ROW(3:3)), COLUMN(L:L)), "")</f>
        <v>238873727038</v>
      </c>
      <c r="N5" s="19">
        <f t="array" ref="N5">IFERROR(INDEX(cash_flow_quarter[#All], SMALL(IF(LOWER(cash_flow_quarter[Company Name]) = LOWER(cash_flow_quarter_filter!$B$2), ROW(cash_flow_quarter[Company Name]) - ROW(INDEX(cash_flow_quarter[Company Name], 1, 1)) + 1), ROW(3:3)), COLUMN(M:M)), "")</f>
        <v>26400964070</v>
      </c>
      <c r="O5" s="19">
        <f t="array" ref="O5">IFERROR(INDEX(cash_flow_quarter[#All], SMALL(IF(LOWER(cash_flow_quarter[Company Name]) = LOWER(cash_flow_quarter_filter!$B$2), ROW(cash_flow_quarter[Company Name]) - ROW(INDEX(cash_flow_quarter[Company Name], 1, 1)) + 1), ROW(3:3)), COLUMN(N:N)), "")</f>
        <v>59614168650</v>
      </c>
      <c r="P5" s="19">
        <f t="array" ref="P5">IFERROR(INDEX(cash_flow_quarter[#All], SMALL(IF(LOWER(cash_flow_quarter[Company Name]) = LOWER(cash_flow_quarter_filter!$B$2), ROW(cash_flow_quarter[Company Name]) - ROW(INDEX(cash_flow_quarter[Company Name], 1, 1)) + 1), ROW(3:3)), COLUMN(O:O)), "")</f>
        <v>0</v>
      </c>
      <c r="Q5" s="19">
        <f t="array" ref="Q5">IFERROR(INDEX(cash_flow_quarter[#All], SMALL(IF(LOWER(cash_flow_quarter[Company Name]) = LOWER(cash_flow_quarter_filter!$B$2), ROW(cash_flow_quarter[Company Name]) - ROW(INDEX(cash_flow_quarter[Company Name], 1, 1)) + 1), ROW(3:3)), COLUMN(P:P)), "")</f>
        <v>121032679343</v>
      </c>
      <c r="R5" s="19">
        <f t="array" ref="R5">IFERROR(INDEX(cash_flow_quarter[#All], SMALL(IF(LOWER(cash_flow_quarter[Company Name]) = LOWER(cash_flow_quarter_filter!$B$2), ROW(cash_flow_quarter[Company Name]) - ROW(INDEX(cash_flow_quarter[Company Name], 1, 1)) + 1), ROW(3:3)), COLUMN(Q:Q)), "")</f>
        <v>38173595647</v>
      </c>
      <c r="S5" s="19">
        <f t="array" ref="S5">IFERROR(INDEX(cash_flow_quarter[#All], SMALL(IF(LOWER(cash_flow_quarter[Company Name]) = LOWER(cash_flow_quarter_filter!$B$2), ROW(cash_flow_quarter[Company Name]) - ROW(INDEX(cash_flow_quarter[Company Name], 1, 1)) + 1), ROW(3:3)), COLUMN(R:R)), "")</f>
        <v>0</v>
      </c>
    </row>
    <row r="6" spans="1:19" x14ac:dyDescent="0.35">
      <c r="C6" t="str">
        <f t="array" ref="C6">IFERROR(INDEX(cash_flow_quarter[#All], SMALL(IF(LOWER(cash_flow_quarter[Company Name]) = LOWER(cash_flow_quarter_filter!$B$2), ROW(cash_flow_quarter[Company Name]) - ROW(INDEX(cash_flow_quarter[Company Name], 1, 1)) + 1), ROW(4:4)), COLUMN(B:B)), "")</f>
        <v>2. Điều chỉnh cho các khoản</v>
      </c>
      <c r="D6" s="19">
        <f t="array" ref="D6">IFERROR(INDEX(cash_flow_quarter[#All], SMALL(IF(LOWER(cash_flow_quarter[Company Name]) = LOWER(cash_flow_quarter_filter!$B$2), ROW(cash_flow_quarter[Company Name]) - ROW(INDEX(cash_flow_quarter[Company Name], 1, 1)) + 1), ROW(4:4)), COLUMN(C:C)), "")</f>
        <v>0</v>
      </c>
      <c r="E6" s="19">
        <f t="array" ref="E6">IFERROR(INDEX(cash_flow_quarter[#All], SMALL(IF(LOWER(cash_flow_quarter[Company Name]) = LOWER(cash_flow_quarter_filter!$B$2), ROW(cash_flow_quarter[Company Name]) - ROW(INDEX(cash_flow_quarter[Company Name], 1, 1)) + 1), ROW(4:4)), COLUMN(D:D)), "")</f>
        <v>0</v>
      </c>
      <c r="F6" s="19">
        <f t="array" ref="F6">IFERROR(INDEX(cash_flow_quarter[#All], SMALL(IF(LOWER(cash_flow_quarter[Company Name]) = LOWER(cash_flow_quarter_filter!$B$2), ROW(cash_flow_quarter[Company Name]) - ROW(INDEX(cash_flow_quarter[Company Name], 1, 1)) + 1), ROW(4:4)), COLUMN(E:E)), "")</f>
        <v>0</v>
      </c>
      <c r="G6" s="19">
        <f t="array" ref="G6">IFERROR(INDEX(cash_flow_quarter[#All], SMALL(IF(LOWER(cash_flow_quarter[Company Name]) = LOWER(cash_flow_quarter_filter!$B$2), ROW(cash_flow_quarter[Company Name]) - ROW(INDEX(cash_flow_quarter[Company Name], 1, 1)) + 1), ROW(4:4)), COLUMN(F:F)), "")</f>
        <v>0</v>
      </c>
      <c r="H6" s="19">
        <f t="array" ref="H6">IFERROR(INDEX(cash_flow_quarter[#All], SMALL(IF(LOWER(cash_flow_quarter[Company Name]) = LOWER(cash_flow_quarter_filter!$B$2), ROW(cash_flow_quarter[Company Name]) - ROW(INDEX(cash_flow_quarter[Company Name], 1, 1)) + 1), ROW(4:4)), COLUMN(G:G)), "")</f>
        <v>0</v>
      </c>
      <c r="I6" s="19">
        <f t="array" ref="I6">IFERROR(INDEX(cash_flow_quarter[#All], SMALL(IF(LOWER(cash_flow_quarter[Company Name]) = LOWER(cash_flow_quarter_filter!$B$2), ROW(cash_flow_quarter[Company Name]) - ROW(INDEX(cash_flow_quarter[Company Name], 1, 1)) + 1), ROW(4:4)), COLUMN(H:H)), "")</f>
        <v>0</v>
      </c>
      <c r="J6" s="19">
        <f t="array" ref="J6">IFERROR(INDEX(cash_flow_quarter[#All], SMALL(IF(LOWER(cash_flow_quarter[Company Name]) = LOWER(cash_flow_quarter_filter!$B$2), ROW(cash_flow_quarter[Company Name]) - ROW(INDEX(cash_flow_quarter[Company Name], 1, 1)) + 1), ROW(4:4)), COLUMN(I:I)), "")</f>
        <v>0</v>
      </c>
      <c r="K6" s="19">
        <f t="array" ref="K6">IFERROR(INDEX(cash_flow_quarter[#All], SMALL(IF(LOWER(cash_flow_quarter[Company Name]) = LOWER(cash_flow_quarter_filter!$B$2), ROW(cash_flow_quarter[Company Name]) - ROW(INDEX(cash_flow_quarter[Company Name], 1, 1)) + 1), ROW(4:4)), COLUMN(J:J)), "")</f>
        <v>0</v>
      </c>
      <c r="L6" s="19">
        <f t="array" ref="L6">IFERROR(INDEX(cash_flow_quarter[#All], SMALL(IF(LOWER(cash_flow_quarter[Company Name]) = LOWER(cash_flow_quarter_filter!$B$2), ROW(cash_flow_quarter[Company Name]) - ROW(INDEX(cash_flow_quarter[Company Name], 1, 1)) + 1), ROW(4:4)), COLUMN(K:K)), "")</f>
        <v>0</v>
      </c>
      <c r="M6" s="19">
        <f t="array" ref="M6">IFERROR(INDEX(cash_flow_quarter[#All], SMALL(IF(LOWER(cash_flow_quarter[Company Name]) = LOWER(cash_flow_quarter_filter!$B$2), ROW(cash_flow_quarter[Company Name]) - ROW(INDEX(cash_flow_quarter[Company Name], 1, 1)) + 1), ROW(4:4)), COLUMN(L:L)), "")</f>
        <v>0</v>
      </c>
      <c r="N6" s="19">
        <f t="array" ref="N6">IFERROR(INDEX(cash_flow_quarter[#All], SMALL(IF(LOWER(cash_flow_quarter[Company Name]) = LOWER(cash_flow_quarter_filter!$B$2), ROW(cash_flow_quarter[Company Name]) - ROW(INDEX(cash_flow_quarter[Company Name], 1, 1)) + 1), ROW(4:4)), COLUMN(M:M)), "")</f>
        <v>0</v>
      </c>
      <c r="O6" s="19">
        <f t="array" ref="O6">IFERROR(INDEX(cash_flow_quarter[#All], SMALL(IF(LOWER(cash_flow_quarter[Company Name]) = LOWER(cash_flow_quarter_filter!$B$2), ROW(cash_flow_quarter[Company Name]) - ROW(INDEX(cash_flow_quarter[Company Name], 1, 1)) + 1), ROW(4:4)), COLUMN(N:N)), "")</f>
        <v>0</v>
      </c>
      <c r="P6" s="19">
        <f t="array" ref="P6">IFERROR(INDEX(cash_flow_quarter[#All], SMALL(IF(LOWER(cash_flow_quarter[Company Name]) = LOWER(cash_flow_quarter_filter!$B$2), ROW(cash_flow_quarter[Company Name]) - ROW(INDEX(cash_flow_quarter[Company Name], 1, 1)) + 1), ROW(4:4)), COLUMN(O:O)), "")</f>
        <v>0</v>
      </c>
      <c r="Q6" s="19">
        <f t="array" ref="Q6">IFERROR(INDEX(cash_flow_quarter[#All], SMALL(IF(LOWER(cash_flow_quarter[Company Name]) = LOWER(cash_flow_quarter_filter!$B$2), ROW(cash_flow_quarter[Company Name]) - ROW(INDEX(cash_flow_quarter[Company Name], 1, 1)) + 1), ROW(4:4)), COLUMN(P:P)), "")</f>
        <v>0</v>
      </c>
      <c r="R6" s="19">
        <f t="array" ref="R6">IFERROR(INDEX(cash_flow_quarter[#All], SMALL(IF(LOWER(cash_flow_quarter[Company Name]) = LOWER(cash_flow_quarter_filter!$B$2), ROW(cash_flow_quarter[Company Name]) - ROW(INDEX(cash_flow_quarter[Company Name], 1, 1)) + 1), ROW(4:4)), COLUMN(Q:Q)), "")</f>
        <v>0</v>
      </c>
      <c r="S6" s="19">
        <f t="array" ref="S6">IFERROR(INDEX(cash_flow_quarter[#All], SMALL(IF(LOWER(cash_flow_quarter[Company Name]) = LOWER(cash_flow_quarter_filter!$B$2), ROW(cash_flow_quarter[Company Name]) - ROW(INDEX(cash_flow_quarter[Company Name], 1, 1)) + 1), ROW(4:4)), COLUMN(R:R)), "")</f>
        <v>0</v>
      </c>
    </row>
    <row r="7" spans="1:19" x14ac:dyDescent="0.35">
      <c r="C7" t="str">
        <f t="array" ref="C7">IFERROR(INDEX(cash_flow_quarter[#All], SMALL(IF(LOWER(cash_flow_quarter[Company Name]) = LOWER(cash_flow_quarter_filter!$B$2), ROW(cash_flow_quarter[Company Name]) - ROW(INDEX(cash_flow_quarter[Company Name], 1, 1)) + 1), ROW(5:5)), COLUMN(B:B)), "")</f>
        <v>- Khấu hao TSCĐ và BĐSĐT</v>
      </c>
      <c r="D7" s="19">
        <f t="array" ref="D7">IFERROR(INDEX(cash_flow_quarter[#All], SMALL(IF(LOWER(cash_flow_quarter[Company Name]) = LOWER(cash_flow_quarter_filter!$B$2), ROW(cash_flow_quarter[Company Name]) - ROW(INDEX(cash_flow_quarter[Company Name], 1, 1)) + 1), ROW(5:5)), COLUMN(C:C)), "")</f>
        <v>76476068703</v>
      </c>
      <c r="E7" s="19">
        <f t="array" ref="E7">IFERROR(INDEX(cash_flow_quarter[#All], SMALL(IF(LOWER(cash_flow_quarter[Company Name]) = LOWER(cash_flow_quarter_filter!$B$2), ROW(cash_flow_quarter[Company Name]) - ROW(INDEX(cash_flow_quarter[Company Name], 1, 1)) + 1), ROW(5:5)), COLUMN(D:D)), "")</f>
        <v>114968091604</v>
      </c>
      <c r="F7" s="19">
        <f t="array" ref="F7">IFERROR(INDEX(cash_flow_quarter[#All], SMALL(IF(LOWER(cash_flow_quarter[Company Name]) = LOWER(cash_flow_quarter_filter!$B$2), ROW(cash_flow_quarter[Company Name]) - ROW(INDEX(cash_flow_quarter[Company Name], 1, 1)) + 1), ROW(5:5)), COLUMN(E:E)), "")</f>
        <v>51793423457</v>
      </c>
      <c r="G7" s="19">
        <f t="array" ref="G7">IFERROR(INDEX(cash_flow_quarter[#All], SMALL(IF(LOWER(cash_flow_quarter[Company Name]) = LOWER(cash_flow_quarter_filter!$B$2), ROW(cash_flow_quarter[Company Name]) - ROW(INDEX(cash_flow_quarter[Company Name], 1, 1)) + 1), ROW(5:5)), COLUMN(F:F)), "")</f>
        <v>103586846916</v>
      </c>
      <c r="H7" s="19">
        <f t="array" ref="H7">IFERROR(INDEX(cash_flow_quarter[#All], SMALL(IF(LOWER(cash_flow_quarter[Company Name]) = LOWER(cash_flow_quarter_filter!$B$2), ROW(cash_flow_quarter[Company Name]) - ROW(INDEX(cash_flow_quarter[Company Name], 1, 1)) + 1), ROW(5:5)), COLUMN(G:G)), "")</f>
        <v>155380270374</v>
      </c>
      <c r="I7" s="19">
        <f t="array" ref="I7">IFERROR(INDEX(cash_flow_quarter[#All], SMALL(IF(LOWER(cash_flow_quarter[Company Name]) = LOWER(cash_flow_quarter_filter!$B$2), ROW(cash_flow_quarter[Company Name]) - ROW(INDEX(cash_flow_quarter[Company Name], 1, 1)) + 1), ROW(5:5)), COLUMN(H:H)), "")</f>
        <v>207226446552</v>
      </c>
      <c r="J7" s="19">
        <f t="array" ref="J7">IFERROR(INDEX(cash_flow_quarter[#All], SMALL(IF(LOWER(cash_flow_quarter[Company Name]) = LOWER(cash_flow_quarter_filter!$B$2), ROW(cash_flow_quarter[Company Name]) - ROW(INDEX(cash_flow_quarter[Company Name], 1, 1)) + 1), ROW(5:5)), COLUMN(I:I)), "")</f>
        <v>51738655648</v>
      </c>
      <c r="K7" s="19">
        <f t="array" ref="K7">IFERROR(INDEX(cash_flow_quarter[#All], SMALL(IF(LOWER(cash_flow_quarter[Company Name]) = LOWER(cash_flow_quarter_filter!$B$2), ROW(cash_flow_quarter[Company Name]) - ROW(INDEX(cash_flow_quarter[Company Name], 1, 1)) + 1), ROW(5:5)), COLUMN(J:J)), "")</f>
        <v>103477311296</v>
      </c>
      <c r="L7" s="19">
        <f t="array" ref="L7">IFERROR(INDEX(cash_flow_quarter[#All], SMALL(IF(LOWER(cash_flow_quarter[Company Name]) = LOWER(cash_flow_quarter_filter!$B$2), ROW(cash_flow_quarter[Company Name]) - ROW(INDEX(cash_flow_quarter[Company Name], 1, 1)) + 1), ROW(5:5)), COLUMN(K:K)), "")</f>
        <v>155591086930</v>
      </c>
      <c r="M7" s="19">
        <f t="array" ref="M7">IFERROR(INDEX(cash_flow_quarter[#All], SMALL(IF(LOWER(cash_flow_quarter[Company Name]) = LOWER(cash_flow_quarter_filter!$B$2), ROW(cash_flow_quarter[Company Name]) - ROW(INDEX(cash_flow_quarter[Company Name], 1, 1)) + 1), ROW(5:5)), COLUMN(L:L)), "")</f>
        <v>205959572045</v>
      </c>
      <c r="N7" s="19">
        <f t="array" ref="N7">IFERROR(INDEX(cash_flow_quarter[#All], SMALL(IF(LOWER(cash_flow_quarter[Company Name]) = LOWER(cash_flow_quarter_filter!$B$2), ROW(cash_flow_quarter[Company Name]) - ROW(INDEX(cash_flow_quarter[Company Name], 1, 1)) + 1), ROW(5:5)), COLUMN(M:M)), "")</f>
        <v>51436251166</v>
      </c>
      <c r="O7" s="19">
        <f t="array" ref="O7">IFERROR(INDEX(cash_flow_quarter[#All], SMALL(IF(LOWER(cash_flow_quarter[Company Name]) = LOWER(cash_flow_quarter_filter!$B$2), ROW(cash_flow_quarter[Company Name]) - ROW(INDEX(cash_flow_quarter[Company Name], 1, 1)) + 1), ROW(5:5)), COLUMN(N:N)), "")</f>
        <v>102872502332</v>
      </c>
      <c r="P7" s="19">
        <f t="array" ref="P7">IFERROR(INDEX(cash_flow_quarter[#All], SMALL(IF(LOWER(cash_flow_quarter[Company Name]) = LOWER(cash_flow_quarter_filter!$B$2), ROW(cash_flow_quarter[Company Name]) - ROW(INDEX(cash_flow_quarter[Company Name], 1, 1)) + 1), ROW(5:5)), COLUMN(O:O)), "")</f>
        <v>0</v>
      </c>
      <c r="Q7" s="19">
        <f t="array" ref="Q7">IFERROR(INDEX(cash_flow_quarter[#All], SMALL(IF(LOWER(cash_flow_quarter[Company Name]) = LOWER(cash_flow_quarter_filter!$B$2), ROW(cash_flow_quarter[Company Name]) - ROW(INDEX(cash_flow_quarter[Company Name], 1, 1)) + 1), ROW(5:5)), COLUMN(P:P)), "")</f>
        <v>205742815269</v>
      </c>
      <c r="R7" s="19">
        <f t="array" ref="R7">IFERROR(INDEX(cash_flow_quarter[#All], SMALL(IF(LOWER(cash_flow_quarter[Company Name]) = LOWER(cash_flow_quarter_filter!$B$2), ROW(cash_flow_quarter[Company Name]) - ROW(INDEX(cash_flow_quarter[Company Name], 1, 1)) + 1), ROW(5:5)), COLUMN(Q:Q)), "")</f>
        <v>51432182984</v>
      </c>
      <c r="S7" s="19">
        <f t="array" ref="S7">IFERROR(INDEX(cash_flow_quarter[#All], SMALL(IF(LOWER(cash_flow_quarter[Company Name]) = LOWER(cash_flow_quarter_filter!$B$2), ROW(cash_flow_quarter[Company Name]) - ROW(INDEX(cash_flow_quarter[Company Name], 1, 1)) + 1), ROW(5:5)), COLUMN(R:R)), "")</f>
        <v>0</v>
      </c>
    </row>
    <row r="8" spans="1:19" x14ac:dyDescent="0.35">
      <c r="C8" t="str">
        <f t="array" ref="C8">IFERROR(INDEX(cash_flow_quarter[#All], SMALL(IF(LOWER(cash_flow_quarter[Company Name]) = LOWER(cash_flow_quarter_filter!$B$2), ROW(cash_flow_quarter[Company Name]) - ROW(INDEX(cash_flow_quarter[Company Name], 1, 1)) + 1), ROW(6:6)), COLUMN(B:B)), "")</f>
        <v>- Các khoản dự phòng</v>
      </c>
      <c r="D8" s="19">
        <f t="array" ref="D8">IFERROR(INDEX(cash_flow_quarter[#All], SMALL(IF(LOWER(cash_flow_quarter[Company Name]) = LOWER(cash_flow_quarter_filter!$B$2), ROW(cash_flow_quarter[Company Name]) - ROW(INDEX(cash_flow_quarter[Company Name], 1, 1)) + 1), ROW(6:6)), COLUMN(C:C)), "")</f>
        <v>0</v>
      </c>
      <c r="E8" s="19">
        <f t="array" ref="E8">IFERROR(INDEX(cash_flow_quarter[#All], SMALL(IF(LOWER(cash_flow_quarter[Company Name]) = LOWER(cash_flow_quarter_filter!$B$2), ROW(cash_flow_quarter[Company Name]) - ROW(INDEX(cash_flow_quarter[Company Name], 1, 1)) + 1), ROW(6:6)), COLUMN(D:D)), "")</f>
        <v>0</v>
      </c>
      <c r="F8" s="19">
        <f t="array" ref="F8">IFERROR(INDEX(cash_flow_quarter[#All], SMALL(IF(LOWER(cash_flow_quarter[Company Name]) = LOWER(cash_flow_quarter_filter!$B$2), ROW(cash_flow_quarter[Company Name]) - ROW(INDEX(cash_flow_quarter[Company Name], 1, 1)) + 1), ROW(6:6)), COLUMN(E:E)), "")</f>
        <v>0</v>
      </c>
      <c r="G8" s="19">
        <f t="array" ref="G8">IFERROR(INDEX(cash_flow_quarter[#All], SMALL(IF(LOWER(cash_flow_quarter[Company Name]) = LOWER(cash_flow_quarter_filter!$B$2), ROW(cash_flow_quarter[Company Name]) - ROW(INDEX(cash_flow_quarter[Company Name], 1, 1)) + 1), ROW(6:6)), COLUMN(F:F)), "")</f>
        <v>0</v>
      </c>
      <c r="H8" s="19">
        <f t="array" ref="H8">IFERROR(INDEX(cash_flow_quarter[#All], SMALL(IF(LOWER(cash_flow_quarter[Company Name]) = LOWER(cash_flow_quarter_filter!$B$2), ROW(cash_flow_quarter[Company Name]) - ROW(INDEX(cash_flow_quarter[Company Name], 1, 1)) + 1), ROW(6:6)), COLUMN(G:G)), "")</f>
        <v>0</v>
      </c>
      <c r="I8" s="19">
        <f t="array" ref="I8">IFERROR(INDEX(cash_flow_quarter[#All], SMALL(IF(LOWER(cash_flow_quarter[Company Name]) = LOWER(cash_flow_quarter_filter!$B$2), ROW(cash_flow_quarter[Company Name]) - ROW(INDEX(cash_flow_quarter[Company Name], 1, 1)) + 1), ROW(6:6)), COLUMN(H:H)), "")</f>
        <v>0</v>
      </c>
      <c r="J8" s="19">
        <f t="array" ref="J8">IFERROR(INDEX(cash_flow_quarter[#All], SMALL(IF(LOWER(cash_flow_quarter[Company Name]) = LOWER(cash_flow_quarter_filter!$B$2), ROW(cash_flow_quarter[Company Name]) - ROW(INDEX(cash_flow_quarter[Company Name], 1, 1)) + 1), ROW(6:6)), COLUMN(I:I)), "")</f>
        <v>0</v>
      </c>
      <c r="K8" s="19">
        <f t="array" ref="K8">IFERROR(INDEX(cash_flow_quarter[#All], SMALL(IF(LOWER(cash_flow_quarter[Company Name]) = LOWER(cash_flow_quarter_filter!$B$2), ROW(cash_flow_quarter[Company Name]) - ROW(INDEX(cash_flow_quarter[Company Name], 1, 1)) + 1), ROW(6:6)), COLUMN(J:J)), "")</f>
        <v>0</v>
      </c>
      <c r="L8" s="19">
        <f t="array" ref="L8">IFERROR(INDEX(cash_flow_quarter[#All], SMALL(IF(LOWER(cash_flow_quarter[Company Name]) = LOWER(cash_flow_quarter_filter!$B$2), ROW(cash_flow_quarter[Company Name]) - ROW(INDEX(cash_flow_quarter[Company Name], 1, 1)) + 1), ROW(6:6)), COLUMN(K:K)), "")</f>
        <v>0</v>
      </c>
      <c r="M8" s="19">
        <f t="array" ref="M8">IFERROR(INDEX(cash_flow_quarter[#All], SMALL(IF(LOWER(cash_flow_quarter[Company Name]) = LOWER(cash_flow_quarter_filter!$B$2), ROW(cash_flow_quarter[Company Name]) - ROW(INDEX(cash_flow_quarter[Company Name], 1, 1)) + 1), ROW(6:6)), COLUMN(L:L)), "")</f>
        <v>0</v>
      </c>
      <c r="N8" s="19">
        <f t="array" ref="N8">IFERROR(INDEX(cash_flow_quarter[#All], SMALL(IF(LOWER(cash_flow_quarter[Company Name]) = LOWER(cash_flow_quarter_filter!$B$2), ROW(cash_flow_quarter[Company Name]) - ROW(INDEX(cash_flow_quarter[Company Name], 1, 1)) + 1), ROW(6:6)), COLUMN(M:M)), "")</f>
        <v>0</v>
      </c>
      <c r="O8" s="19">
        <f t="array" ref="O8">IFERROR(INDEX(cash_flow_quarter[#All], SMALL(IF(LOWER(cash_flow_quarter[Company Name]) = LOWER(cash_flow_quarter_filter!$B$2), ROW(cash_flow_quarter[Company Name]) - ROW(INDEX(cash_flow_quarter[Company Name], 1, 1)) + 1), ROW(6:6)), COLUMN(N:N)), "")</f>
        <v>0</v>
      </c>
      <c r="P8" s="19">
        <f t="array" ref="P8">IFERROR(INDEX(cash_flow_quarter[#All], SMALL(IF(LOWER(cash_flow_quarter[Company Name]) = LOWER(cash_flow_quarter_filter!$B$2), ROW(cash_flow_quarter[Company Name]) - ROW(INDEX(cash_flow_quarter[Company Name], 1, 1)) + 1), ROW(6:6)), COLUMN(O:O)), "")</f>
        <v>0</v>
      </c>
      <c r="Q8" s="19">
        <f t="array" ref="Q8">IFERROR(INDEX(cash_flow_quarter[#All], SMALL(IF(LOWER(cash_flow_quarter[Company Name]) = LOWER(cash_flow_quarter_filter!$B$2), ROW(cash_flow_quarter[Company Name]) - ROW(INDEX(cash_flow_quarter[Company Name], 1, 1)) + 1), ROW(6:6)), COLUMN(P:P)), "")</f>
        <v>0</v>
      </c>
      <c r="R8" s="19">
        <f t="array" ref="R8">IFERROR(INDEX(cash_flow_quarter[#All], SMALL(IF(LOWER(cash_flow_quarter[Company Name]) = LOWER(cash_flow_quarter_filter!$B$2), ROW(cash_flow_quarter[Company Name]) - ROW(INDEX(cash_flow_quarter[Company Name], 1, 1)) + 1), ROW(6:6)), COLUMN(Q:Q)), "")</f>
        <v>0</v>
      </c>
      <c r="S8" s="19">
        <f t="array" ref="S8">IFERROR(INDEX(cash_flow_quarter[#All], SMALL(IF(LOWER(cash_flow_quarter[Company Name]) = LOWER(cash_flow_quarter_filter!$B$2), ROW(cash_flow_quarter[Company Name]) - ROW(INDEX(cash_flow_quarter[Company Name], 1, 1)) + 1), ROW(6:6)), COLUMN(R:R)), "")</f>
        <v>0</v>
      </c>
    </row>
    <row r="9" spans="1:19" x14ac:dyDescent="0.35">
      <c r="C9" t="str">
        <f t="array" ref="C9">IFERROR(INDEX(cash_flow_quarter[#All], SMALL(IF(LOWER(cash_flow_quarter[Company Name]) = LOWER(cash_flow_quarter_filter!$B$2), ROW(cash_flow_quarter[Company Name]) - ROW(INDEX(cash_flow_quarter[Company Name], 1, 1)) + 1), ROW(7:7)), COLUMN(B:B)), "")</f>
        <v>- Lãi, lỗ chênh lệch tỷ giá hối đoái do đánh giá lại các khoản mục tiền tệ có gốc ngoại tệ</v>
      </c>
      <c r="D9" s="19">
        <f t="array" ref="D9">IFERROR(INDEX(cash_flow_quarter[#All], SMALL(IF(LOWER(cash_flow_quarter[Company Name]) = LOWER(cash_flow_quarter_filter!$B$2), ROW(cash_flow_quarter[Company Name]) - ROW(INDEX(cash_flow_quarter[Company Name], 1, 1)) + 1), ROW(7:7)), COLUMN(C:C)), "")</f>
        <v>0</v>
      </c>
      <c r="E9" s="19">
        <f t="array" ref="E9">IFERROR(INDEX(cash_flow_quarter[#All], SMALL(IF(LOWER(cash_flow_quarter[Company Name]) = LOWER(cash_flow_quarter_filter!$B$2), ROW(cash_flow_quarter[Company Name]) - ROW(INDEX(cash_flow_quarter[Company Name], 1, 1)) + 1), ROW(7:7)), COLUMN(D:D)), "")</f>
        <v>0</v>
      </c>
      <c r="F9" s="19">
        <f t="array" ref="F9">IFERROR(INDEX(cash_flow_quarter[#All], SMALL(IF(LOWER(cash_flow_quarter[Company Name]) = LOWER(cash_flow_quarter_filter!$B$2), ROW(cash_flow_quarter[Company Name]) - ROW(INDEX(cash_flow_quarter[Company Name], 1, 1)) + 1), ROW(7:7)), COLUMN(E:E)), "")</f>
        <v>0</v>
      </c>
      <c r="G9" s="19">
        <f t="array" ref="G9">IFERROR(INDEX(cash_flow_quarter[#All], SMALL(IF(LOWER(cash_flow_quarter[Company Name]) = LOWER(cash_flow_quarter_filter!$B$2), ROW(cash_flow_quarter[Company Name]) - ROW(INDEX(cash_flow_quarter[Company Name], 1, 1)) + 1), ROW(7:7)), COLUMN(F:F)), "")</f>
        <v>0</v>
      </c>
      <c r="H9" s="19">
        <f t="array" ref="H9">IFERROR(INDEX(cash_flow_quarter[#All], SMALL(IF(LOWER(cash_flow_quarter[Company Name]) = LOWER(cash_flow_quarter_filter!$B$2), ROW(cash_flow_quarter[Company Name]) - ROW(INDEX(cash_flow_quarter[Company Name], 1, 1)) + 1), ROW(7:7)), COLUMN(G:G)), "")</f>
        <v>0</v>
      </c>
      <c r="I9" s="19">
        <f t="array" ref="I9">IFERROR(INDEX(cash_flow_quarter[#All], SMALL(IF(LOWER(cash_flow_quarter[Company Name]) = LOWER(cash_flow_quarter_filter!$B$2), ROW(cash_flow_quarter[Company Name]) - ROW(INDEX(cash_flow_quarter[Company Name], 1, 1)) + 1), ROW(7:7)), COLUMN(H:H)), "")</f>
        <v>-3757050000</v>
      </c>
      <c r="J9" s="19">
        <f t="array" ref="J9">IFERROR(INDEX(cash_flow_quarter[#All], SMALL(IF(LOWER(cash_flow_quarter[Company Name]) = LOWER(cash_flow_quarter_filter!$B$2), ROW(cash_flow_quarter[Company Name]) - ROW(INDEX(cash_flow_quarter[Company Name], 1, 1)) + 1), ROW(7:7)), COLUMN(I:I)), "")</f>
        <v>0</v>
      </c>
      <c r="K9" s="19">
        <f t="array" ref="K9">IFERROR(INDEX(cash_flow_quarter[#All], SMALL(IF(LOWER(cash_flow_quarter[Company Name]) = LOWER(cash_flow_quarter_filter!$B$2), ROW(cash_flow_quarter[Company Name]) - ROW(INDEX(cash_flow_quarter[Company Name], 1, 1)) + 1), ROW(7:7)), COLUMN(J:J)), "")</f>
        <v>7350749769</v>
      </c>
      <c r="L9" s="19">
        <f t="array" ref="L9">IFERROR(INDEX(cash_flow_quarter[#All], SMALL(IF(LOWER(cash_flow_quarter[Company Name]) = LOWER(cash_flow_quarter_filter!$B$2), ROW(cash_flow_quarter[Company Name]) - ROW(INDEX(cash_flow_quarter[Company Name], 1, 1)) + 1), ROW(7:7)), COLUMN(K:K)), "")</f>
        <v>13732153174</v>
      </c>
      <c r="M9" s="19">
        <f t="array" ref="M9">IFERROR(INDEX(cash_flow_quarter[#All], SMALL(IF(LOWER(cash_flow_quarter[Company Name]) = LOWER(cash_flow_quarter_filter!$B$2), ROW(cash_flow_quarter[Company Name]) - ROW(INDEX(cash_flow_quarter[Company Name], 1, 1)) + 1), ROW(7:7)), COLUMN(L:L)), "")</f>
        <v>9347836823</v>
      </c>
      <c r="N9" s="19">
        <f t="array" ref="N9">IFERROR(INDEX(cash_flow_quarter[#All], SMALL(IF(LOWER(cash_flow_quarter[Company Name]) = LOWER(cash_flow_quarter_filter!$B$2), ROW(cash_flow_quarter[Company Name]) - ROW(INDEX(cash_flow_quarter[Company Name], 1, 1)) + 1), ROW(7:7)), COLUMN(M:M)), "")</f>
        <v>0</v>
      </c>
      <c r="O9" s="19">
        <f t="array" ref="O9">IFERROR(INDEX(cash_flow_quarter[#All], SMALL(IF(LOWER(cash_flow_quarter[Company Name]) = LOWER(cash_flow_quarter_filter!$B$2), ROW(cash_flow_quarter[Company Name]) - ROW(INDEX(cash_flow_quarter[Company Name], 1, 1)) + 1), ROW(7:7)), COLUMN(N:N)), "")</f>
        <v>0</v>
      </c>
      <c r="P9" s="19">
        <f t="array" ref="P9">IFERROR(INDEX(cash_flow_quarter[#All], SMALL(IF(LOWER(cash_flow_quarter[Company Name]) = LOWER(cash_flow_quarter_filter!$B$2), ROW(cash_flow_quarter[Company Name]) - ROW(INDEX(cash_flow_quarter[Company Name], 1, 1)) + 1), ROW(7:7)), COLUMN(O:O)), "")</f>
        <v>0</v>
      </c>
      <c r="Q9" s="19">
        <f t="array" ref="Q9">IFERROR(INDEX(cash_flow_quarter[#All], SMALL(IF(LOWER(cash_flow_quarter[Company Name]) = LOWER(cash_flow_quarter_filter!$B$2), ROW(cash_flow_quarter[Company Name]) - ROW(INDEX(cash_flow_quarter[Company Name], 1, 1)) + 1), ROW(7:7)), COLUMN(P:P)), "")</f>
        <v>0</v>
      </c>
      <c r="R9" s="19">
        <f t="array" ref="R9">IFERROR(INDEX(cash_flow_quarter[#All], SMALL(IF(LOWER(cash_flow_quarter[Company Name]) = LOWER(cash_flow_quarter_filter!$B$2), ROW(cash_flow_quarter[Company Name]) - ROW(INDEX(cash_flow_quarter[Company Name], 1, 1)) + 1), ROW(7:7)), COLUMN(Q:Q)), "")</f>
        <v>0</v>
      </c>
      <c r="S9" s="19">
        <f t="array" ref="S9">IFERROR(INDEX(cash_flow_quarter[#All], SMALL(IF(LOWER(cash_flow_quarter[Company Name]) = LOWER(cash_flow_quarter_filter!$B$2), ROW(cash_flow_quarter[Company Name]) - ROW(INDEX(cash_flow_quarter[Company Name], 1, 1)) + 1), ROW(7:7)), COLUMN(R:R)), "")</f>
        <v>0</v>
      </c>
    </row>
    <row r="10" spans="1:19" x14ac:dyDescent="0.35">
      <c r="C10" t="str">
        <f t="array" ref="C10">IFERROR(INDEX(cash_flow_quarter[#All], SMALL(IF(LOWER(cash_flow_quarter[Company Name]) = LOWER(cash_flow_quarter_filter!$B$2), ROW(cash_flow_quarter[Company Name]) - ROW(INDEX(cash_flow_quarter[Company Name], 1, 1)) + 1), ROW(8:8)), COLUMN(B:B)), "")</f>
        <v>- Lãi, lỗ từ hoạt động đầu tư</v>
      </c>
      <c r="D10" s="19">
        <f t="array" ref="D10">IFERROR(INDEX(cash_flow_quarter[#All], SMALL(IF(LOWER(cash_flow_quarter[Company Name]) = LOWER(cash_flow_quarter_filter!$B$2), ROW(cash_flow_quarter[Company Name]) - ROW(INDEX(cash_flow_quarter[Company Name], 1, 1)) + 1), ROW(8:8)), COLUMN(C:C)), "")</f>
        <v>-12761073</v>
      </c>
      <c r="E10" s="19">
        <f t="array" ref="E10">IFERROR(INDEX(cash_flow_quarter[#All], SMALL(IF(LOWER(cash_flow_quarter[Company Name]) = LOWER(cash_flow_quarter_filter!$B$2), ROW(cash_flow_quarter[Company Name]) - ROW(INDEX(cash_flow_quarter[Company Name], 1, 1)) + 1), ROW(8:8)), COLUMN(D:D)), "")</f>
        <v>-163385273</v>
      </c>
      <c r="F10" s="19">
        <f t="array" ref="F10">IFERROR(INDEX(cash_flow_quarter[#All], SMALL(IF(LOWER(cash_flow_quarter[Company Name]) = LOWER(cash_flow_quarter_filter!$B$2), ROW(cash_flow_quarter[Company Name]) - ROW(INDEX(cash_flow_quarter[Company Name], 1, 1)) + 1), ROW(8:8)), COLUMN(E:E)), "")</f>
        <v>-5446758</v>
      </c>
      <c r="G10" s="19">
        <f t="array" ref="G10">IFERROR(INDEX(cash_flow_quarter[#All], SMALL(IF(LOWER(cash_flow_quarter[Company Name]) = LOWER(cash_flow_quarter_filter!$B$2), ROW(cash_flow_quarter[Company Name]) - ROW(INDEX(cash_flow_quarter[Company Name], 1, 1)) + 1), ROW(8:8)), COLUMN(F:F)), "")</f>
        <v>-10560002</v>
      </c>
      <c r="H10" s="19">
        <f t="array" ref="H10">IFERROR(INDEX(cash_flow_quarter[#All], SMALL(IF(LOWER(cash_flow_quarter[Company Name]) = LOWER(cash_flow_quarter_filter!$B$2), ROW(cash_flow_quarter[Company Name]) - ROW(INDEX(cash_flow_quarter[Company Name], 1, 1)) + 1), ROW(8:8)), COLUMN(G:G)), "")</f>
        <v>-16031974</v>
      </c>
      <c r="I10" s="19">
        <f t="array" ref="I10">IFERROR(INDEX(cash_flow_quarter[#All], SMALL(IF(LOWER(cash_flow_quarter[Company Name]) = LOWER(cash_flow_quarter_filter!$B$2), ROW(cash_flow_quarter[Company Name]) - ROW(INDEX(cash_flow_quarter[Company Name], 1, 1)) + 1), ROW(8:8)), COLUMN(H:H)), "")</f>
        <v>-104012408</v>
      </c>
      <c r="J10" s="19">
        <f t="array" ref="J10">IFERROR(INDEX(cash_flow_quarter[#All], SMALL(IF(LOWER(cash_flow_quarter[Company Name]) = LOWER(cash_flow_quarter_filter!$B$2), ROW(cash_flow_quarter[Company Name]) - ROW(INDEX(cash_flow_quarter[Company Name], 1, 1)) + 1), ROW(8:8)), COLUMN(I:I)), "")</f>
        <v>-7550566</v>
      </c>
      <c r="K10" s="19">
        <f t="array" ref="K10">IFERROR(INDEX(cash_flow_quarter[#All], SMALL(IF(LOWER(cash_flow_quarter[Company Name]) = LOWER(cash_flow_quarter_filter!$B$2), ROW(cash_flow_quarter[Company Name]) - ROW(INDEX(cash_flow_quarter[Company Name], 1, 1)) + 1), ROW(8:8)), COLUMN(J:J)), "")</f>
        <v>-17069186</v>
      </c>
      <c r="L10" s="19">
        <f t="array" ref="L10">IFERROR(INDEX(cash_flow_quarter[#All], SMALL(IF(LOWER(cash_flow_quarter[Company Name]) = LOWER(cash_flow_quarter_filter!$B$2), ROW(cash_flow_quarter[Company Name]) - ROW(INDEX(cash_flow_quarter[Company Name], 1, 1)) + 1), ROW(8:8)), COLUMN(K:K)), "")</f>
        <v>-35208183</v>
      </c>
      <c r="M10" s="19">
        <f t="array" ref="M10">IFERROR(INDEX(cash_flow_quarter[#All], SMALL(IF(LOWER(cash_flow_quarter[Company Name]) = LOWER(cash_flow_quarter_filter!$B$2), ROW(cash_flow_quarter[Company Name]) - ROW(INDEX(cash_flow_quarter[Company Name], 1, 1)) + 1), ROW(8:8)), COLUMN(L:L)), "")</f>
        <v>-129442717</v>
      </c>
      <c r="N10" s="19">
        <f t="array" ref="N10">IFERROR(INDEX(cash_flow_quarter[#All], SMALL(IF(LOWER(cash_flow_quarter[Company Name]) = LOWER(cash_flow_quarter_filter!$B$2), ROW(cash_flow_quarter[Company Name]) - ROW(INDEX(cash_flow_quarter[Company Name], 1, 1)) + 1), ROW(8:8)), COLUMN(M:M)), "")</f>
        <v>-11499679</v>
      </c>
      <c r="O10" s="19">
        <f t="array" ref="O10">IFERROR(INDEX(cash_flow_quarter[#All], SMALL(IF(LOWER(cash_flow_quarter[Company Name]) = LOWER(cash_flow_quarter_filter!$B$2), ROW(cash_flow_quarter[Company Name]) - ROW(INDEX(cash_flow_quarter[Company Name], 1, 1)) + 1), ROW(8:8)), COLUMN(N:N)), "")</f>
        <v>-14837283</v>
      </c>
      <c r="P10" s="19">
        <f t="array" ref="P10">IFERROR(INDEX(cash_flow_quarter[#All], SMALL(IF(LOWER(cash_flow_quarter[Company Name]) = LOWER(cash_flow_quarter_filter!$B$2), ROW(cash_flow_quarter[Company Name]) - ROW(INDEX(cash_flow_quarter[Company Name], 1, 1)) + 1), ROW(8:8)), COLUMN(O:O)), "")</f>
        <v>0</v>
      </c>
      <c r="Q10" s="19">
        <f t="array" ref="Q10">IFERROR(INDEX(cash_flow_quarter[#All], SMALL(IF(LOWER(cash_flow_quarter[Company Name]) = LOWER(cash_flow_quarter_filter!$B$2), ROW(cash_flow_quarter[Company Name]) - ROW(INDEX(cash_flow_quarter[Company Name], 1, 1)) + 1), ROW(8:8)), COLUMN(P:P)), "")</f>
        <v>-172486239</v>
      </c>
      <c r="R10" s="19">
        <f t="array" ref="R10">IFERROR(INDEX(cash_flow_quarter[#All], SMALL(IF(LOWER(cash_flow_quarter[Company Name]) = LOWER(cash_flow_quarter_filter!$B$2), ROW(cash_flow_quarter[Company Name]) - ROW(INDEX(cash_flow_quarter[Company Name], 1, 1)) + 1), ROW(8:8)), COLUMN(Q:Q)), "")</f>
        <v>-4015197</v>
      </c>
      <c r="S10" s="19">
        <f t="array" ref="S10">IFERROR(INDEX(cash_flow_quarter[#All], SMALL(IF(LOWER(cash_flow_quarter[Company Name]) = LOWER(cash_flow_quarter_filter!$B$2), ROW(cash_flow_quarter[Company Name]) - ROW(INDEX(cash_flow_quarter[Company Name], 1, 1)) + 1), ROW(8:8)), COLUMN(R:R)), "")</f>
        <v>0</v>
      </c>
    </row>
    <row r="11" spans="1:19" x14ac:dyDescent="0.35">
      <c r="C11" t="str">
        <f t="array" ref="C11">IFERROR(INDEX(cash_flow_quarter[#All], SMALL(IF(LOWER(cash_flow_quarter[Company Name]) = LOWER(cash_flow_quarter_filter!$B$2), ROW(cash_flow_quarter[Company Name]) - ROW(INDEX(cash_flow_quarter[Company Name], 1, 1)) + 1), ROW(9:9)), COLUMN(B:B)), "")</f>
        <v>- Chi phí lãi vay</v>
      </c>
      <c r="D11" s="19">
        <f t="array" ref="D11">IFERROR(INDEX(cash_flow_quarter[#All], SMALL(IF(LOWER(cash_flow_quarter[Company Name]) = LOWER(cash_flow_quarter_filter!$B$2), ROW(cash_flow_quarter[Company Name]) - ROW(INDEX(cash_flow_quarter[Company Name], 1, 1)) + 1), ROW(9:9)), COLUMN(C:C)), "")</f>
        <v>113302748819</v>
      </c>
      <c r="E11" s="19">
        <f t="array" ref="E11">IFERROR(INDEX(cash_flow_quarter[#All], SMALL(IF(LOWER(cash_flow_quarter[Company Name]) = LOWER(cash_flow_quarter_filter!$B$2), ROW(cash_flow_quarter[Company Name]) - ROW(INDEX(cash_flow_quarter[Company Name], 1, 1)) + 1), ROW(9:9)), COLUMN(D:D)), "")</f>
        <v>163215150423</v>
      </c>
      <c r="F11" s="19">
        <f t="array" ref="F11">IFERROR(INDEX(cash_flow_quarter[#All], SMALL(IF(LOWER(cash_flow_quarter[Company Name]) = LOWER(cash_flow_quarter_filter!$B$2), ROW(cash_flow_quarter[Company Name]) - ROW(INDEX(cash_flow_quarter[Company Name], 1, 1)) + 1), ROW(9:9)), COLUMN(E:E)), "")</f>
        <v>52721422936</v>
      </c>
      <c r="G11" s="19">
        <f t="array" ref="G11">IFERROR(INDEX(cash_flow_quarter[#All], SMALL(IF(LOWER(cash_flow_quarter[Company Name]) = LOWER(cash_flow_quarter_filter!$B$2), ROW(cash_flow_quarter[Company Name]) - ROW(INDEX(cash_flow_quarter[Company Name], 1, 1)) + 1), ROW(9:9)), COLUMN(F:F)), "")</f>
        <v>105487687203</v>
      </c>
      <c r="H11" s="19">
        <f t="array" ref="H11">IFERROR(INDEX(cash_flow_quarter[#All], SMALL(IF(LOWER(cash_flow_quarter[Company Name]) = LOWER(cash_flow_quarter_filter!$B$2), ROW(cash_flow_quarter[Company Name]) - ROW(INDEX(cash_flow_quarter[Company Name], 1, 1)) + 1), ROW(9:9)), COLUMN(G:G)), "")</f>
        <v>156098853323</v>
      </c>
      <c r="I11" s="19">
        <f t="array" ref="I11">IFERROR(INDEX(cash_flow_quarter[#All], SMALL(IF(LOWER(cash_flow_quarter[Company Name]) = LOWER(cash_flow_quarter_filter!$B$2), ROW(cash_flow_quarter[Company Name]) - ROW(INDEX(cash_flow_quarter[Company Name], 1, 1)) + 1), ROW(9:9)), COLUMN(H:H)), "")</f>
        <v>208645250651</v>
      </c>
      <c r="J11" s="19">
        <f t="array" ref="J11">IFERROR(INDEX(cash_flow_quarter[#All], SMALL(IF(LOWER(cash_flow_quarter[Company Name]) = LOWER(cash_flow_quarter_filter!$B$2), ROW(cash_flow_quarter[Company Name]) - ROW(INDEX(cash_flow_quarter[Company Name], 1, 1)) + 1), ROW(9:9)), COLUMN(I:I)), "")</f>
        <v>46859506116</v>
      </c>
      <c r="K11" s="19">
        <f t="array" ref="K11">IFERROR(INDEX(cash_flow_quarter[#All], SMALL(IF(LOWER(cash_flow_quarter[Company Name]) = LOWER(cash_flow_quarter_filter!$B$2), ROW(cash_flow_quarter[Company Name]) - ROW(INDEX(cash_flow_quarter[Company Name], 1, 1)) + 1), ROW(9:9)), COLUMN(J:J)), "")</f>
        <v>95623500142</v>
      </c>
      <c r="L11" s="19">
        <f t="array" ref="L11">IFERROR(INDEX(cash_flow_quarter[#All], SMALL(IF(LOWER(cash_flow_quarter[Company Name]) = LOWER(cash_flow_quarter_filter!$B$2), ROW(cash_flow_quarter[Company Name]) - ROW(INDEX(cash_flow_quarter[Company Name], 1, 1)) + 1), ROW(9:9)), COLUMN(K:K)), "")</f>
        <v>142082453433</v>
      </c>
      <c r="M11" s="19">
        <f t="array" ref="M11">IFERROR(INDEX(cash_flow_quarter[#All], SMALL(IF(LOWER(cash_flow_quarter[Company Name]) = LOWER(cash_flow_quarter_filter!$B$2), ROW(cash_flow_quarter[Company Name]) - ROW(INDEX(cash_flow_quarter[Company Name], 1, 1)) + 1), ROW(9:9)), COLUMN(L:L)), "")</f>
        <v>191726077614</v>
      </c>
      <c r="N11" s="19">
        <f t="array" ref="N11">IFERROR(INDEX(cash_flow_quarter[#All], SMALL(IF(LOWER(cash_flow_quarter[Company Name]) = LOWER(cash_flow_quarter_filter!$B$2), ROW(cash_flow_quarter[Company Name]) - ROW(INDEX(cash_flow_quarter[Company Name], 1, 1)) + 1), ROW(9:9)), COLUMN(M:M)), "")</f>
        <v>56166247854</v>
      </c>
      <c r="O11" s="19">
        <f t="array" ref="O11">IFERROR(INDEX(cash_flow_quarter[#All], SMALL(IF(LOWER(cash_flow_quarter[Company Name]) = LOWER(cash_flow_quarter_filter!$B$2), ROW(cash_flow_quarter[Company Name]) - ROW(INDEX(cash_flow_quarter[Company Name], 1, 1)) + 1), ROW(9:9)), COLUMN(N:N)), "")</f>
        <v>112587564762</v>
      </c>
      <c r="P11" s="19">
        <f t="array" ref="P11">IFERROR(INDEX(cash_flow_quarter[#All], SMALL(IF(LOWER(cash_flow_quarter[Company Name]) = LOWER(cash_flow_quarter_filter!$B$2), ROW(cash_flow_quarter[Company Name]) - ROW(INDEX(cash_flow_quarter[Company Name], 1, 1)) + 1), ROW(9:9)), COLUMN(O:O)), "")</f>
        <v>0</v>
      </c>
      <c r="Q11" s="19">
        <f t="array" ref="Q11">IFERROR(INDEX(cash_flow_quarter[#All], SMALL(IF(LOWER(cash_flow_quarter[Company Name]) = LOWER(cash_flow_quarter_filter!$B$2), ROW(cash_flow_quarter[Company Name]) - ROW(INDEX(cash_flow_quarter[Company Name], 1, 1)) + 1), ROW(9:9)), COLUMN(P:P)), "")</f>
        <v>211481339563</v>
      </c>
      <c r="R11" s="19">
        <f t="array" ref="R11">IFERROR(INDEX(cash_flow_quarter[#All], SMALL(IF(LOWER(cash_flow_quarter[Company Name]) = LOWER(cash_flow_quarter_filter!$B$2), ROW(cash_flow_quarter[Company Name]) - ROW(INDEX(cash_flow_quarter[Company Name], 1, 1)) + 1), ROW(9:9)), COLUMN(Q:Q)), "")</f>
        <v>37952638025</v>
      </c>
      <c r="S11" s="19">
        <f t="array" ref="S11">IFERROR(INDEX(cash_flow_quarter[#All], SMALL(IF(LOWER(cash_flow_quarter[Company Name]) = LOWER(cash_flow_quarter_filter!$B$2), ROW(cash_flow_quarter[Company Name]) - ROW(INDEX(cash_flow_quarter[Company Name], 1, 1)) + 1), ROW(9:9)), COLUMN(R:R)), "")</f>
        <v>0</v>
      </c>
    </row>
    <row r="12" spans="1:19" x14ac:dyDescent="0.35">
      <c r="C12" t="str">
        <f t="array" ref="C12">IFERROR(INDEX(cash_flow_quarter[#All], SMALL(IF(LOWER(cash_flow_quarter[Company Name]) = LOWER(cash_flow_quarter_filter!$B$2), ROW(cash_flow_quarter[Company Name]) - ROW(INDEX(cash_flow_quarter[Company Name], 1, 1)) + 1), ROW(10:10)), COLUMN(B:B)), "")</f>
        <v>- Các khoản điều chỉnh khác</v>
      </c>
      <c r="D12" s="19">
        <f t="array" ref="D12">IFERROR(INDEX(cash_flow_quarter[#All], SMALL(IF(LOWER(cash_flow_quarter[Company Name]) = LOWER(cash_flow_quarter_filter!$B$2), ROW(cash_flow_quarter[Company Name]) - ROW(INDEX(cash_flow_quarter[Company Name], 1, 1)) + 1), ROW(10:10)), COLUMN(C:C)), "")</f>
        <v>0</v>
      </c>
      <c r="E12" s="19">
        <f t="array" ref="E12">IFERROR(INDEX(cash_flow_quarter[#All], SMALL(IF(LOWER(cash_flow_quarter[Company Name]) = LOWER(cash_flow_quarter_filter!$B$2), ROW(cash_flow_quarter[Company Name]) - ROW(INDEX(cash_flow_quarter[Company Name], 1, 1)) + 1), ROW(10:10)), COLUMN(D:D)), "")</f>
        <v>0</v>
      </c>
      <c r="F12" s="19">
        <f t="array" ref="F12">IFERROR(INDEX(cash_flow_quarter[#All], SMALL(IF(LOWER(cash_flow_quarter[Company Name]) = LOWER(cash_flow_quarter_filter!$B$2), ROW(cash_flow_quarter[Company Name]) - ROW(INDEX(cash_flow_quarter[Company Name], 1, 1)) + 1), ROW(10:10)), COLUMN(E:E)), "")</f>
        <v>0</v>
      </c>
      <c r="G12" s="19">
        <f t="array" ref="G12">IFERROR(INDEX(cash_flow_quarter[#All], SMALL(IF(LOWER(cash_flow_quarter[Company Name]) = LOWER(cash_flow_quarter_filter!$B$2), ROW(cash_flow_quarter[Company Name]) - ROW(INDEX(cash_flow_quarter[Company Name], 1, 1)) + 1), ROW(10:10)), COLUMN(F:F)), "")</f>
        <v>0</v>
      </c>
      <c r="H12" s="19">
        <f t="array" ref="H12">IFERROR(INDEX(cash_flow_quarter[#All], SMALL(IF(LOWER(cash_flow_quarter[Company Name]) = LOWER(cash_flow_quarter_filter!$B$2), ROW(cash_flow_quarter[Company Name]) - ROW(INDEX(cash_flow_quarter[Company Name], 1, 1)) + 1), ROW(10:10)), COLUMN(G:G)), "")</f>
        <v>0</v>
      </c>
      <c r="I12" s="19">
        <f t="array" ref="I12">IFERROR(INDEX(cash_flow_quarter[#All], SMALL(IF(LOWER(cash_flow_quarter[Company Name]) = LOWER(cash_flow_quarter_filter!$B$2), ROW(cash_flow_quarter[Company Name]) - ROW(INDEX(cash_flow_quarter[Company Name], 1, 1)) + 1), ROW(10:10)), COLUMN(H:H)), "")</f>
        <v>0</v>
      </c>
      <c r="J12" s="19">
        <f t="array" ref="J12">IFERROR(INDEX(cash_flow_quarter[#All], SMALL(IF(LOWER(cash_flow_quarter[Company Name]) = LOWER(cash_flow_quarter_filter!$B$2), ROW(cash_flow_quarter[Company Name]) - ROW(INDEX(cash_flow_quarter[Company Name], 1, 1)) + 1), ROW(10:10)), COLUMN(I:I)), "")</f>
        <v>0</v>
      </c>
      <c r="K12" s="19">
        <f t="array" ref="K12">IFERROR(INDEX(cash_flow_quarter[#All], SMALL(IF(LOWER(cash_flow_quarter[Company Name]) = LOWER(cash_flow_quarter_filter!$B$2), ROW(cash_flow_quarter[Company Name]) - ROW(INDEX(cash_flow_quarter[Company Name], 1, 1)) + 1), ROW(10:10)), COLUMN(J:J)), "")</f>
        <v>0</v>
      </c>
      <c r="L12" s="19">
        <f t="array" ref="L12">IFERROR(INDEX(cash_flow_quarter[#All], SMALL(IF(LOWER(cash_flow_quarter[Company Name]) = LOWER(cash_flow_quarter_filter!$B$2), ROW(cash_flow_quarter[Company Name]) - ROW(INDEX(cash_flow_quarter[Company Name], 1, 1)) + 1), ROW(10:10)), COLUMN(K:K)), "")</f>
        <v>0</v>
      </c>
      <c r="M12" s="19">
        <f t="array" ref="M12">IFERROR(INDEX(cash_flow_quarter[#All], SMALL(IF(LOWER(cash_flow_quarter[Company Name]) = LOWER(cash_flow_quarter_filter!$B$2), ROW(cash_flow_quarter[Company Name]) - ROW(INDEX(cash_flow_quarter[Company Name], 1, 1)) + 1), ROW(10:10)), COLUMN(L:L)), "")</f>
        <v>0</v>
      </c>
      <c r="N12" s="19">
        <f t="array" ref="N12">IFERROR(INDEX(cash_flow_quarter[#All], SMALL(IF(LOWER(cash_flow_quarter[Company Name]) = LOWER(cash_flow_quarter_filter!$B$2), ROW(cash_flow_quarter[Company Name]) - ROW(INDEX(cash_flow_quarter[Company Name], 1, 1)) + 1), ROW(10:10)), COLUMN(M:M)), "")</f>
        <v>0</v>
      </c>
      <c r="O12" s="19">
        <f t="array" ref="O12">IFERROR(INDEX(cash_flow_quarter[#All], SMALL(IF(LOWER(cash_flow_quarter[Company Name]) = LOWER(cash_flow_quarter_filter!$B$2), ROW(cash_flow_quarter[Company Name]) - ROW(INDEX(cash_flow_quarter[Company Name], 1, 1)) + 1), ROW(10:10)), COLUMN(N:N)), "")</f>
        <v>0</v>
      </c>
      <c r="P12" s="19">
        <f t="array" ref="P12">IFERROR(INDEX(cash_flow_quarter[#All], SMALL(IF(LOWER(cash_flow_quarter[Company Name]) = LOWER(cash_flow_quarter_filter!$B$2), ROW(cash_flow_quarter[Company Name]) - ROW(INDEX(cash_flow_quarter[Company Name], 1, 1)) + 1), ROW(10:10)), COLUMN(O:O)), "")</f>
        <v>0</v>
      </c>
      <c r="Q12" s="19">
        <f t="array" ref="Q12">IFERROR(INDEX(cash_flow_quarter[#All], SMALL(IF(LOWER(cash_flow_quarter[Company Name]) = LOWER(cash_flow_quarter_filter!$B$2), ROW(cash_flow_quarter[Company Name]) - ROW(INDEX(cash_flow_quarter[Company Name], 1, 1)) + 1), ROW(10:10)), COLUMN(P:P)), "")</f>
        <v>0</v>
      </c>
      <c r="R12" s="19">
        <f t="array" ref="R12">IFERROR(INDEX(cash_flow_quarter[#All], SMALL(IF(LOWER(cash_flow_quarter[Company Name]) = LOWER(cash_flow_quarter_filter!$B$2), ROW(cash_flow_quarter[Company Name]) - ROW(INDEX(cash_flow_quarter[Company Name], 1, 1)) + 1), ROW(10:10)), COLUMN(Q:Q)), "")</f>
        <v>0</v>
      </c>
      <c r="S12" s="19">
        <f t="array" ref="S12">IFERROR(INDEX(cash_flow_quarter[#All], SMALL(IF(LOWER(cash_flow_quarter[Company Name]) = LOWER(cash_flow_quarter_filter!$B$2), ROW(cash_flow_quarter[Company Name]) - ROW(INDEX(cash_flow_quarter[Company Name], 1, 1)) + 1), ROW(10:10)), COLUMN(R:R)), "")</f>
        <v>0</v>
      </c>
    </row>
    <row r="13" spans="1:19" x14ac:dyDescent="0.35">
      <c r="C13" t="str">
        <f t="array" ref="C13">IFERROR(INDEX(cash_flow_quarter[#All], SMALL(IF(LOWER(cash_flow_quarter[Company Name]) = LOWER(cash_flow_quarter_filter!$B$2), ROW(cash_flow_quarter[Company Name]) - ROW(INDEX(cash_flow_quarter[Company Name], 1, 1)) + 1), ROW(11:11)), COLUMN(B:B)), "")</f>
        <v>3. Lợi nhuận từ hoạt động kinh doanh trước thay đổi vốn lưu động</v>
      </c>
      <c r="D13" s="19">
        <f t="array" ref="D13">IFERROR(INDEX(cash_flow_quarter[#All], SMALL(IF(LOWER(cash_flow_quarter[Company Name]) = LOWER(cash_flow_quarter_filter!$B$2), ROW(cash_flow_quarter[Company Name]) - ROW(INDEX(cash_flow_quarter[Company Name], 1, 1)) + 1), ROW(11:11)), COLUMN(C:C)), "")</f>
        <v>297057850813</v>
      </c>
      <c r="E13" s="19">
        <f t="array" ref="E13">IFERROR(INDEX(cash_flow_quarter[#All], SMALL(IF(LOWER(cash_flow_quarter[Company Name]) = LOWER(cash_flow_quarter_filter!$B$2), ROW(cash_flow_quarter[Company Name]) - ROW(INDEX(cash_flow_quarter[Company Name], 1, 1)) + 1), ROW(11:11)), COLUMN(D:D)), "")</f>
        <v>420585568388</v>
      </c>
      <c r="F13" s="19">
        <f t="array" ref="F13">IFERROR(INDEX(cash_flow_quarter[#All], SMALL(IF(LOWER(cash_flow_quarter[Company Name]) = LOWER(cash_flow_quarter_filter!$B$2), ROW(cash_flow_quarter[Company Name]) - ROW(INDEX(cash_flow_quarter[Company Name], 1, 1)) + 1), ROW(11:11)), COLUMN(E:E)), "")</f>
        <v>138349594285</v>
      </c>
      <c r="G13" s="19">
        <f t="array" ref="G13">IFERROR(INDEX(cash_flow_quarter[#All], SMALL(IF(LOWER(cash_flow_quarter[Company Name]) = LOWER(cash_flow_quarter_filter!$B$2), ROW(cash_flow_quarter[Company Name]) - ROW(INDEX(cash_flow_quarter[Company Name], 1, 1)) + 1), ROW(11:11)), COLUMN(F:F)), "")</f>
        <v>290504018951</v>
      </c>
      <c r="H13" s="19">
        <f t="array" ref="H13">IFERROR(INDEX(cash_flow_quarter[#All], SMALL(IF(LOWER(cash_flow_quarter[Company Name]) = LOWER(cash_flow_quarter_filter!$B$2), ROW(cash_flow_quarter[Company Name]) - ROW(INDEX(cash_flow_quarter[Company Name], 1, 1)) + 1), ROW(11:11)), COLUMN(G:G)), "")</f>
        <v>423218830183</v>
      </c>
      <c r="I13" s="19">
        <f t="array" ref="I13">IFERROR(INDEX(cash_flow_quarter[#All], SMALL(IF(LOWER(cash_flow_quarter[Company Name]) = LOWER(cash_flow_quarter_filter!$B$2), ROW(cash_flow_quarter[Company Name]) - ROW(INDEX(cash_flow_quarter[Company Name], 1, 1)) + 1), ROW(11:11)), COLUMN(H:H)), "")</f>
        <v>551997837440</v>
      </c>
      <c r="J13" s="19">
        <f t="array" ref="J13">IFERROR(INDEX(cash_flow_quarter[#All], SMALL(IF(LOWER(cash_flow_quarter[Company Name]) = LOWER(cash_flow_quarter_filter!$B$2), ROW(cash_flow_quarter[Company Name]) - ROW(INDEX(cash_flow_quarter[Company Name], 1, 1)) + 1), ROW(11:11)), COLUMN(I:I)), "")</f>
        <v>159805421455</v>
      </c>
      <c r="K13" s="19">
        <f t="array" ref="K13">IFERROR(INDEX(cash_flow_quarter[#All], SMALL(IF(LOWER(cash_flow_quarter[Company Name]) = LOWER(cash_flow_quarter_filter!$B$2), ROW(cash_flow_quarter[Company Name]) - ROW(INDEX(cash_flow_quarter[Company Name], 1, 1)) + 1), ROW(11:11)), COLUMN(J:J)), "")</f>
        <v>348928846070</v>
      </c>
      <c r="L13" s="19">
        <f t="array" ref="L13">IFERROR(INDEX(cash_flow_quarter[#All], SMALL(IF(LOWER(cash_flow_quarter[Company Name]) = LOWER(cash_flow_quarter_filter!$B$2), ROW(cash_flow_quarter[Company Name]) - ROW(INDEX(cash_flow_quarter[Company Name], 1, 1)) + 1), ROW(11:11)), COLUMN(K:K)), "")</f>
        <v>510087693554</v>
      </c>
      <c r="M13" s="19">
        <f t="array" ref="M13">IFERROR(INDEX(cash_flow_quarter[#All], SMALL(IF(LOWER(cash_flow_quarter[Company Name]) = LOWER(cash_flow_quarter_filter!$B$2), ROW(cash_flow_quarter[Company Name]) - ROW(INDEX(cash_flow_quarter[Company Name], 1, 1)) + 1), ROW(11:11)), COLUMN(L:L)), "")</f>
        <v>645777770803</v>
      </c>
      <c r="N13" s="19">
        <f t="array" ref="N13">IFERROR(INDEX(cash_flow_quarter[#All], SMALL(IF(LOWER(cash_flow_quarter[Company Name]) = LOWER(cash_flow_quarter_filter!$B$2), ROW(cash_flow_quarter[Company Name]) - ROW(INDEX(cash_flow_quarter[Company Name], 1, 1)) + 1), ROW(11:11)), COLUMN(M:M)), "")</f>
        <v>133991963411</v>
      </c>
      <c r="O13" s="19">
        <f t="array" ref="O13">IFERROR(INDEX(cash_flow_quarter[#All], SMALL(IF(LOWER(cash_flow_quarter[Company Name]) = LOWER(cash_flow_quarter_filter!$B$2), ROW(cash_flow_quarter[Company Name]) - ROW(INDEX(cash_flow_quarter[Company Name], 1, 1)) + 1), ROW(11:11)), COLUMN(N:N)), "")</f>
        <v>275059398461</v>
      </c>
      <c r="P13" s="19">
        <f t="array" ref="P13">IFERROR(INDEX(cash_flow_quarter[#All], SMALL(IF(LOWER(cash_flow_quarter[Company Name]) = LOWER(cash_flow_quarter_filter!$B$2), ROW(cash_flow_quarter[Company Name]) - ROW(INDEX(cash_flow_quarter[Company Name], 1, 1)) + 1), ROW(11:11)), COLUMN(O:O)), "")</f>
        <v>0</v>
      </c>
      <c r="Q13" s="19">
        <f t="array" ref="Q13">IFERROR(INDEX(cash_flow_quarter[#All], SMALL(IF(LOWER(cash_flow_quarter[Company Name]) = LOWER(cash_flow_quarter_filter!$B$2), ROW(cash_flow_quarter[Company Name]) - ROW(INDEX(cash_flow_quarter[Company Name], 1, 1)) + 1), ROW(11:11)), COLUMN(P:P)), "")</f>
        <v>538084347936</v>
      </c>
      <c r="R13" s="19">
        <f t="array" ref="R13">IFERROR(INDEX(cash_flow_quarter[#All], SMALL(IF(LOWER(cash_flow_quarter[Company Name]) = LOWER(cash_flow_quarter_filter!$B$2), ROW(cash_flow_quarter[Company Name]) - ROW(INDEX(cash_flow_quarter[Company Name], 1, 1)) + 1), ROW(11:11)), COLUMN(Q:Q)), "")</f>
        <v>127554401459</v>
      </c>
      <c r="S13" s="19">
        <f t="array" ref="S13">IFERROR(INDEX(cash_flow_quarter[#All], SMALL(IF(LOWER(cash_flow_quarter[Company Name]) = LOWER(cash_flow_quarter_filter!$B$2), ROW(cash_flow_quarter[Company Name]) - ROW(INDEX(cash_flow_quarter[Company Name], 1, 1)) + 1), ROW(11:11)), COLUMN(R:R)), "")</f>
        <v>0</v>
      </c>
    </row>
    <row r="14" spans="1:19" x14ac:dyDescent="0.35">
      <c r="C14" t="str">
        <f t="array" ref="C14">IFERROR(INDEX(cash_flow_quarter[#All], SMALL(IF(LOWER(cash_flow_quarter[Company Name]) = LOWER(cash_flow_quarter_filter!$B$2), ROW(cash_flow_quarter[Company Name]) - ROW(INDEX(cash_flow_quarter[Company Name], 1, 1)) + 1), ROW(12:12)), COLUMN(B:B)), "")</f>
        <v>- Tăng, giảm các khoản phải thu</v>
      </c>
      <c r="D14" s="19">
        <f t="array" ref="D14">IFERROR(INDEX(cash_flow_quarter[#All], SMALL(IF(LOWER(cash_flow_quarter[Company Name]) = LOWER(cash_flow_quarter_filter!$B$2), ROW(cash_flow_quarter[Company Name]) - ROW(INDEX(cash_flow_quarter[Company Name], 1, 1)) + 1), ROW(12:12)), COLUMN(C:C)), "")</f>
        <v>-181276039795</v>
      </c>
      <c r="E14" s="19">
        <f t="array" ref="E14">IFERROR(INDEX(cash_flow_quarter[#All], SMALL(IF(LOWER(cash_flow_quarter[Company Name]) = LOWER(cash_flow_quarter_filter!$B$2), ROW(cash_flow_quarter[Company Name]) - ROW(INDEX(cash_flow_quarter[Company Name], 1, 1)) + 1), ROW(12:12)), COLUMN(D:D)), "")</f>
        <v>-8933684748</v>
      </c>
      <c r="F14" s="19">
        <f t="array" ref="F14">IFERROR(INDEX(cash_flow_quarter[#All], SMALL(IF(LOWER(cash_flow_quarter[Company Name]) = LOWER(cash_flow_quarter_filter!$B$2), ROW(cash_flow_quarter[Company Name]) - ROW(INDEX(cash_flow_quarter[Company Name], 1, 1)) + 1), ROW(12:12)), COLUMN(E:E)), "")</f>
        <v>4785133616</v>
      </c>
      <c r="G14" s="19">
        <f t="array" ref="G14">IFERROR(INDEX(cash_flow_quarter[#All], SMALL(IF(LOWER(cash_flow_quarter[Company Name]) = LOWER(cash_flow_quarter_filter!$B$2), ROW(cash_flow_quarter[Company Name]) - ROW(INDEX(cash_flow_quarter[Company Name], 1, 1)) + 1), ROW(12:12)), COLUMN(F:F)), "")</f>
        <v>-34554400072</v>
      </c>
      <c r="H14" s="19">
        <f t="array" ref="H14">IFERROR(INDEX(cash_flow_quarter[#All], SMALL(IF(LOWER(cash_flow_quarter[Company Name]) = LOWER(cash_flow_quarter_filter!$B$2), ROW(cash_flow_quarter[Company Name]) - ROW(INDEX(cash_flow_quarter[Company Name], 1, 1)) + 1), ROW(12:12)), COLUMN(G:G)), "")</f>
        <v>-30502655790</v>
      </c>
      <c r="I14" s="19">
        <f t="array" ref="I14">IFERROR(INDEX(cash_flow_quarter[#All], SMALL(IF(LOWER(cash_flow_quarter[Company Name]) = LOWER(cash_flow_quarter_filter!$B$2), ROW(cash_flow_quarter[Company Name]) - ROW(INDEX(cash_flow_quarter[Company Name], 1, 1)) + 1), ROW(12:12)), COLUMN(H:H)), "")</f>
        <v>-28894538404</v>
      </c>
      <c r="J14" s="19">
        <f t="array" ref="J14">IFERROR(INDEX(cash_flow_quarter[#All], SMALL(IF(LOWER(cash_flow_quarter[Company Name]) = LOWER(cash_flow_quarter_filter!$B$2), ROW(cash_flow_quarter[Company Name]) - ROW(INDEX(cash_flow_quarter[Company Name], 1, 1)) + 1), ROW(12:12)), COLUMN(I:I)), "")</f>
        <v>-57581624350</v>
      </c>
      <c r="K14" s="19">
        <f t="array" ref="K14">IFERROR(INDEX(cash_flow_quarter[#All], SMALL(IF(LOWER(cash_flow_quarter[Company Name]) = LOWER(cash_flow_quarter_filter!$B$2), ROW(cash_flow_quarter[Company Name]) - ROW(INDEX(cash_flow_quarter[Company Name], 1, 1)) + 1), ROW(12:12)), COLUMN(J:J)), "")</f>
        <v>-36353905737</v>
      </c>
      <c r="L14" s="19">
        <f t="array" ref="L14">IFERROR(INDEX(cash_flow_quarter[#All], SMALL(IF(LOWER(cash_flow_quarter[Company Name]) = LOWER(cash_flow_quarter_filter!$B$2), ROW(cash_flow_quarter[Company Name]) - ROW(INDEX(cash_flow_quarter[Company Name], 1, 1)) + 1), ROW(12:12)), COLUMN(K:K)), "")</f>
        <v>-27531706131</v>
      </c>
      <c r="M14" s="19">
        <f t="array" ref="M14">IFERROR(INDEX(cash_flow_quarter[#All], SMALL(IF(LOWER(cash_flow_quarter[Company Name]) = LOWER(cash_flow_quarter_filter!$B$2), ROW(cash_flow_quarter[Company Name]) - ROW(INDEX(cash_flow_quarter[Company Name], 1, 1)) + 1), ROW(12:12)), COLUMN(L:L)), "")</f>
        <v>4679058475</v>
      </c>
      <c r="N14" s="19">
        <f t="array" ref="N14">IFERROR(INDEX(cash_flow_quarter[#All], SMALL(IF(LOWER(cash_flow_quarter[Company Name]) = LOWER(cash_flow_quarter_filter!$B$2), ROW(cash_flow_quarter[Company Name]) - ROW(INDEX(cash_flow_quarter[Company Name], 1, 1)) + 1), ROW(12:12)), COLUMN(M:M)), "")</f>
        <v>-52483859316</v>
      </c>
      <c r="O14" s="19">
        <f t="array" ref="O14">IFERROR(INDEX(cash_flow_quarter[#All], SMALL(IF(LOWER(cash_flow_quarter[Company Name]) = LOWER(cash_flow_quarter_filter!$B$2), ROW(cash_flow_quarter[Company Name]) - ROW(INDEX(cash_flow_quarter[Company Name], 1, 1)) + 1), ROW(12:12)), COLUMN(N:N)), "")</f>
        <v>-50843310876</v>
      </c>
      <c r="P14" s="19">
        <f t="array" ref="P14">IFERROR(INDEX(cash_flow_quarter[#All], SMALL(IF(LOWER(cash_flow_quarter[Company Name]) = LOWER(cash_flow_quarter_filter!$B$2), ROW(cash_flow_quarter[Company Name]) - ROW(INDEX(cash_flow_quarter[Company Name], 1, 1)) + 1), ROW(12:12)), COLUMN(O:O)), "")</f>
        <v>0</v>
      </c>
      <c r="Q14" s="19">
        <f t="array" ref="Q14">IFERROR(INDEX(cash_flow_quarter[#All], SMALL(IF(LOWER(cash_flow_quarter[Company Name]) = LOWER(cash_flow_quarter_filter!$B$2), ROW(cash_flow_quarter[Company Name]) - ROW(INDEX(cash_flow_quarter[Company Name], 1, 1)) + 1), ROW(12:12)), COLUMN(P:P)), "")</f>
        <v>-73811202571</v>
      </c>
      <c r="R14" s="19">
        <f t="array" ref="R14">IFERROR(INDEX(cash_flow_quarter[#All], SMALL(IF(LOWER(cash_flow_quarter[Company Name]) = LOWER(cash_flow_quarter_filter!$B$2), ROW(cash_flow_quarter[Company Name]) - ROW(INDEX(cash_flow_quarter[Company Name], 1, 1)) + 1), ROW(12:12)), COLUMN(Q:Q)), "")</f>
        <v>-12463320432</v>
      </c>
      <c r="S14" s="19">
        <f t="array" ref="S14">IFERROR(INDEX(cash_flow_quarter[#All], SMALL(IF(LOWER(cash_flow_quarter[Company Name]) = LOWER(cash_flow_quarter_filter!$B$2), ROW(cash_flow_quarter[Company Name]) - ROW(INDEX(cash_flow_quarter[Company Name], 1, 1)) + 1), ROW(12:12)), COLUMN(R:R)), "")</f>
        <v>0</v>
      </c>
    </row>
    <row r="15" spans="1:19" x14ac:dyDescent="0.35">
      <c r="C15" t="str">
        <f t="array" ref="C15">IFERROR(INDEX(cash_flow_quarter[#All], SMALL(IF(LOWER(cash_flow_quarter[Company Name]) = LOWER(cash_flow_quarter_filter!$B$2), ROW(cash_flow_quarter[Company Name]) - ROW(INDEX(cash_flow_quarter[Company Name], 1, 1)) + 1), ROW(13:13)), COLUMN(B:B)), "")</f>
        <v>- Tăng, giảm hàng tồn kho</v>
      </c>
      <c r="D15" s="19">
        <f t="array" ref="D15">IFERROR(INDEX(cash_flow_quarter[#All], SMALL(IF(LOWER(cash_flow_quarter[Company Name]) = LOWER(cash_flow_quarter_filter!$B$2), ROW(cash_flow_quarter[Company Name]) - ROW(INDEX(cash_flow_quarter[Company Name], 1, 1)) + 1), ROW(13:13)), COLUMN(C:C)), "")</f>
        <v>0</v>
      </c>
      <c r="E15" s="19">
        <f t="array" ref="E15">IFERROR(INDEX(cash_flow_quarter[#All], SMALL(IF(LOWER(cash_flow_quarter[Company Name]) = LOWER(cash_flow_quarter_filter!$B$2), ROW(cash_flow_quarter[Company Name]) - ROW(INDEX(cash_flow_quarter[Company Name], 1, 1)) + 1), ROW(13:13)), COLUMN(D:D)), "")</f>
        <v>394547272</v>
      </c>
      <c r="F15" s="19">
        <f t="array" ref="F15">IFERROR(INDEX(cash_flow_quarter[#All], SMALL(IF(LOWER(cash_flow_quarter[Company Name]) = LOWER(cash_flow_quarter_filter!$B$2), ROW(cash_flow_quarter[Company Name]) - ROW(INDEX(cash_flow_quarter[Company Name], 1, 1)) + 1), ROW(13:13)), COLUMN(E:E)), "")</f>
        <v>0</v>
      </c>
      <c r="G15" s="19">
        <f t="array" ref="G15">IFERROR(INDEX(cash_flow_quarter[#All], SMALL(IF(LOWER(cash_flow_quarter[Company Name]) = LOWER(cash_flow_quarter_filter!$B$2), ROW(cash_flow_quarter[Company Name]) - ROW(INDEX(cash_flow_quarter[Company Name], 1, 1)) + 1), ROW(13:13)), COLUMN(F:F)), "")</f>
        <v>0</v>
      </c>
      <c r="H15" s="19">
        <f t="array" ref="H15">IFERROR(INDEX(cash_flow_quarter[#All], SMALL(IF(LOWER(cash_flow_quarter[Company Name]) = LOWER(cash_flow_quarter_filter!$B$2), ROW(cash_flow_quarter[Company Name]) - ROW(INDEX(cash_flow_quarter[Company Name], 1, 1)) + 1), ROW(13:13)), COLUMN(G:G)), "")</f>
        <v>0</v>
      </c>
      <c r="I15" s="19">
        <f t="array" ref="I15">IFERROR(INDEX(cash_flow_quarter[#All], SMALL(IF(LOWER(cash_flow_quarter[Company Name]) = LOWER(cash_flow_quarter_filter!$B$2), ROW(cash_flow_quarter[Company Name]) - ROW(INDEX(cash_flow_quarter[Company Name], 1, 1)) + 1), ROW(13:13)), COLUMN(H:H)), "")</f>
        <v>0</v>
      </c>
      <c r="J15" s="19">
        <f t="array" ref="J15">IFERROR(INDEX(cash_flow_quarter[#All], SMALL(IF(LOWER(cash_flow_quarter[Company Name]) = LOWER(cash_flow_quarter_filter!$B$2), ROW(cash_flow_quarter[Company Name]) - ROW(INDEX(cash_flow_quarter[Company Name], 1, 1)) + 1), ROW(13:13)), COLUMN(I:I)), "")</f>
        <v>0</v>
      </c>
      <c r="K15" s="19">
        <f t="array" ref="K15">IFERROR(INDEX(cash_flow_quarter[#All], SMALL(IF(LOWER(cash_flow_quarter[Company Name]) = LOWER(cash_flow_quarter_filter!$B$2), ROW(cash_flow_quarter[Company Name]) - ROW(INDEX(cash_flow_quarter[Company Name], 1, 1)) + 1), ROW(13:13)), COLUMN(J:J)), "")</f>
        <v>0</v>
      </c>
      <c r="L15" s="19">
        <f t="array" ref="L15">IFERROR(INDEX(cash_flow_quarter[#All], SMALL(IF(LOWER(cash_flow_quarter[Company Name]) = LOWER(cash_flow_quarter_filter!$B$2), ROW(cash_flow_quarter[Company Name]) - ROW(INDEX(cash_flow_quarter[Company Name], 1, 1)) + 1), ROW(13:13)), COLUMN(K:K)), "")</f>
        <v>0</v>
      </c>
      <c r="M15" s="19">
        <f t="array" ref="M15">IFERROR(INDEX(cash_flow_quarter[#All], SMALL(IF(LOWER(cash_flow_quarter[Company Name]) = LOWER(cash_flow_quarter_filter!$B$2), ROW(cash_flow_quarter[Company Name]) - ROW(INDEX(cash_flow_quarter[Company Name], 1, 1)) + 1), ROW(13:13)), COLUMN(L:L)), "")</f>
        <v>0</v>
      </c>
      <c r="N15" s="19">
        <f t="array" ref="N15">IFERROR(INDEX(cash_flow_quarter[#All], SMALL(IF(LOWER(cash_flow_quarter[Company Name]) = LOWER(cash_flow_quarter_filter!$B$2), ROW(cash_flow_quarter[Company Name]) - ROW(INDEX(cash_flow_quarter[Company Name], 1, 1)) + 1), ROW(13:13)), COLUMN(M:M)), "")</f>
        <v>0</v>
      </c>
      <c r="O15" s="19">
        <f t="array" ref="O15">IFERROR(INDEX(cash_flow_quarter[#All], SMALL(IF(LOWER(cash_flow_quarter[Company Name]) = LOWER(cash_flow_quarter_filter!$B$2), ROW(cash_flow_quarter[Company Name]) - ROW(INDEX(cash_flow_quarter[Company Name], 1, 1)) + 1), ROW(13:13)), COLUMN(N:N)), "")</f>
        <v>0</v>
      </c>
      <c r="P15" s="19">
        <f t="array" ref="P15">IFERROR(INDEX(cash_flow_quarter[#All], SMALL(IF(LOWER(cash_flow_quarter[Company Name]) = LOWER(cash_flow_quarter_filter!$B$2), ROW(cash_flow_quarter[Company Name]) - ROW(INDEX(cash_flow_quarter[Company Name], 1, 1)) + 1), ROW(13:13)), COLUMN(O:O)), "")</f>
        <v>0</v>
      </c>
      <c r="Q15" s="19">
        <f t="array" ref="Q15">IFERROR(INDEX(cash_flow_quarter[#All], SMALL(IF(LOWER(cash_flow_quarter[Company Name]) = LOWER(cash_flow_quarter_filter!$B$2), ROW(cash_flow_quarter[Company Name]) - ROW(INDEX(cash_flow_quarter[Company Name], 1, 1)) + 1), ROW(13:13)), COLUMN(P:P)), "")</f>
        <v>0</v>
      </c>
      <c r="R15" s="19">
        <f t="array" ref="R15">IFERROR(INDEX(cash_flow_quarter[#All], SMALL(IF(LOWER(cash_flow_quarter[Company Name]) = LOWER(cash_flow_quarter_filter!$B$2), ROW(cash_flow_quarter[Company Name]) - ROW(INDEX(cash_flow_quarter[Company Name], 1, 1)) + 1), ROW(13:13)), COLUMN(Q:Q)), "")</f>
        <v>0</v>
      </c>
      <c r="S15" s="19">
        <f t="array" ref="S15">IFERROR(INDEX(cash_flow_quarter[#All], SMALL(IF(LOWER(cash_flow_quarter[Company Name]) = LOWER(cash_flow_quarter_filter!$B$2), ROW(cash_flow_quarter[Company Name]) - ROW(INDEX(cash_flow_quarter[Company Name], 1, 1)) + 1), ROW(13:13)), COLUMN(R:R)), "")</f>
        <v>0</v>
      </c>
    </row>
    <row r="16" spans="1:19" x14ac:dyDescent="0.35">
      <c r="C16" t="str">
        <f t="array" ref="C16">IFERROR(INDEX(cash_flow_quarter[#All], SMALL(IF(LOWER(cash_flow_quarter[Company Name]) = LOWER(cash_flow_quarter_filter!$B$2), ROW(cash_flow_quarter[Company Name]) - ROW(INDEX(cash_flow_quarter[Company Name], 1, 1)) + 1), ROW(14:14)), COLUMN(B:B)), "")</f>
        <v>- Tăng, giảm các khoản phải trả (Không kể lãi vay phải trả, thuế thu nhập doanh nghiệp phải nộp)</v>
      </c>
      <c r="D16" s="19">
        <f t="array" ref="D16">IFERROR(INDEX(cash_flow_quarter[#All], SMALL(IF(LOWER(cash_flow_quarter[Company Name]) = LOWER(cash_flow_quarter_filter!$B$2), ROW(cash_flow_quarter[Company Name]) - ROW(INDEX(cash_flow_quarter[Company Name], 1, 1)) + 1), ROW(14:14)), COLUMN(C:C)), "")</f>
        <v>473107176410</v>
      </c>
      <c r="E16" s="19">
        <f t="array" ref="E16">IFERROR(INDEX(cash_flow_quarter[#All], SMALL(IF(LOWER(cash_flow_quarter[Company Name]) = LOWER(cash_flow_quarter_filter!$B$2), ROW(cash_flow_quarter[Company Name]) - ROW(INDEX(cash_flow_quarter[Company Name], 1, 1)) + 1), ROW(14:14)), COLUMN(D:D)), "")</f>
        <v>506720445318</v>
      </c>
      <c r="F16" s="19">
        <f t="array" ref="F16">IFERROR(INDEX(cash_flow_quarter[#All], SMALL(IF(LOWER(cash_flow_quarter[Company Name]) = LOWER(cash_flow_quarter_filter!$B$2), ROW(cash_flow_quarter[Company Name]) - ROW(INDEX(cash_flow_quarter[Company Name], 1, 1)) + 1), ROW(14:14)), COLUMN(E:E)), "")</f>
        <v>-3778088491</v>
      </c>
      <c r="G16" s="19">
        <f t="array" ref="G16">IFERROR(INDEX(cash_flow_quarter[#All], SMALL(IF(LOWER(cash_flow_quarter[Company Name]) = LOWER(cash_flow_quarter_filter!$B$2), ROW(cash_flow_quarter[Company Name]) - ROW(INDEX(cash_flow_quarter[Company Name], 1, 1)) + 1), ROW(14:14)), COLUMN(F:F)), "")</f>
        <v>-18737610655</v>
      </c>
      <c r="H16" s="19">
        <f t="array" ref="H16">IFERROR(INDEX(cash_flow_quarter[#All], SMALL(IF(LOWER(cash_flow_quarter[Company Name]) = LOWER(cash_flow_quarter_filter!$B$2), ROW(cash_flow_quarter[Company Name]) - ROW(INDEX(cash_flow_quarter[Company Name], 1, 1)) + 1), ROW(14:14)), COLUMN(G:G)), "")</f>
        <v>-21017963106</v>
      </c>
      <c r="I16" s="19">
        <f t="array" ref="I16">IFERROR(INDEX(cash_flow_quarter[#All], SMALL(IF(LOWER(cash_flow_quarter[Company Name]) = LOWER(cash_flow_quarter_filter!$B$2), ROW(cash_flow_quarter[Company Name]) - ROW(INDEX(cash_flow_quarter[Company Name], 1, 1)) + 1), ROW(14:14)), COLUMN(H:H)), "")</f>
        <v>-90980187493</v>
      </c>
      <c r="J16" s="19">
        <f t="array" ref="J16">IFERROR(INDEX(cash_flow_quarter[#All], SMALL(IF(LOWER(cash_flow_quarter[Company Name]) = LOWER(cash_flow_quarter_filter!$B$2), ROW(cash_flow_quarter[Company Name]) - ROW(INDEX(cash_flow_quarter[Company Name], 1, 1)) + 1), ROW(14:14)), COLUMN(I:I)), "")</f>
        <v>-8347599208</v>
      </c>
      <c r="K16" s="19">
        <f t="array" ref="K16">IFERROR(INDEX(cash_flow_quarter[#All], SMALL(IF(LOWER(cash_flow_quarter[Company Name]) = LOWER(cash_flow_quarter_filter!$B$2), ROW(cash_flow_quarter[Company Name]) - ROW(INDEX(cash_flow_quarter[Company Name], 1, 1)) + 1), ROW(14:14)), COLUMN(J:J)), "")</f>
        <v>-3563786236</v>
      </c>
      <c r="L16" s="19">
        <f t="array" ref="L16">IFERROR(INDEX(cash_flow_quarter[#All], SMALL(IF(LOWER(cash_flow_quarter[Company Name]) = LOWER(cash_flow_quarter_filter!$B$2), ROW(cash_flow_quarter[Company Name]) - ROW(INDEX(cash_flow_quarter[Company Name], 1, 1)) + 1), ROW(14:14)), COLUMN(K:K)), "")</f>
        <v>-137247670586</v>
      </c>
      <c r="M16" s="19">
        <f t="array" ref="M16">IFERROR(INDEX(cash_flow_quarter[#All], SMALL(IF(LOWER(cash_flow_quarter[Company Name]) = LOWER(cash_flow_quarter_filter!$B$2), ROW(cash_flow_quarter[Company Name]) - ROW(INDEX(cash_flow_quarter[Company Name], 1, 1)) + 1), ROW(14:14)), COLUMN(L:L)), "")</f>
        <v>-148438772718</v>
      </c>
      <c r="N16" s="19">
        <f t="array" ref="N16">IFERROR(INDEX(cash_flow_quarter[#All], SMALL(IF(LOWER(cash_flow_quarter[Company Name]) = LOWER(cash_flow_quarter_filter!$B$2), ROW(cash_flow_quarter[Company Name]) - ROW(INDEX(cash_flow_quarter[Company Name], 1, 1)) + 1), ROW(14:14)), COLUMN(M:M)), "")</f>
        <v>-263742100092</v>
      </c>
      <c r="O16" s="19">
        <f t="array" ref="O16">IFERROR(INDEX(cash_flow_quarter[#All], SMALL(IF(LOWER(cash_flow_quarter[Company Name]) = LOWER(cash_flow_quarter_filter!$B$2), ROW(cash_flow_quarter[Company Name]) - ROW(INDEX(cash_flow_quarter[Company Name], 1, 1)) + 1), ROW(14:14)), COLUMN(N:N)), "")</f>
        <v>-274148157710</v>
      </c>
      <c r="P16" s="19">
        <f t="array" ref="P16">IFERROR(INDEX(cash_flow_quarter[#All], SMALL(IF(LOWER(cash_flow_quarter[Company Name]) = LOWER(cash_flow_quarter_filter!$B$2), ROW(cash_flow_quarter[Company Name]) - ROW(INDEX(cash_flow_quarter[Company Name], 1, 1)) + 1), ROW(14:14)), COLUMN(O:O)), "")</f>
        <v>0</v>
      </c>
      <c r="Q16" s="19">
        <f t="array" ref="Q16">IFERROR(INDEX(cash_flow_quarter[#All], SMALL(IF(LOWER(cash_flow_quarter[Company Name]) = LOWER(cash_flow_quarter_filter!$B$2), ROW(cash_flow_quarter[Company Name]) - ROW(INDEX(cash_flow_quarter[Company Name], 1, 1)) + 1), ROW(14:14)), COLUMN(P:P)), "")</f>
        <v>-305142530035</v>
      </c>
      <c r="R16" s="19">
        <f t="array" ref="R16">IFERROR(INDEX(cash_flow_quarter[#All], SMALL(IF(LOWER(cash_flow_quarter[Company Name]) = LOWER(cash_flow_quarter_filter!$B$2), ROW(cash_flow_quarter[Company Name]) - ROW(INDEX(cash_flow_quarter[Company Name], 1, 1)) + 1), ROW(14:14)), COLUMN(Q:Q)), "")</f>
        <v>487889879</v>
      </c>
      <c r="S16" s="19">
        <f t="array" ref="S16">IFERROR(INDEX(cash_flow_quarter[#All], SMALL(IF(LOWER(cash_flow_quarter[Company Name]) = LOWER(cash_flow_quarter_filter!$B$2), ROW(cash_flow_quarter[Company Name]) - ROW(INDEX(cash_flow_quarter[Company Name], 1, 1)) + 1), ROW(14:14)), COLUMN(R:R)), "")</f>
        <v>0</v>
      </c>
    </row>
    <row r="17" spans="3:19" x14ac:dyDescent="0.35">
      <c r="C17" t="str">
        <f t="array" ref="C17">IFERROR(INDEX(cash_flow_quarter[#All], SMALL(IF(LOWER(cash_flow_quarter[Company Name]) = LOWER(cash_flow_quarter_filter!$B$2), ROW(cash_flow_quarter[Company Name]) - ROW(INDEX(cash_flow_quarter[Company Name], 1, 1)) + 1), ROW(15:15)), COLUMN(B:B)), "")</f>
        <v>- Tăng, giảm chi phí trả trước</v>
      </c>
      <c r="D17" s="19">
        <f t="array" ref="D17">IFERROR(INDEX(cash_flow_quarter[#All], SMALL(IF(LOWER(cash_flow_quarter[Company Name]) = LOWER(cash_flow_quarter_filter!$B$2), ROW(cash_flow_quarter[Company Name]) - ROW(INDEX(cash_flow_quarter[Company Name], 1, 1)) + 1), ROW(15:15)), COLUMN(C:C)), "")</f>
        <v>244715294</v>
      </c>
      <c r="E17" s="19">
        <f t="array" ref="E17">IFERROR(INDEX(cash_flow_quarter[#All], SMALL(IF(LOWER(cash_flow_quarter[Company Name]) = LOWER(cash_flow_quarter_filter!$B$2), ROW(cash_flow_quarter[Company Name]) - ROW(INDEX(cash_flow_quarter[Company Name], 1, 1)) + 1), ROW(15:15)), COLUMN(D:D)), "")</f>
        <v>172760688</v>
      </c>
      <c r="F17" s="19">
        <f t="array" ref="F17">IFERROR(INDEX(cash_flow_quarter[#All], SMALL(IF(LOWER(cash_flow_quarter[Company Name]) = LOWER(cash_flow_quarter_filter!$B$2), ROW(cash_flow_quarter[Company Name]) - ROW(INDEX(cash_flow_quarter[Company Name], 1, 1)) + 1), ROW(15:15)), COLUMN(E:E)), "")</f>
        <v>81456995</v>
      </c>
      <c r="G17" s="19">
        <f t="array" ref="G17">IFERROR(INDEX(cash_flow_quarter[#All], SMALL(IF(LOWER(cash_flow_quarter[Company Name]) = LOWER(cash_flow_quarter_filter!$B$2), ROW(cash_flow_quarter[Company Name]) - ROW(INDEX(cash_flow_quarter[Company Name], 1, 1)) + 1), ROW(15:15)), COLUMN(F:F)), "")</f>
        <v>40915697</v>
      </c>
      <c r="H17" s="19">
        <f t="array" ref="H17">IFERROR(INDEX(cash_flow_quarter[#All], SMALL(IF(LOWER(cash_flow_quarter[Company Name]) = LOWER(cash_flow_quarter_filter!$B$2), ROW(cash_flow_quarter[Company Name]) - ROW(INDEX(cash_flow_quarter[Company Name], 1, 1)) + 1), ROW(15:15)), COLUMN(G:G)), "")</f>
        <v>-373995988</v>
      </c>
      <c r="I17" s="19">
        <f t="array" ref="I17">IFERROR(INDEX(cash_flow_quarter[#All], SMALL(IF(LOWER(cash_flow_quarter[Company Name]) = LOWER(cash_flow_quarter_filter!$B$2), ROW(cash_flow_quarter[Company Name]) - ROW(INDEX(cash_flow_quarter[Company Name], 1, 1)) + 1), ROW(15:15)), COLUMN(H:H)), "")</f>
        <v>-11217966578</v>
      </c>
      <c r="J17" s="19">
        <f t="array" ref="J17">IFERROR(INDEX(cash_flow_quarter[#All], SMALL(IF(LOWER(cash_flow_quarter[Company Name]) = LOWER(cash_flow_quarter_filter!$B$2), ROW(cash_flow_quarter[Company Name]) - ROW(INDEX(cash_flow_quarter[Company Name], 1, 1)) + 1), ROW(15:15)), COLUMN(I:I)), "")</f>
        <v>3761740099</v>
      </c>
      <c r="K17" s="19">
        <f t="array" ref="K17">IFERROR(INDEX(cash_flow_quarter[#All], SMALL(IF(LOWER(cash_flow_quarter[Company Name]) = LOWER(cash_flow_quarter_filter!$B$2), ROW(cash_flow_quarter[Company Name]) - ROW(INDEX(cash_flow_quarter[Company Name], 1, 1)) + 1), ROW(15:15)), COLUMN(J:J)), "")</f>
        <v>8379369377</v>
      </c>
      <c r="L17" s="19">
        <f t="array" ref="L17">IFERROR(INDEX(cash_flow_quarter[#All], SMALL(IF(LOWER(cash_flow_quarter[Company Name]) = LOWER(cash_flow_quarter_filter!$B$2), ROW(cash_flow_quarter[Company Name]) - ROW(INDEX(cash_flow_quarter[Company Name], 1, 1)) + 1), ROW(15:15)), COLUMN(K:K)), "")</f>
        <v>6058450901</v>
      </c>
      <c r="M17" s="19">
        <f t="array" ref="M17">IFERROR(INDEX(cash_flow_quarter[#All], SMALL(IF(LOWER(cash_flow_quarter[Company Name]) = LOWER(cash_flow_quarter_filter!$B$2), ROW(cash_flow_quarter[Company Name]) - ROW(INDEX(cash_flow_quarter[Company Name], 1, 1)) + 1), ROW(15:15)), COLUMN(L:L)), "")</f>
        <v>10948033930</v>
      </c>
      <c r="N17" s="19">
        <f t="array" ref="N17">IFERROR(INDEX(cash_flow_quarter[#All], SMALL(IF(LOWER(cash_flow_quarter[Company Name]) = LOWER(cash_flow_quarter_filter!$B$2), ROW(cash_flow_quarter[Company Name]) - ROW(INDEX(cash_flow_quarter[Company Name], 1, 1)) + 1), ROW(15:15)), COLUMN(M:M)), "")</f>
        <v>986967578</v>
      </c>
      <c r="O17" s="19">
        <f t="array" ref="O17">IFERROR(INDEX(cash_flow_quarter[#All], SMALL(IF(LOWER(cash_flow_quarter[Company Name]) = LOWER(cash_flow_quarter_filter!$B$2), ROW(cash_flow_quarter[Company Name]) - ROW(INDEX(cash_flow_quarter[Company Name], 1, 1)) + 1), ROW(15:15)), COLUMN(N:N)), "")</f>
        <v>1625301634</v>
      </c>
      <c r="P17" s="19">
        <f t="array" ref="P17">IFERROR(INDEX(cash_flow_quarter[#All], SMALL(IF(LOWER(cash_flow_quarter[Company Name]) = LOWER(cash_flow_quarter_filter!$B$2), ROW(cash_flow_quarter[Company Name]) - ROW(INDEX(cash_flow_quarter[Company Name], 1, 1)) + 1), ROW(15:15)), COLUMN(O:O)), "")</f>
        <v>0</v>
      </c>
      <c r="Q17" s="19">
        <f t="array" ref="Q17">IFERROR(INDEX(cash_flow_quarter[#All], SMALL(IF(LOWER(cash_flow_quarter[Company Name]) = LOWER(cash_flow_quarter_filter!$B$2), ROW(cash_flow_quarter[Company Name]) - ROW(INDEX(cash_flow_quarter[Company Name], 1, 1)) + 1), ROW(15:15)), COLUMN(P:P)), "")</f>
        <v>1419257564</v>
      </c>
      <c r="R17" s="19">
        <f t="array" ref="R17">IFERROR(INDEX(cash_flow_quarter[#All], SMALL(IF(LOWER(cash_flow_quarter[Company Name]) = LOWER(cash_flow_quarter_filter!$B$2), ROW(cash_flow_quarter[Company Name]) - ROW(INDEX(cash_flow_quarter[Company Name], 1, 1)) + 1), ROW(15:15)), COLUMN(Q:Q)), "")</f>
        <v>-580097234</v>
      </c>
      <c r="S17" s="19">
        <f t="array" ref="S17">IFERROR(INDEX(cash_flow_quarter[#All], SMALL(IF(LOWER(cash_flow_quarter[Company Name]) = LOWER(cash_flow_quarter_filter!$B$2), ROW(cash_flow_quarter[Company Name]) - ROW(INDEX(cash_flow_quarter[Company Name], 1, 1)) + 1), ROW(15:15)), COLUMN(R:R)), "")</f>
        <v>0</v>
      </c>
    </row>
    <row r="18" spans="3:19" x14ac:dyDescent="0.35">
      <c r="C18" t="str">
        <f t="array" ref="C18">IFERROR(INDEX(cash_flow_quarter[#All], SMALL(IF(LOWER(cash_flow_quarter[Company Name]) = LOWER(cash_flow_quarter_filter!$B$2), ROW(cash_flow_quarter[Company Name]) - ROW(INDEX(cash_flow_quarter[Company Name], 1, 1)) + 1), ROW(16:16)), COLUMN(B:B)), "")</f>
        <v>- Tăng, giảm chứng khoán kinh doanh</v>
      </c>
      <c r="D18" s="19">
        <f t="array" ref="D18">IFERROR(INDEX(cash_flow_quarter[#All], SMALL(IF(LOWER(cash_flow_quarter[Company Name]) = LOWER(cash_flow_quarter_filter!$B$2), ROW(cash_flow_quarter[Company Name]) - ROW(INDEX(cash_flow_quarter[Company Name], 1, 1)) + 1), ROW(16:16)), COLUMN(C:C)), "")</f>
        <v>0</v>
      </c>
      <c r="E18" s="19">
        <f t="array" ref="E18">IFERROR(INDEX(cash_flow_quarter[#All], SMALL(IF(LOWER(cash_flow_quarter[Company Name]) = LOWER(cash_flow_quarter_filter!$B$2), ROW(cash_flow_quarter[Company Name]) - ROW(INDEX(cash_flow_quarter[Company Name], 1, 1)) + 1), ROW(16:16)), COLUMN(D:D)), "")</f>
        <v>0</v>
      </c>
      <c r="F18" s="19">
        <f t="array" ref="F18">IFERROR(INDEX(cash_flow_quarter[#All], SMALL(IF(LOWER(cash_flow_quarter[Company Name]) = LOWER(cash_flow_quarter_filter!$B$2), ROW(cash_flow_quarter[Company Name]) - ROW(INDEX(cash_flow_quarter[Company Name], 1, 1)) + 1), ROW(16:16)), COLUMN(E:E)), "")</f>
        <v>0</v>
      </c>
      <c r="G18" s="19">
        <f t="array" ref="G18">IFERROR(INDEX(cash_flow_quarter[#All], SMALL(IF(LOWER(cash_flow_quarter[Company Name]) = LOWER(cash_flow_quarter_filter!$B$2), ROW(cash_flow_quarter[Company Name]) - ROW(INDEX(cash_flow_quarter[Company Name], 1, 1)) + 1), ROW(16:16)), COLUMN(F:F)), "")</f>
        <v>0</v>
      </c>
      <c r="H18" s="19">
        <f t="array" ref="H18">IFERROR(INDEX(cash_flow_quarter[#All], SMALL(IF(LOWER(cash_flow_quarter[Company Name]) = LOWER(cash_flow_quarter_filter!$B$2), ROW(cash_flow_quarter[Company Name]) - ROW(INDEX(cash_flow_quarter[Company Name], 1, 1)) + 1), ROW(16:16)), COLUMN(G:G)), "")</f>
        <v>0</v>
      </c>
      <c r="I18" s="19">
        <f t="array" ref="I18">IFERROR(INDEX(cash_flow_quarter[#All], SMALL(IF(LOWER(cash_flow_quarter[Company Name]) = LOWER(cash_flow_quarter_filter!$B$2), ROW(cash_flow_quarter[Company Name]) - ROW(INDEX(cash_flow_quarter[Company Name], 1, 1)) + 1), ROW(16:16)), COLUMN(H:H)), "")</f>
        <v>0</v>
      </c>
      <c r="J18" s="19">
        <f t="array" ref="J18">IFERROR(INDEX(cash_flow_quarter[#All], SMALL(IF(LOWER(cash_flow_quarter[Company Name]) = LOWER(cash_flow_quarter_filter!$B$2), ROW(cash_flow_quarter[Company Name]) - ROW(INDEX(cash_flow_quarter[Company Name], 1, 1)) + 1), ROW(16:16)), COLUMN(I:I)), "")</f>
        <v>0</v>
      </c>
      <c r="K18" s="19">
        <f t="array" ref="K18">IFERROR(INDEX(cash_flow_quarter[#All], SMALL(IF(LOWER(cash_flow_quarter[Company Name]) = LOWER(cash_flow_quarter_filter!$B$2), ROW(cash_flow_quarter[Company Name]) - ROW(INDEX(cash_flow_quarter[Company Name], 1, 1)) + 1), ROW(16:16)), COLUMN(J:J)), "")</f>
        <v>0</v>
      </c>
      <c r="L18" s="19">
        <f t="array" ref="L18">IFERROR(INDEX(cash_flow_quarter[#All], SMALL(IF(LOWER(cash_flow_quarter[Company Name]) = LOWER(cash_flow_quarter_filter!$B$2), ROW(cash_flow_quarter[Company Name]) - ROW(INDEX(cash_flow_quarter[Company Name], 1, 1)) + 1), ROW(16:16)), COLUMN(K:K)), "")</f>
        <v>0</v>
      </c>
      <c r="M18" s="19">
        <f t="array" ref="M18">IFERROR(INDEX(cash_flow_quarter[#All], SMALL(IF(LOWER(cash_flow_quarter[Company Name]) = LOWER(cash_flow_quarter_filter!$B$2), ROW(cash_flow_quarter[Company Name]) - ROW(INDEX(cash_flow_quarter[Company Name], 1, 1)) + 1), ROW(16:16)), COLUMN(L:L)), "")</f>
        <v>0</v>
      </c>
      <c r="N18" s="19">
        <f t="array" ref="N18">IFERROR(INDEX(cash_flow_quarter[#All], SMALL(IF(LOWER(cash_flow_quarter[Company Name]) = LOWER(cash_flow_quarter_filter!$B$2), ROW(cash_flow_quarter[Company Name]) - ROW(INDEX(cash_flow_quarter[Company Name], 1, 1)) + 1), ROW(16:16)), COLUMN(M:M)), "")</f>
        <v>0</v>
      </c>
      <c r="O18" s="19">
        <f t="array" ref="O18">IFERROR(INDEX(cash_flow_quarter[#All], SMALL(IF(LOWER(cash_flow_quarter[Company Name]) = LOWER(cash_flow_quarter_filter!$B$2), ROW(cash_flow_quarter[Company Name]) - ROW(INDEX(cash_flow_quarter[Company Name], 1, 1)) + 1), ROW(16:16)), COLUMN(N:N)), "")</f>
        <v>0</v>
      </c>
      <c r="P18" s="19">
        <f t="array" ref="P18">IFERROR(INDEX(cash_flow_quarter[#All], SMALL(IF(LOWER(cash_flow_quarter[Company Name]) = LOWER(cash_flow_quarter_filter!$B$2), ROW(cash_flow_quarter[Company Name]) - ROW(INDEX(cash_flow_quarter[Company Name], 1, 1)) + 1), ROW(16:16)), COLUMN(O:O)), "")</f>
        <v>0</v>
      </c>
      <c r="Q18" s="19">
        <f t="array" ref="Q18">IFERROR(INDEX(cash_flow_quarter[#All], SMALL(IF(LOWER(cash_flow_quarter[Company Name]) = LOWER(cash_flow_quarter_filter!$B$2), ROW(cash_flow_quarter[Company Name]) - ROW(INDEX(cash_flow_quarter[Company Name], 1, 1)) + 1), ROW(16:16)), COLUMN(P:P)), "")</f>
        <v>0</v>
      </c>
      <c r="R18" s="19">
        <f t="array" ref="R18">IFERROR(INDEX(cash_flow_quarter[#All], SMALL(IF(LOWER(cash_flow_quarter[Company Name]) = LOWER(cash_flow_quarter_filter!$B$2), ROW(cash_flow_quarter[Company Name]) - ROW(INDEX(cash_flow_quarter[Company Name], 1, 1)) + 1), ROW(16:16)), COLUMN(Q:Q)), "")</f>
        <v>0</v>
      </c>
      <c r="S18" s="19">
        <f t="array" ref="S18">IFERROR(INDEX(cash_flow_quarter[#All], SMALL(IF(LOWER(cash_flow_quarter[Company Name]) = LOWER(cash_flow_quarter_filter!$B$2), ROW(cash_flow_quarter[Company Name]) - ROW(INDEX(cash_flow_quarter[Company Name], 1, 1)) + 1), ROW(16:16)), COLUMN(R:R)), "")</f>
        <v>0</v>
      </c>
    </row>
    <row r="19" spans="3:19" x14ac:dyDescent="0.35">
      <c r="C19" t="str">
        <f t="array" ref="C19">IFERROR(INDEX(cash_flow_quarter[#All], SMALL(IF(LOWER(cash_flow_quarter[Company Name]) = LOWER(cash_flow_quarter_filter!$B$2), ROW(cash_flow_quarter[Company Name]) - ROW(INDEX(cash_flow_quarter[Company Name], 1, 1)) + 1), ROW(17:17)), COLUMN(B:B)), "")</f>
        <v>- Tiền lãi vay đã trả</v>
      </c>
      <c r="D19" s="19">
        <f t="array" ref="D19">IFERROR(INDEX(cash_flow_quarter[#All], SMALL(IF(LOWER(cash_flow_quarter[Company Name]) = LOWER(cash_flow_quarter_filter!$B$2), ROW(cash_flow_quarter[Company Name]) - ROW(INDEX(cash_flow_quarter[Company Name], 1, 1)) + 1), ROW(17:17)), COLUMN(C:C)), "")</f>
        <v>-107583584164</v>
      </c>
      <c r="E19" s="19">
        <f t="array" ref="E19">IFERROR(INDEX(cash_flow_quarter[#All], SMALL(IF(LOWER(cash_flow_quarter[Company Name]) = LOWER(cash_flow_quarter_filter!$B$2), ROW(cash_flow_quarter[Company Name]) - ROW(INDEX(cash_flow_quarter[Company Name], 1, 1)) + 1), ROW(17:17)), COLUMN(D:D)), "")</f>
        <v>-168782856373</v>
      </c>
      <c r="F19" s="19">
        <f t="array" ref="F19">IFERROR(INDEX(cash_flow_quarter[#All], SMALL(IF(LOWER(cash_flow_quarter[Company Name]) = LOWER(cash_flow_quarter_filter!$B$2), ROW(cash_flow_quarter[Company Name]) - ROW(INDEX(cash_flow_quarter[Company Name], 1, 1)) + 1), ROW(17:17)), COLUMN(E:E)), "")</f>
        <v>-52721422936</v>
      </c>
      <c r="G19" s="19">
        <f t="array" ref="G19">IFERROR(INDEX(cash_flow_quarter[#All], SMALL(IF(LOWER(cash_flow_quarter[Company Name]) = LOWER(cash_flow_quarter_filter!$B$2), ROW(cash_flow_quarter[Company Name]) - ROW(INDEX(cash_flow_quarter[Company Name], 1, 1)) + 1), ROW(17:17)), COLUMN(F:F)), "")</f>
        <v>-101814722112</v>
      </c>
      <c r="H19" s="19">
        <f t="array" ref="H19">IFERROR(INDEX(cash_flow_quarter[#All], SMALL(IF(LOWER(cash_flow_quarter[Company Name]) = LOWER(cash_flow_quarter_filter!$B$2), ROW(cash_flow_quarter[Company Name]) - ROW(INDEX(cash_flow_quarter[Company Name], 1, 1)) + 1), ROW(17:17)), COLUMN(G:G)), "")</f>
        <v>0</v>
      </c>
      <c r="I19" s="19">
        <f t="array" ref="I19">IFERROR(INDEX(cash_flow_quarter[#All], SMALL(IF(LOWER(cash_flow_quarter[Company Name]) = LOWER(cash_flow_quarter_filter!$B$2), ROW(cash_flow_quarter[Company Name]) - ROW(INDEX(cash_flow_quarter[Company Name], 1, 1)) + 1), ROW(17:17)), COLUMN(H:H)), "")</f>
        <v>-206041867596</v>
      </c>
      <c r="J19" s="19">
        <f t="array" ref="J19">IFERROR(INDEX(cash_flow_quarter[#All], SMALL(IF(LOWER(cash_flow_quarter[Company Name]) = LOWER(cash_flow_quarter_filter!$B$2), ROW(cash_flow_quarter[Company Name]) - ROW(INDEX(cash_flow_quarter[Company Name], 1, 1)) + 1), ROW(17:17)), COLUMN(I:I)), "")</f>
        <v>-31781732345</v>
      </c>
      <c r="K19" s="19">
        <f t="array" ref="K19">IFERROR(INDEX(cash_flow_quarter[#All], SMALL(IF(LOWER(cash_flow_quarter[Company Name]) = LOWER(cash_flow_quarter_filter!$B$2), ROW(cash_flow_quarter[Company Name]) - ROW(INDEX(cash_flow_quarter[Company Name], 1, 1)) + 1), ROW(17:17)), COLUMN(J:J)), "")</f>
        <v>-97895512846</v>
      </c>
      <c r="L19" s="19">
        <f t="array" ref="L19">IFERROR(INDEX(cash_flow_quarter[#All], SMALL(IF(LOWER(cash_flow_quarter[Company Name]) = LOWER(cash_flow_quarter_filter!$B$2), ROW(cash_flow_quarter[Company Name]) - ROW(INDEX(cash_flow_quarter[Company Name], 1, 1)) + 1), ROW(17:17)), COLUMN(K:K)), "")</f>
        <v>-144354466137</v>
      </c>
      <c r="M19" s="19">
        <f t="array" ref="M19">IFERROR(INDEX(cash_flow_quarter[#All], SMALL(IF(LOWER(cash_flow_quarter[Company Name]) = LOWER(cash_flow_quarter_filter!$B$2), ROW(cash_flow_quarter[Company Name]) - ROW(INDEX(cash_flow_quarter[Company Name], 1, 1)) + 1), ROW(17:17)), COLUMN(L:L)), "")</f>
        <v>-193159354000</v>
      </c>
      <c r="N19" s="19">
        <f t="array" ref="N19">IFERROR(INDEX(cash_flow_quarter[#All], SMALL(IF(LOWER(cash_flow_quarter[Company Name]) = LOWER(cash_flow_quarter_filter!$B$2), ROW(cash_flow_quarter[Company Name]) - ROW(INDEX(cash_flow_quarter[Company Name], 1, 1)) + 1), ROW(17:17)), COLUMN(M:M)), "")</f>
        <v>-41561213628</v>
      </c>
      <c r="O19" s="19">
        <f t="array" ref="O19">IFERROR(INDEX(cash_flow_quarter[#All], SMALL(IF(LOWER(cash_flow_quarter[Company Name]) = LOWER(cash_flow_quarter_filter!$B$2), ROW(cash_flow_quarter[Company Name]) - ROW(INDEX(cash_flow_quarter[Company Name], 1, 1)) + 1), ROW(17:17)), COLUMN(N:N)), "")</f>
        <v>-113426301080</v>
      </c>
      <c r="P19" s="19">
        <f t="array" ref="P19">IFERROR(INDEX(cash_flow_quarter[#All], SMALL(IF(LOWER(cash_flow_quarter[Company Name]) = LOWER(cash_flow_quarter_filter!$B$2), ROW(cash_flow_quarter[Company Name]) - ROW(INDEX(cash_flow_quarter[Company Name], 1, 1)) + 1), ROW(17:17)), COLUMN(O:O)), "")</f>
        <v>0</v>
      </c>
      <c r="Q19" s="19">
        <f t="array" ref="Q19">IFERROR(INDEX(cash_flow_quarter[#All], SMALL(IF(LOWER(cash_flow_quarter[Company Name]) = LOWER(cash_flow_quarter_filter!$B$2), ROW(cash_flow_quarter[Company Name]) - ROW(INDEX(cash_flow_quarter[Company Name], 1, 1)) + 1), ROW(17:17)), COLUMN(P:P)), "")</f>
        <v>-205146327943</v>
      </c>
      <c r="R19" s="19">
        <f t="array" ref="R19">IFERROR(INDEX(cash_flow_quarter[#All], SMALL(IF(LOWER(cash_flow_quarter[Company Name]) = LOWER(cash_flow_quarter_filter!$B$2), ROW(cash_flow_quarter[Company Name]) - ROW(INDEX(cash_flow_quarter[Company Name], 1, 1)) + 1), ROW(17:17)), COLUMN(Q:Q)), "")</f>
        <v>-45126385963</v>
      </c>
      <c r="S19" s="19">
        <f t="array" ref="S19">IFERROR(INDEX(cash_flow_quarter[#All], SMALL(IF(LOWER(cash_flow_quarter[Company Name]) = LOWER(cash_flow_quarter_filter!$B$2), ROW(cash_flow_quarter[Company Name]) - ROW(INDEX(cash_flow_quarter[Company Name], 1, 1)) + 1), ROW(17:17)), COLUMN(R:R)), "")</f>
        <v>0</v>
      </c>
    </row>
    <row r="20" spans="3:19" x14ac:dyDescent="0.35">
      <c r="C20" t="str">
        <f t="array" ref="C20">IFERROR(INDEX(cash_flow_quarter[#All], SMALL(IF(LOWER(cash_flow_quarter[Company Name]) = LOWER(cash_flow_quarter_filter!$B$2), ROW(cash_flow_quarter[Company Name]) - ROW(INDEX(cash_flow_quarter[Company Name], 1, 1)) + 1), ROW(18:18)), COLUMN(B:B)), "")</f>
        <v>- Thuế thu nhập doanh nghiệp đã nộp</v>
      </c>
      <c r="D20" s="19">
        <f t="array" ref="D20">IFERROR(INDEX(cash_flow_quarter[#All], SMALL(IF(LOWER(cash_flow_quarter[Company Name]) = LOWER(cash_flow_quarter_filter!$B$2), ROW(cash_flow_quarter[Company Name]) - ROW(INDEX(cash_flow_quarter[Company Name], 1, 1)) + 1), ROW(18:18)), COLUMN(C:C)), "")</f>
        <v>-4256661593</v>
      </c>
      <c r="E20" s="19">
        <f t="array" ref="E20">IFERROR(INDEX(cash_flow_quarter[#All], SMALL(IF(LOWER(cash_flow_quarter[Company Name]) = LOWER(cash_flow_quarter_filter!$B$2), ROW(cash_flow_quarter[Company Name]) - ROW(INDEX(cash_flow_quarter[Company Name], 1, 1)) + 1), ROW(18:18)), COLUMN(D:D)), "")</f>
        <v>-4256661593</v>
      </c>
      <c r="F20" s="19">
        <f t="array" ref="F20">IFERROR(INDEX(cash_flow_quarter[#All], SMALL(IF(LOWER(cash_flow_quarter[Company Name]) = LOWER(cash_flow_quarter_filter!$B$2), ROW(cash_flow_quarter[Company Name]) - ROW(INDEX(cash_flow_quarter[Company Name], 1, 1)) + 1), ROW(18:18)), COLUMN(E:E)), "")</f>
        <v>-4256661593</v>
      </c>
      <c r="G20" s="19">
        <f t="array" ref="G20">IFERROR(INDEX(cash_flow_quarter[#All], SMALL(IF(LOWER(cash_flow_quarter[Company Name]) = LOWER(cash_flow_quarter_filter!$B$2), ROW(cash_flow_quarter[Company Name]) - ROW(INDEX(cash_flow_quarter[Company Name], 1, 1)) + 1), ROW(18:18)), COLUMN(F:F)), "")</f>
        <v>-4818676912</v>
      </c>
      <c r="H20" s="19">
        <f t="array" ref="H20">IFERROR(INDEX(cash_flow_quarter[#All], SMALL(IF(LOWER(cash_flow_quarter[Company Name]) = LOWER(cash_flow_quarter_filter!$B$2), ROW(cash_flow_quarter[Company Name]) - ROW(INDEX(cash_flow_quarter[Company Name], 1, 1)) + 1), ROW(18:18)), COLUMN(G:G)), "")</f>
        <v>-156098853323</v>
      </c>
      <c r="I20" s="19">
        <f t="array" ref="I20">IFERROR(INDEX(cash_flow_quarter[#All], SMALL(IF(LOWER(cash_flow_quarter[Company Name]) = LOWER(cash_flow_quarter_filter!$B$2), ROW(cash_flow_quarter[Company Name]) - ROW(INDEX(cash_flow_quarter[Company Name], 1, 1)) + 1), ROW(18:18)), COLUMN(H:H)), "")</f>
        <v>-8111855581</v>
      </c>
      <c r="J20" s="19">
        <f t="array" ref="J20">IFERROR(INDEX(cash_flow_quarter[#All], SMALL(IF(LOWER(cash_flow_quarter[Company Name]) = LOWER(cash_flow_quarter_filter!$B$2), ROW(cash_flow_quarter[Company Name]) - ROW(INDEX(cash_flow_quarter[Company Name], 1, 1)) + 1), ROW(18:18)), COLUMN(I:I)), "")</f>
        <v>0</v>
      </c>
      <c r="K20" s="19">
        <f t="array" ref="K20">IFERROR(INDEX(cash_flow_quarter[#All], SMALL(IF(LOWER(cash_flow_quarter[Company Name]) = LOWER(cash_flow_quarter_filter!$B$2), ROW(cash_flow_quarter[Company Name]) - ROW(INDEX(cash_flow_quarter[Company Name], 1, 1)) + 1), ROW(18:18)), COLUMN(J:J)), "")</f>
        <v>-7610160806</v>
      </c>
      <c r="L20" s="19">
        <f t="array" ref="L20">IFERROR(INDEX(cash_flow_quarter[#All], SMALL(IF(LOWER(cash_flow_quarter[Company Name]) = LOWER(cash_flow_quarter_filter!$B$2), ROW(cash_flow_quarter[Company Name]) - ROW(INDEX(cash_flow_quarter[Company Name], 1, 1)) + 1), ROW(18:18)), COLUMN(K:K)), "")</f>
        <v>-7610160806</v>
      </c>
      <c r="M20" s="19">
        <f t="array" ref="M20">IFERROR(INDEX(cash_flow_quarter[#All], SMALL(IF(LOWER(cash_flow_quarter[Company Name]) = LOWER(cash_flow_quarter_filter!$B$2), ROW(cash_flow_quarter[Company Name]) - ROW(INDEX(cash_flow_quarter[Company Name], 1, 1)) + 1), ROW(18:18)), COLUMN(L:L)), "")</f>
        <v>-7610160806</v>
      </c>
      <c r="N20" s="19">
        <f t="array" ref="N20">IFERROR(INDEX(cash_flow_quarter[#All], SMALL(IF(LOWER(cash_flow_quarter[Company Name]) = LOWER(cash_flow_quarter_filter!$B$2), ROW(cash_flow_quarter[Company Name]) - ROW(INDEX(cash_flow_quarter[Company Name], 1, 1)) + 1), ROW(18:18)), COLUMN(M:M)), "")</f>
        <v>-12700000000</v>
      </c>
      <c r="O20" s="19">
        <f t="array" ref="O20">IFERROR(INDEX(cash_flow_quarter[#All], SMALL(IF(LOWER(cash_flow_quarter[Company Name]) = LOWER(cash_flow_quarter_filter!$B$2), ROW(cash_flow_quarter[Company Name]) - ROW(INDEX(cash_flow_quarter[Company Name], 1, 1)) + 1), ROW(18:18)), COLUMN(N:N)), "")</f>
        <v>-12700000000</v>
      </c>
      <c r="P20" s="19">
        <f t="array" ref="P20">IFERROR(INDEX(cash_flow_quarter[#All], SMALL(IF(LOWER(cash_flow_quarter[Company Name]) = LOWER(cash_flow_quarter_filter!$B$2), ROW(cash_flow_quarter[Company Name]) - ROW(INDEX(cash_flow_quarter[Company Name], 1, 1)) + 1), ROW(18:18)), COLUMN(O:O)), "")</f>
        <v>0</v>
      </c>
      <c r="Q20" s="19">
        <f t="array" ref="Q20">IFERROR(INDEX(cash_flow_quarter[#All], SMALL(IF(LOWER(cash_flow_quarter[Company Name]) = LOWER(cash_flow_quarter_filter!$B$2), ROW(cash_flow_quarter[Company Name]) - ROW(INDEX(cash_flow_quarter[Company Name], 1, 1)) + 1), ROW(18:18)), COLUMN(P:P)), "")</f>
        <v>-14822505336</v>
      </c>
      <c r="R20" s="19">
        <f t="array" ref="R20">IFERROR(INDEX(cash_flow_quarter[#All], SMALL(IF(LOWER(cash_flow_quarter[Company Name]) = LOWER(cash_flow_quarter_filter!$B$2), ROW(cash_flow_quarter[Company Name]) - ROW(INDEX(cash_flow_quarter[Company Name], 1, 1)) + 1), ROW(18:18)), COLUMN(Q:Q)), "")</f>
        <v>0</v>
      </c>
      <c r="S20" s="19">
        <f t="array" ref="S20">IFERROR(INDEX(cash_flow_quarter[#All], SMALL(IF(LOWER(cash_flow_quarter[Company Name]) = LOWER(cash_flow_quarter_filter!$B$2), ROW(cash_flow_quarter[Company Name]) - ROW(INDEX(cash_flow_quarter[Company Name], 1, 1)) + 1), ROW(18:18)), COLUMN(R:R)), "")</f>
        <v>0</v>
      </c>
    </row>
    <row r="21" spans="3:19" x14ac:dyDescent="0.35">
      <c r="C21" t="str">
        <f t="array" ref="C21">IFERROR(INDEX(cash_flow_quarter[#All], SMALL(IF(LOWER(cash_flow_quarter[Company Name]) = LOWER(cash_flow_quarter_filter!$B$2), ROW(cash_flow_quarter[Company Name]) - ROW(INDEX(cash_flow_quarter[Company Name], 1, 1)) + 1), ROW(19:19)), COLUMN(B:B)), "")</f>
        <v>- Tiền thu khác từ hoạt động kinh doanh</v>
      </c>
      <c r="D21" s="19">
        <f t="array" ref="D21">IFERROR(INDEX(cash_flow_quarter[#All], SMALL(IF(LOWER(cash_flow_quarter[Company Name]) = LOWER(cash_flow_quarter_filter!$B$2), ROW(cash_flow_quarter[Company Name]) - ROW(INDEX(cash_flow_quarter[Company Name], 1, 1)) + 1), ROW(19:19)), COLUMN(C:C)), "")</f>
        <v>0</v>
      </c>
      <c r="E21" s="19">
        <f t="array" ref="E21">IFERROR(INDEX(cash_flow_quarter[#All], SMALL(IF(LOWER(cash_flow_quarter[Company Name]) = LOWER(cash_flow_quarter_filter!$B$2), ROW(cash_flow_quarter[Company Name]) - ROW(INDEX(cash_flow_quarter[Company Name], 1, 1)) + 1), ROW(19:19)), COLUMN(D:D)), "")</f>
        <v>0</v>
      </c>
      <c r="F21" s="19">
        <f t="array" ref="F21">IFERROR(INDEX(cash_flow_quarter[#All], SMALL(IF(LOWER(cash_flow_quarter[Company Name]) = LOWER(cash_flow_quarter_filter!$B$2), ROW(cash_flow_quarter[Company Name]) - ROW(INDEX(cash_flow_quarter[Company Name], 1, 1)) + 1), ROW(19:19)), COLUMN(E:E)), "")</f>
        <v>0</v>
      </c>
      <c r="G21" s="19">
        <f t="array" ref="G21">IFERROR(INDEX(cash_flow_quarter[#All], SMALL(IF(LOWER(cash_flow_quarter[Company Name]) = LOWER(cash_flow_quarter_filter!$B$2), ROW(cash_flow_quarter[Company Name]) - ROW(INDEX(cash_flow_quarter[Company Name], 1, 1)) + 1), ROW(19:19)), COLUMN(F:F)), "")</f>
        <v>0</v>
      </c>
      <c r="H21" s="19">
        <f t="array" ref="H21">IFERROR(INDEX(cash_flow_quarter[#All], SMALL(IF(LOWER(cash_flow_quarter[Company Name]) = LOWER(cash_flow_quarter_filter!$B$2), ROW(cash_flow_quarter[Company Name]) - ROW(INDEX(cash_flow_quarter[Company Name], 1, 1)) + 1), ROW(19:19)), COLUMN(G:G)), "")</f>
        <v>-8111855581</v>
      </c>
      <c r="I21" s="19">
        <f t="array" ref="I21">IFERROR(INDEX(cash_flow_quarter[#All], SMALL(IF(LOWER(cash_flow_quarter[Company Name]) = LOWER(cash_flow_quarter_filter!$B$2), ROW(cash_flow_quarter[Company Name]) - ROW(INDEX(cash_flow_quarter[Company Name], 1, 1)) + 1), ROW(19:19)), COLUMN(H:H)), "")</f>
        <v>0</v>
      </c>
      <c r="J21" s="19">
        <f t="array" ref="J21">IFERROR(INDEX(cash_flow_quarter[#All], SMALL(IF(LOWER(cash_flow_quarter[Company Name]) = LOWER(cash_flow_quarter_filter!$B$2), ROW(cash_flow_quarter[Company Name]) - ROW(INDEX(cash_flow_quarter[Company Name], 1, 1)) + 1), ROW(19:19)), COLUMN(I:I)), "")</f>
        <v>0</v>
      </c>
      <c r="K21" s="19">
        <f t="array" ref="K21">IFERROR(INDEX(cash_flow_quarter[#All], SMALL(IF(LOWER(cash_flow_quarter[Company Name]) = LOWER(cash_flow_quarter_filter!$B$2), ROW(cash_flow_quarter[Company Name]) - ROW(INDEX(cash_flow_quarter[Company Name], 1, 1)) + 1), ROW(19:19)), COLUMN(J:J)), "")</f>
        <v>0</v>
      </c>
      <c r="L21" s="19">
        <f t="array" ref="L21">IFERROR(INDEX(cash_flow_quarter[#All], SMALL(IF(LOWER(cash_flow_quarter[Company Name]) = LOWER(cash_flow_quarter_filter!$B$2), ROW(cash_flow_quarter[Company Name]) - ROW(INDEX(cash_flow_quarter[Company Name], 1, 1)) + 1), ROW(19:19)), COLUMN(K:K)), "")</f>
        <v>0</v>
      </c>
      <c r="M21" s="19">
        <f t="array" ref="M21">IFERROR(INDEX(cash_flow_quarter[#All], SMALL(IF(LOWER(cash_flow_quarter[Company Name]) = LOWER(cash_flow_quarter_filter!$B$2), ROW(cash_flow_quarter[Company Name]) - ROW(INDEX(cash_flow_quarter[Company Name], 1, 1)) + 1), ROW(19:19)), COLUMN(L:L)), "")</f>
        <v>0</v>
      </c>
      <c r="N21" s="19">
        <f t="array" ref="N21">IFERROR(INDEX(cash_flow_quarter[#All], SMALL(IF(LOWER(cash_flow_quarter[Company Name]) = LOWER(cash_flow_quarter_filter!$B$2), ROW(cash_flow_quarter[Company Name]) - ROW(INDEX(cash_flow_quarter[Company Name], 1, 1)) + 1), ROW(19:19)), COLUMN(M:M)), "")</f>
        <v>0</v>
      </c>
      <c r="O21" s="19">
        <f t="array" ref="O21">IFERROR(INDEX(cash_flow_quarter[#All], SMALL(IF(LOWER(cash_flow_quarter[Company Name]) = LOWER(cash_flow_quarter_filter!$B$2), ROW(cash_flow_quarter[Company Name]) - ROW(INDEX(cash_flow_quarter[Company Name], 1, 1)) + 1), ROW(19:19)), COLUMN(N:N)), "")</f>
        <v>0</v>
      </c>
      <c r="P21" s="19">
        <f t="array" ref="P21">IFERROR(INDEX(cash_flow_quarter[#All], SMALL(IF(LOWER(cash_flow_quarter[Company Name]) = LOWER(cash_flow_quarter_filter!$B$2), ROW(cash_flow_quarter[Company Name]) - ROW(INDEX(cash_flow_quarter[Company Name], 1, 1)) + 1), ROW(19:19)), COLUMN(O:O)), "")</f>
        <v>0</v>
      </c>
      <c r="Q21" s="19">
        <f t="array" ref="Q21">IFERROR(INDEX(cash_flow_quarter[#All], SMALL(IF(LOWER(cash_flow_quarter[Company Name]) = LOWER(cash_flow_quarter_filter!$B$2), ROW(cash_flow_quarter[Company Name]) - ROW(INDEX(cash_flow_quarter[Company Name], 1, 1)) + 1), ROW(19:19)), COLUMN(P:P)), "")</f>
        <v>0</v>
      </c>
      <c r="R21" s="19">
        <f t="array" ref="R21">IFERROR(INDEX(cash_flow_quarter[#All], SMALL(IF(LOWER(cash_flow_quarter[Company Name]) = LOWER(cash_flow_quarter_filter!$B$2), ROW(cash_flow_quarter[Company Name]) - ROW(INDEX(cash_flow_quarter[Company Name], 1, 1)) + 1), ROW(19:19)), COLUMN(Q:Q)), "")</f>
        <v>0</v>
      </c>
      <c r="S21" s="19">
        <f t="array" ref="S21">IFERROR(INDEX(cash_flow_quarter[#All], SMALL(IF(LOWER(cash_flow_quarter[Company Name]) = LOWER(cash_flow_quarter_filter!$B$2), ROW(cash_flow_quarter[Company Name]) - ROW(INDEX(cash_flow_quarter[Company Name], 1, 1)) + 1), ROW(19:19)), COLUMN(R:R)), "")</f>
        <v>0</v>
      </c>
    </row>
    <row r="22" spans="3:19" x14ac:dyDescent="0.35">
      <c r="C22" t="str">
        <f t="array" ref="C22">IFERROR(INDEX(cash_flow_quarter[#All], SMALL(IF(LOWER(cash_flow_quarter[Company Name]) = LOWER(cash_flow_quarter_filter!$B$2), ROW(cash_flow_quarter[Company Name]) - ROW(INDEX(cash_flow_quarter[Company Name], 1, 1)) + 1), ROW(20:20)), COLUMN(B:B)), "")</f>
        <v>- Tiền chi khác cho hoạt động kinh doanh</v>
      </c>
      <c r="D22" s="19">
        <f t="array" ref="D22">IFERROR(INDEX(cash_flow_quarter[#All], SMALL(IF(LOWER(cash_flow_quarter[Company Name]) = LOWER(cash_flow_quarter_filter!$B$2), ROW(cash_flow_quarter[Company Name]) - ROW(INDEX(cash_flow_quarter[Company Name], 1, 1)) + 1), ROW(20:20)), COLUMN(C:C)), "")</f>
        <v>0</v>
      </c>
      <c r="E22" s="19">
        <f t="array" ref="E22">IFERROR(INDEX(cash_flow_quarter[#All], SMALL(IF(LOWER(cash_flow_quarter[Company Name]) = LOWER(cash_flow_quarter_filter!$B$2), ROW(cash_flow_quarter[Company Name]) - ROW(INDEX(cash_flow_quarter[Company Name], 1, 1)) + 1), ROW(20:20)), COLUMN(D:D)), "")</f>
        <v>0</v>
      </c>
      <c r="F22" s="19">
        <f t="array" ref="F22">IFERROR(INDEX(cash_flow_quarter[#All], SMALL(IF(LOWER(cash_flow_quarter[Company Name]) = LOWER(cash_flow_quarter_filter!$B$2), ROW(cash_flow_quarter[Company Name]) - ROW(INDEX(cash_flow_quarter[Company Name], 1, 1)) + 1), ROW(20:20)), COLUMN(E:E)), "")</f>
        <v>0</v>
      </c>
      <c r="G22" s="19">
        <f t="array" ref="G22">IFERROR(INDEX(cash_flow_quarter[#All], SMALL(IF(LOWER(cash_flow_quarter[Company Name]) = LOWER(cash_flow_quarter_filter!$B$2), ROW(cash_flow_quarter[Company Name]) - ROW(INDEX(cash_flow_quarter[Company Name], 1, 1)) + 1), ROW(20:20)), COLUMN(F:F)), "")</f>
        <v>0</v>
      </c>
      <c r="H22" s="19">
        <f t="array" ref="H22">IFERROR(INDEX(cash_flow_quarter[#All], SMALL(IF(LOWER(cash_flow_quarter[Company Name]) = LOWER(cash_flow_quarter_filter!$B$2), ROW(cash_flow_quarter[Company Name]) - ROW(INDEX(cash_flow_quarter[Company Name], 1, 1)) + 1), ROW(20:20)), COLUMN(G:G)), "")</f>
        <v>0</v>
      </c>
      <c r="I22" s="19">
        <f t="array" ref="I22">IFERROR(INDEX(cash_flow_quarter[#All], SMALL(IF(LOWER(cash_flow_quarter[Company Name]) = LOWER(cash_flow_quarter_filter!$B$2), ROW(cash_flow_quarter[Company Name]) - ROW(INDEX(cash_flow_quarter[Company Name], 1, 1)) + 1), ROW(20:20)), COLUMN(H:H)), "")</f>
        <v>0</v>
      </c>
      <c r="J22" s="19">
        <f t="array" ref="J22">IFERROR(INDEX(cash_flow_quarter[#All], SMALL(IF(LOWER(cash_flow_quarter[Company Name]) = LOWER(cash_flow_quarter_filter!$B$2), ROW(cash_flow_quarter[Company Name]) - ROW(INDEX(cash_flow_quarter[Company Name], 1, 1)) + 1), ROW(20:20)), COLUMN(I:I)), "")</f>
        <v>-1995292200</v>
      </c>
      <c r="K22" s="19">
        <f t="array" ref="K22">IFERROR(INDEX(cash_flow_quarter[#All], SMALL(IF(LOWER(cash_flow_quarter[Company Name]) = LOWER(cash_flow_quarter_filter!$B$2), ROW(cash_flow_quarter[Company Name]) - ROW(INDEX(cash_flow_quarter[Company Name], 1, 1)) + 1), ROW(20:20)), COLUMN(J:J)), "")</f>
        <v>-1995292200</v>
      </c>
      <c r="L22" s="19">
        <f t="array" ref="L22">IFERROR(INDEX(cash_flow_quarter[#All], SMALL(IF(LOWER(cash_flow_quarter[Company Name]) = LOWER(cash_flow_quarter_filter!$B$2), ROW(cash_flow_quarter[Company Name]) - ROW(INDEX(cash_flow_quarter[Company Name], 1, 1)) + 1), ROW(20:20)), COLUMN(K:K)), "")</f>
        <v>-1995292200</v>
      </c>
      <c r="M22" s="19">
        <f t="array" ref="M22">IFERROR(INDEX(cash_flow_quarter[#All], SMALL(IF(LOWER(cash_flow_quarter[Company Name]) = LOWER(cash_flow_quarter_filter!$B$2), ROW(cash_flow_quarter[Company Name]) - ROW(INDEX(cash_flow_quarter[Company Name], 1, 1)) + 1), ROW(20:20)), COLUMN(L:L)), "")</f>
        <v>-1995292200</v>
      </c>
      <c r="N22" s="19">
        <f t="array" ref="N22">IFERROR(INDEX(cash_flow_quarter[#All], SMALL(IF(LOWER(cash_flow_quarter[Company Name]) = LOWER(cash_flow_quarter_filter!$B$2), ROW(cash_flow_quarter[Company Name]) - ROW(INDEX(cash_flow_quarter[Company Name], 1, 1)) + 1), ROW(20:20)), COLUMN(M:M)), "")</f>
        <v>0</v>
      </c>
      <c r="O22" s="19">
        <f t="array" ref="O22">IFERROR(INDEX(cash_flow_quarter[#All], SMALL(IF(LOWER(cash_flow_quarter[Company Name]) = LOWER(cash_flow_quarter_filter!$B$2), ROW(cash_flow_quarter[Company Name]) - ROW(INDEX(cash_flow_quarter[Company Name], 1, 1)) + 1), ROW(20:20)), COLUMN(N:N)), "")</f>
        <v>0</v>
      </c>
      <c r="P22" s="19">
        <f t="array" ref="P22">IFERROR(INDEX(cash_flow_quarter[#All], SMALL(IF(LOWER(cash_flow_quarter[Company Name]) = LOWER(cash_flow_quarter_filter!$B$2), ROW(cash_flow_quarter[Company Name]) - ROW(INDEX(cash_flow_quarter[Company Name], 1, 1)) + 1), ROW(20:20)), COLUMN(O:O)), "")</f>
        <v>0</v>
      </c>
      <c r="Q22" s="19">
        <f t="array" ref="Q22">IFERROR(INDEX(cash_flow_quarter[#All], SMALL(IF(LOWER(cash_flow_quarter[Company Name]) = LOWER(cash_flow_quarter_filter!$B$2), ROW(cash_flow_quarter[Company Name]) - ROW(INDEX(cash_flow_quarter[Company Name], 1, 1)) + 1), ROW(20:20)), COLUMN(P:P)), "")</f>
        <v>-3586416000</v>
      </c>
      <c r="R22" s="19">
        <f t="array" ref="R22">IFERROR(INDEX(cash_flow_quarter[#All], SMALL(IF(LOWER(cash_flow_quarter[Company Name]) = LOWER(cash_flow_quarter_filter!$B$2), ROW(cash_flow_quarter[Company Name]) - ROW(INDEX(cash_flow_quarter[Company Name], 1, 1)) + 1), ROW(20:20)), COLUMN(Q:Q)), "")</f>
        <v>0</v>
      </c>
      <c r="S22" s="19">
        <f t="array" ref="S22">IFERROR(INDEX(cash_flow_quarter[#All], SMALL(IF(LOWER(cash_flow_quarter[Company Name]) = LOWER(cash_flow_quarter_filter!$B$2), ROW(cash_flow_quarter[Company Name]) - ROW(INDEX(cash_flow_quarter[Company Name], 1, 1)) + 1), ROW(20:20)), COLUMN(R:R)), "")</f>
        <v>0</v>
      </c>
    </row>
    <row r="23" spans="3:19" x14ac:dyDescent="0.35">
      <c r="C23" t="str">
        <f t="array" ref="C23">IFERROR(INDEX(cash_flow_quarter[#All], SMALL(IF(LOWER(cash_flow_quarter[Company Name]) = LOWER(cash_flow_quarter_filter!$B$2), ROW(cash_flow_quarter[Company Name]) - ROW(INDEX(cash_flow_quarter[Company Name], 1, 1)) + 1), ROW(21:21)), COLUMN(B:B)), "")</f>
        <v>Lưu chuyển tiền thuần từ hoạt động kinh doanh</v>
      </c>
      <c r="D23" s="19">
        <f t="array" ref="D23">IFERROR(INDEX(cash_flow_quarter[#All], SMALL(IF(LOWER(cash_flow_quarter[Company Name]) = LOWER(cash_flow_quarter_filter!$B$2), ROW(cash_flow_quarter[Company Name]) - ROW(INDEX(cash_flow_quarter[Company Name], 1, 1)) + 1), ROW(21:21)), COLUMN(C:C)), "")</f>
        <v>477293456965</v>
      </c>
      <c r="E23" s="19">
        <f t="array" ref="E23">IFERROR(INDEX(cash_flow_quarter[#All], SMALL(IF(LOWER(cash_flow_quarter[Company Name]) = LOWER(cash_flow_quarter_filter!$B$2), ROW(cash_flow_quarter[Company Name]) - ROW(INDEX(cash_flow_quarter[Company Name], 1, 1)) + 1), ROW(21:21)), COLUMN(D:D)), "")</f>
        <v>745900118952</v>
      </c>
      <c r="F23" s="19">
        <f t="array" ref="F23">IFERROR(INDEX(cash_flow_quarter[#All], SMALL(IF(LOWER(cash_flow_quarter[Company Name]) = LOWER(cash_flow_quarter_filter!$B$2), ROW(cash_flow_quarter[Company Name]) - ROW(INDEX(cash_flow_quarter[Company Name], 1, 1)) + 1), ROW(21:21)), COLUMN(E:E)), "")</f>
        <v>82460011876</v>
      </c>
      <c r="G23" s="19">
        <f t="array" ref="G23">IFERROR(INDEX(cash_flow_quarter[#All], SMALL(IF(LOWER(cash_flow_quarter[Company Name]) = LOWER(cash_flow_quarter_filter!$B$2), ROW(cash_flow_quarter[Company Name]) - ROW(INDEX(cash_flow_quarter[Company Name], 1, 1)) + 1), ROW(21:21)), COLUMN(F:F)), "")</f>
        <v>130619524897</v>
      </c>
      <c r="H23" s="19">
        <f t="array" ref="H23">IFERROR(INDEX(cash_flow_quarter[#All], SMALL(IF(LOWER(cash_flow_quarter[Company Name]) = LOWER(cash_flow_quarter_filter!$B$2), ROW(cash_flow_quarter[Company Name]) - ROW(INDEX(cash_flow_quarter[Company Name], 1, 1)) + 1), ROW(21:21)), COLUMN(G:G)), "")</f>
        <v>207113506395</v>
      </c>
      <c r="I23" s="19">
        <f t="array" ref="I23">IFERROR(INDEX(cash_flow_quarter[#All], SMALL(IF(LOWER(cash_flow_quarter[Company Name]) = LOWER(cash_flow_quarter_filter!$B$2), ROW(cash_flow_quarter[Company Name]) - ROW(INDEX(cash_flow_quarter[Company Name], 1, 1)) + 1), ROW(21:21)), COLUMN(H:H)), "")</f>
        <v>206751421788</v>
      </c>
      <c r="J23" s="19">
        <f t="array" ref="J23">IFERROR(INDEX(cash_flow_quarter[#All], SMALL(IF(LOWER(cash_flow_quarter[Company Name]) = LOWER(cash_flow_quarter_filter!$B$2), ROW(cash_flow_quarter[Company Name]) - ROW(INDEX(cash_flow_quarter[Company Name], 1, 1)) + 1), ROW(21:21)), COLUMN(I:I)), "")</f>
        <v>63860913451</v>
      </c>
      <c r="K23" s="19">
        <f t="array" ref="K23">IFERROR(INDEX(cash_flow_quarter[#All], SMALL(IF(LOWER(cash_flow_quarter[Company Name]) = LOWER(cash_flow_quarter_filter!$B$2), ROW(cash_flow_quarter[Company Name]) - ROW(INDEX(cash_flow_quarter[Company Name], 1, 1)) + 1), ROW(21:21)), COLUMN(J:J)), "")</f>
        <v>209889557622</v>
      </c>
      <c r="L23" s="19">
        <f t="array" ref="L23">IFERROR(INDEX(cash_flow_quarter[#All], SMALL(IF(LOWER(cash_flow_quarter[Company Name]) = LOWER(cash_flow_quarter_filter!$B$2), ROW(cash_flow_quarter[Company Name]) - ROW(INDEX(cash_flow_quarter[Company Name], 1, 1)) + 1), ROW(21:21)), COLUMN(K:K)), "")</f>
        <v>197406848595</v>
      </c>
      <c r="M23" s="19">
        <f t="array" ref="M23">IFERROR(INDEX(cash_flow_quarter[#All], SMALL(IF(LOWER(cash_flow_quarter[Company Name]) = LOWER(cash_flow_quarter_filter!$B$2), ROW(cash_flow_quarter[Company Name]) - ROW(INDEX(cash_flow_quarter[Company Name], 1, 1)) + 1), ROW(21:21)), COLUMN(L:L)), "")</f>
        <v>310201283484</v>
      </c>
      <c r="N23" s="19">
        <f t="array" ref="N23">IFERROR(INDEX(cash_flow_quarter[#All], SMALL(IF(LOWER(cash_flow_quarter[Company Name]) = LOWER(cash_flow_quarter_filter!$B$2), ROW(cash_flow_quarter[Company Name]) - ROW(INDEX(cash_flow_quarter[Company Name], 1, 1)) + 1), ROW(21:21)), COLUMN(M:M)), "")</f>
        <v>-235508242047</v>
      </c>
      <c r="O23" s="19">
        <f t="array" ref="O23">IFERROR(INDEX(cash_flow_quarter[#All], SMALL(IF(LOWER(cash_flow_quarter[Company Name]) = LOWER(cash_flow_quarter_filter!$B$2), ROW(cash_flow_quarter[Company Name]) - ROW(INDEX(cash_flow_quarter[Company Name], 1, 1)) + 1), ROW(21:21)), COLUMN(N:N)), "")</f>
        <v>-174433069571</v>
      </c>
      <c r="P23" s="19">
        <f t="array" ref="P23">IFERROR(INDEX(cash_flow_quarter[#All], SMALL(IF(LOWER(cash_flow_quarter[Company Name]) = LOWER(cash_flow_quarter_filter!$B$2), ROW(cash_flow_quarter[Company Name]) - ROW(INDEX(cash_flow_quarter[Company Name], 1, 1)) + 1), ROW(21:21)), COLUMN(O:O)), "")</f>
        <v>0</v>
      </c>
      <c r="Q23" s="19">
        <f t="array" ref="Q23">IFERROR(INDEX(cash_flow_quarter[#All], SMALL(IF(LOWER(cash_flow_quarter[Company Name]) = LOWER(cash_flow_quarter_filter!$B$2), ROW(cash_flow_quarter[Company Name]) - ROW(INDEX(cash_flow_quarter[Company Name], 1, 1)) + 1), ROW(21:21)), COLUMN(P:P)), "")</f>
        <v>-63005376385</v>
      </c>
      <c r="R23" s="19">
        <f t="array" ref="R23">IFERROR(INDEX(cash_flow_quarter[#All], SMALL(IF(LOWER(cash_flow_quarter[Company Name]) = LOWER(cash_flow_quarter_filter!$B$2), ROW(cash_flow_quarter[Company Name]) - ROW(INDEX(cash_flow_quarter[Company Name], 1, 1)) + 1), ROW(21:21)), COLUMN(Q:Q)), "")</f>
        <v>69872487709</v>
      </c>
      <c r="S23" s="19">
        <f t="array" ref="S23">IFERROR(INDEX(cash_flow_quarter[#All], SMALL(IF(LOWER(cash_flow_quarter[Company Name]) = LOWER(cash_flow_quarter_filter!$B$2), ROW(cash_flow_quarter[Company Name]) - ROW(INDEX(cash_flow_quarter[Company Name], 1, 1)) + 1), ROW(21:21)), COLUMN(R:R)), "")</f>
        <v>0</v>
      </c>
    </row>
    <row r="24" spans="3:19" x14ac:dyDescent="0.35">
      <c r="C24" t="str">
        <f t="array" ref="C24">IFERROR(INDEX(cash_flow_quarter[#All], SMALL(IF(LOWER(cash_flow_quarter[Company Name]) = LOWER(cash_flow_quarter_filter!$B$2), ROW(cash_flow_quarter[Company Name]) - ROW(INDEX(cash_flow_quarter[Company Name], 1, 1)) + 1), ROW(22:22)), COLUMN(B:B)), "")</f>
        <v>II. Lưu chuyển tiền từ hoạt động đầu tư</v>
      </c>
      <c r="D24" s="19">
        <f t="array" ref="D24">IFERROR(INDEX(cash_flow_quarter[#All], SMALL(IF(LOWER(cash_flow_quarter[Company Name]) = LOWER(cash_flow_quarter_filter!$B$2), ROW(cash_flow_quarter[Company Name]) - ROW(INDEX(cash_flow_quarter[Company Name], 1, 1)) + 1), ROW(22:22)), COLUMN(C:C)), "")</f>
        <v>0</v>
      </c>
      <c r="E24" s="19">
        <f t="array" ref="E24">IFERROR(INDEX(cash_flow_quarter[#All], SMALL(IF(LOWER(cash_flow_quarter[Company Name]) = LOWER(cash_flow_quarter_filter!$B$2), ROW(cash_flow_quarter[Company Name]) - ROW(INDEX(cash_flow_quarter[Company Name], 1, 1)) + 1), ROW(22:22)), COLUMN(D:D)), "")</f>
        <v>0</v>
      </c>
      <c r="F24" s="19">
        <f t="array" ref="F24">IFERROR(INDEX(cash_flow_quarter[#All], SMALL(IF(LOWER(cash_flow_quarter[Company Name]) = LOWER(cash_flow_quarter_filter!$B$2), ROW(cash_flow_quarter[Company Name]) - ROW(INDEX(cash_flow_quarter[Company Name], 1, 1)) + 1), ROW(22:22)), COLUMN(E:E)), "")</f>
        <v>0</v>
      </c>
      <c r="G24" s="19">
        <f t="array" ref="G24">IFERROR(INDEX(cash_flow_quarter[#All], SMALL(IF(LOWER(cash_flow_quarter[Company Name]) = LOWER(cash_flow_quarter_filter!$B$2), ROW(cash_flow_quarter[Company Name]) - ROW(INDEX(cash_flow_quarter[Company Name], 1, 1)) + 1), ROW(22:22)), COLUMN(F:F)), "")</f>
        <v>0</v>
      </c>
      <c r="H24" s="19">
        <f t="array" ref="H24">IFERROR(INDEX(cash_flow_quarter[#All], SMALL(IF(LOWER(cash_flow_quarter[Company Name]) = LOWER(cash_flow_quarter_filter!$B$2), ROW(cash_flow_quarter[Company Name]) - ROW(INDEX(cash_flow_quarter[Company Name], 1, 1)) + 1), ROW(22:22)), COLUMN(G:G)), "")</f>
        <v>0</v>
      </c>
      <c r="I24" s="19">
        <f t="array" ref="I24">IFERROR(INDEX(cash_flow_quarter[#All], SMALL(IF(LOWER(cash_flow_quarter[Company Name]) = LOWER(cash_flow_quarter_filter!$B$2), ROW(cash_flow_quarter[Company Name]) - ROW(INDEX(cash_flow_quarter[Company Name], 1, 1)) + 1), ROW(22:22)), COLUMN(H:H)), "")</f>
        <v>0</v>
      </c>
      <c r="J24" s="19">
        <f t="array" ref="J24">IFERROR(INDEX(cash_flow_quarter[#All], SMALL(IF(LOWER(cash_flow_quarter[Company Name]) = LOWER(cash_flow_quarter_filter!$B$2), ROW(cash_flow_quarter[Company Name]) - ROW(INDEX(cash_flow_quarter[Company Name], 1, 1)) + 1), ROW(22:22)), COLUMN(I:I)), "")</f>
        <v>0</v>
      </c>
      <c r="K24" s="19">
        <f t="array" ref="K24">IFERROR(INDEX(cash_flow_quarter[#All], SMALL(IF(LOWER(cash_flow_quarter[Company Name]) = LOWER(cash_flow_quarter_filter!$B$2), ROW(cash_flow_quarter[Company Name]) - ROW(INDEX(cash_flow_quarter[Company Name], 1, 1)) + 1), ROW(22:22)), COLUMN(J:J)), "")</f>
        <v>0</v>
      </c>
      <c r="L24" s="19">
        <f t="array" ref="L24">IFERROR(INDEX(cash_flow_quarter[#All], SMALL(IF(LOWER(cash_flow_quarter[Company Name]) = LOWER(cash_flow_quarter_filter!$B$2), ROW(cash_flow_quarter[Company Name]) - ROW(INDEX(cash_flow_quarter[Company Name], 1, 1)) + 1), ROW(22:22)), COLUMN(K:K)), "")</f>
        <v>0</v>
      </c>
      <c r="M24" s="19">
        <f t="array" ref="M24">IFERROR(INDEX(cash_flow_quarter[#All], SMALL(IF(LOWER(cash_flow_quarter[Company Name]) = LOWER(cash_flow_quarter_filter!$B$2), ROW(cash_flow_quarter[Company Name]) - ROW(INDEX(cash_flow_quarter[Company Name], 1, 1)) + 1), ROW(22:22)), COLUMN(L:L)), "")</f>
        <v>0</v>
      </c>
      <c r="N24" s="19">
        <f t="array" ref="N24">IFERROR(INDEX(cash_flow_quarter[#All], SMALL(IF(LOWER(cash_flow_quarter[Company Name]) = LOWER(cash_flow_quarter_filter!$B$2), ROW(cash_flow_quarter[Company Name]) - ROW(INDEX(cash_flow_quarter[Company Name], 1, 1)) + 1), ROW(22:22)), COLUMN(M:M)), "")</f>
        <v>0</v>
      </c>
      <c r="O24" s="19">
        <f t="array" ref="O24">IFERROR(INDEX(cash_flow_quarter[#All], SMALL(IF(LOWER(cash_flow_quarter[Company Name]) = LOWER(cash_flow_quarter_filter!$B$2), ROW(cash_flow_quarter[Company Name]) - ROW(INDEX(cash_flow_quarter[Company Name], 1, 1)) + 1), ROW(22:22)), COLUMN(N:N)), "")</f>
        <v>0</v>
      </c>
      <c r="P24" s="19">
        <f t="array" ref="P24">IFERROR(INDEX(cash_flow_quarter[#All], SMALL(IF(LOWER(cash_flow_quarter[Company Name]) = LOWER(cash_flow_quarter_filter!$B$2), ROW(cash_flow_quarter[Company Name]) - ROW(INDEX(cash_flow_quarter[Company Name], 1, 1)) + 1), ROW(22:22)), COLUMN(O:O)), "")</f>
        <v>0</v>
      </c>
      <c r="Q24" s="19">
        <f t="array" ref="Q24">IFERROR(INDEX(cash_flow_quarter[#All], SMALL(IF(LOWER(cash_flow_quarter[Company Name]) = LOWER(cash_flow_quarter_filter!$B$2), ROW(cash_flow_quarter[Company Name]) - ROW(INDEX(cash_flow_quarter[Company Name], 1, 1)) + 1), ROW(22:22)), COLUMN(P:P)), "")</f>
        <v>0</v>
      </c>
      <c r="R24" s="19">
        <f t="array" ref="R24">IFERROR(INDEX(cash_flow_quarter[#All], SMALL(IF(LOWER(cash_flow_quarter[Company Name]) = LOWER(cash_flow_quarter_filter!$B$2), ROW(cash_flow_quarter[Company Name]) - ROW(INDEX(cash_flow_quarter[Company Name], 1, 1)) + 1), ROW(22:22)), COLUMN(Q:Q)), "")</f>
        <v>0</v>
      </c>
      <c r="S24" s="19">
        <f t="array" ref="S24">IFERROR(INDEX(cash_flow_quarter[#All], SMALL(IF(LOWER(cash_flow_quarter[Company Name]) = LOWER(cash_flow_quarter_filter!$B$2), ROW(cash_flow_quarter[Company Name]) - ROW(INDEX(cash_flow_quarter[Company Name], 1, 1)) + 1), ROW(22:22)), COLUMN(R:R)), "")</f>
        <v>0</v>
      </c>
    </row>
    <row r="25" spans="3:19" x14ac:dyDescent="0.35">
      <c r="C25" t="str">
        <f t="array" ref="C25">IFERROR(INDEX(cash_flow_quarter[#All], SMALL(IF(LOWER(cash_flow_quarter[Company Name]) = LOWER(cash_flow_quarter_filter!$B$2), ROW(cash_flow_quarter[Company Name]) - ROW(INDEX(cash_flow_quarter[Company Name], 1, 1)) + 1), ROW(23:23)), COLUMN(B:B)), "")</f>
        <v>1.Tiền chi để mua sắm, xây dựng TSCĐ và các tài sản dài hạn khác</v>
      </c>
      <c r="D25" s="19">
        <f t="array" ref="D25">IFERROR(INDEX(cash_flow_quarter[#All], SMALL(IF(LOWER(cash_flow_quarter[Company Name]) = LOWER(cash_flow_quarter_filter!$B$2), ROW(cash_flow_quarter[Company Name]) - ROW(INDEX(cash_flow_quarter[Company Name], 1, 1)) + 1), ROW(23:23)), COLUMN(C:C)), "")</f>
        <v>-698347041479</v>
      </c>
      <c r="E25" s="19">
        <f t="array" ref="E25">IFERROR(INDEX(cash_flow_quarter[#All], SMALL(IF(LOWER(cash_flow_quarter[Company Name]) = LOWER(cash_flow_quarter_filter!$B$2), ROW(cash_flow_quarter[Company Name]) - ROW(INDEX(cash_flow_quarter[Company Name], 1, 1)) + 1), ROW(23:23)), COLUMN(D:D)), "")</f>
        <v>-968046895297</v>
      </c>
      <c r="F25" s="19">
        <f t="array" ref="F25">IFERROR(INDEX(cash_flow_quarter[#All], SMALL(IF(LOWER(cash_flow_quarter[Company Name]) = LOWER(cash_flow_quarter_filter!$B$2), ROW(cash_flow_quarter[Company Name]) - ROW(INDEX(cash_flow_quarter[Company Name], 1, 1)) + 1), ROW(23:23)), COLUMN(E:E)), "")</f>
        <v>-36018887902</v>
      </c>
      <c r="G25" s="19">
        <f t="array" ref="G25">IFERROR(INDEX(cash_flow_quarter[#All], SMALL(IF(LOWER(cash_flow_quarter[Company Name]) = LOWER(cash_flow_quarter_filter!$B$2), ROW(cash_flow_quarter[Company Name]) - ROW(INDEX(cash_flow_quarter[Company Name], 1, 1)) + 1), ROW(23:23)), COLUMN(F:F)), "")</f>
        <v>-74491551696</v>
      </c>
      <c r="H25" s="19">
        <f t="array" ref="H25">IFERROR(INDEX(cash_flow_quarter[#All], SMALL(IF(LOWER(cash_flow_quarter[Company Name]) = LOWER(cash_flow_quarter_filter!$B$2), ROW(cash_flow_quarter[Company Name]) - ROW(INDEX(cash_flow_quarter[Company Name], 1, 1)) + 1), ROW(23:23)), COLUMN(G:G)), "")</f>
        <v>-94114827872</v>
      </c>
      <c r="I25" s="19">
        <f t="array" ref="I25">IFERROR(INDEX(cash_flow_quarter[#All], SMALL(IF(LOWER(cash_flow_quarter[Company Name]) = LOWER(cash_flow_quarter_filter!$B$2), ROW(cash_flow_quarter[Company Name]) - ROW(INDEX(cash_flow_quarter[Company Name], 1, 1)) + 1), ROW(23:23)), COLUMN(H:H)), "")</f>
        <v>-170659784016</v>
      </c>
      <c r="J25" s="19">
        <f t="array" ref="J25">IFERROR(INDEX(cash_flow_quarter[#All], SMALL(IF(LOWER(cash_flow_quarter[Company Name]) = LOWER(cash_flow_quarter_filter!$B$2), ROW(cash_flow_quarter[Company Name]) - ROW(INDEX(cash_flow_quarter[Company Name], 1, 1)) + 1), ROW(23:23)), COLUMN(I:I)), "")</f>
        <v>-4803586364</v>
      </c>
      <c r="K25" s="19">
        <f t="array" ref="K25">IFERROR(INDEX(cash_flow_quarter[#All], SMALL(IF(LOWER(cash_flow_quarter[Company Name]) = LOWER(cash_flow_quarter_filter!$B$2), ROW(cash_flow_quarter[Company Name]) - ROW(INDEX(cash_flow_quarter[Company Name], 1, 1)) + 1), ROW(23:23)), COLUMN(J:J)), "")</f>
        <v>-3899584464</v>
      </c>
      <c r="L25" s="19">
        <f t="array" ref="L25">IFERROR(INDEX(cash_flow_quarter[#All], SMALL(IF(LOWER(cash_flow_quarter[Company Name]) = LOWER(cash_flow_quarter_filter!$B$2), ROW(cash_flow_quarter[Company Name]) - ROW(INDEX(cash_flow_quarter[Company Name], 1, 1)) + 1), ROW(23:23)), COLUMN(K:K)), "")</f>
        <v>-15226174795</v>
      </c>
      <c r="M25" s="19">
        <f t="array" ref="M25">IFERROR(INDEX(cash_flow_quarter[#All], SMALL(IF(LOWER(cash_flow_quarter[Company Name]) = LOWER(cash_flow_quarter_filter!$B$2), ROW(cash_flow_quarter[Company Name]) - ROW(INDEX(cash_flow_quarter[Company Name], 1, 1)) + 1), ROW(23:23)), COLUMN(L:L)), "")</f>
        <v>-14910365175</v>
      </c>
      <c r="N25" s="19">
        <f t="array" ref="N25">IFERROR(INDEX(cash_flow_quarter[#All], SMALL(IF(LOWER(cash_flow_quarter[Company Name]) = LOWER(cash_flow_quarter_filter!$B$2), ROW(cash_flow_quarter[Company Name]) - ROW(INDEX(cash_flow_quarter[Company Name], 1, 1)) + 1), ROW(23:23)), COLUMN(M:M)), "")</f>
        <v>0</v>
      </c>
      <c r="O25" s="19">
        <f t="array" ref="O25">IFERROR(INDEX(cash_flow_quarter[#All], SMALL(IF(LOWER(cash_flow_quarter[Company Name]) = LOWER(cash_flow_quarter_filter!$B$2), ROW(cash_flow_quarter[Company Name]) - ROW(INDEX(cash_flow_quarter[Company Name], 1, 1)) + 1), ROW(23:23)), COLUMN(N:N)), "")</f>
        <v>0</v>
      </c>
      <c r="P25" s="19">
        <f t="array" ref="P25">IFERROR(INDEX(cash_flow_quarter[#All], SMALL(IF(LOWER(cash_flow_quarter[Company Name]) = LOWER(cash_flow_quarter_filter!$B$2), ROW(cash_flow_quarter[Company Name]) - ROW(INDEX(cash_flow_quarter[Company Name], 1, 1)) + 1), ROW(23:23)), COLUMN(O:O)), "")</f>
        <v>0</v>
      </c>
      <c r="Q25" s="19">
        <f t="array" ref="Q25">IFERROR(INDEX(cash_flow_quarter[#All], SMALL(IF(LOWER(cash_flow_quarter[Company Name]) = LOWER(cash_flow_quarter_filter!$B$2), ROW(cash_flow_quarter[Company Name]) - ROW(INDEX(cash_flow_quarter[Company Name], 1, 1)) + 1), ROW(23:23)), COLUMN(P:P)), "")</f>
        <v>0</v>
      </c>
      <c r="R25" s="19">
        <f t="array" ref="R25">IFERROR(INDEX(cash_flow_quarter[#All], SMALL(IF(LOWER(cash_flow_quarter[Company Name]) = LOWER(cash_flow_quarter_filter!$B$2), ROW(cash_flow_quarter[Company Name]) - ROW(INDEX(cash_flow_quarter[Company Name], 1, 1)) + 1), ROW(23:23)), COLUMN(Q:Q)), "")</f>
        <v>-432000000</v>
      </c>
      <c r="S25" s="19">
        <f t="array" ref="S25">IFERROR(INDEX(cash_flow_quarter[#All], SMALL(IF(LOWER(cash_flow_quarter[Company Name]) = LOWER(cash_flow_quarter_filter!$B$2), ROW(cash_flow_quarter[Company Name]) - ROW(INDEX(cash_flow_quarter[Company Name], 1, 1)) + 1), ROW(23:23)), COLUMN(R:R)), "")</f>
        <v>0</v>
      </c>
    </row>
    <row r="26" spans="3:19" x14ac:dyDescent="0.35">
      <c r="C26" t="str">
        <f t="array" ref="C26">IFERROR(INDEX(cash_flow_quarter[#All], SMALL(IF(LOWER(cash_flow_quarter[Company Name]) = LOWER(cash_flow_quarter_filter!$B$2), ROW(cash_flow_quarter[Company Name]) - ROW(INDEX(cash_flow_quarter[Company Name], 1, 1)) + 1), ROW(24:24)), COLUMN(B:B)), "")</f>
        <v>2.Tiền thu từ thanh lý, nhượng bán TSCĐ và các tài sản dài hạn khác</v>
      </c>
      <c r="D26" s="19">
        <f t="array" ref="D26">IFERROR(INDEX(cash_flow_quarter[#All], SMALL(IF(LOWER(cash_flow_quarter[Company Name]) = LOWER(cash_flow_quarter_filter!$B$2), ROW(cash_flow_quarter[Company Name]) - ROW(INDEX(cash_flow_quarter[Company Name], 1, 1)) + 1), ROW(24:24)), COLUMN(C:C)), "")</f>
        <v>0</v>
      </c>
      <c r="E26" s="19">
        <f t="array" ref="E26">IFERROR(INDEX(cash_flow_quarter[#All], SMALL(IF(LOWER(cash_flow_quarter[Company Name]) = LOWER(cash_flow_quarter_filter!$B$2), ROW(cash_flow_quarter[Company Name]) - ROW(INDEX(cash_flow_quarter[Company Name], 1, 1)) + 1), ROW(24:24)), COLUMN(D:D)), "")</f>
        <v>0</v>
      </c>
      <c r="F26" s="19">
        <f t="array" ref="F26">IFERROR(INDEX(cash_flow_quarter[#All], SMALL(IF(LOWER(cash_flow_quarter[Company Name]) = LOWER(cash_flow_quarter_filter!$B$2), ROW(cash_flow_quarter[Company Name]) - ROW(INDEX(cash_flow_quarter[Company Name], 1, 1)) + 1), ROW(24:24)), COLUMN(E:E)), "")</f>
        <v>0</v>
      </c>
      <c r="G26" s="19">
        <f t="array" ref="G26">IFERROR(INDEX(cash_flow_quarter[#All], SMALL(IF(LOWER(cash_flow_quarter[Company Name]) = LOWER(cash_flow_quarter_filter!$B$2), ROW(cash_flow_quarter[Company Name]) - ROW(INDEX(cash_flow_quarter[Company Name], 1, 1)) + 1), ROW(24:24)), COLUMN(F:F)), "")</f>
        <v>0</v>
      </c>
      <c r="H26" s="19">
        <f t="array" ref="H26">IFERROR(INDEX(cash_flow_quarter[#All], SMALL(IF(LOWER(cash_flow_quarter[Company Name]) = LOWER(cash_flow_quarter_filter!$B$2), ROW(cash_flow_quarter[Company Name]) - ROW(INDEX(cash_flow_quarter[Company Name], 1, 1)) + 1), ROW(24:24)), COLUMN(G:G)), "")</f>
        <v>0</v>
      </c>
      <c r="I26" s="19">
        <f t="array" ref="I26">IFERROR(INDEX(cash_flow_quarter[#All], SMALL(IF(LOWER(cash_flow_quarter[Company Name]) = LOWER(cash_flow_quarter_filter!$B$2), ROW(cash_flow_quarter[Company Name]) - ROW(INDEX(cash_flow_quarter[Company Name], 1, 1)) + 1), ROW(24:24)), COLUMN(H:H)), "")</f>
        <v>0</v>
      </c>
      <c r="J26" s="19">
        <f t="array" ref="J26">IFERROR(INDEX(cash_flow_quarter[#All], SMALL(IF(LOWER(cash_flow_quarter[Company Name]) = LOWER(cash_flow_quarter_filter!$B$2), ROW(cash_flow_quarter[Company Name]) - ROW(INDEX(cash_flow_quarter[Company Name], 1, 1)) + 1), ROW(24:24)), COLUMN(I:I)), "")</f>
        <v>0</v>
      </c>
      <c r="K26" s="19">
        <f t="array" ref="K26">IFERROR(INDEX(cash_flow_quarter[#All], SMALL(IF(LOWER(cash_flow_quarter[Company Name]) = LOWER(cash_flow_quarter_filter!$B$2), ROW(cash_flow_quarter[Company Name]) - ROW(INDEX(cash_flow_quarter[Company Name], 1, 1)) + 1), ROW(24:24)), COLUMN(J:J)), "")</f>
        <v>0</v>
      </c>
      <c r="L26" s="19">
        <f t="array" ref="L26">IFERROR(INDEX(cash_flow_quarter[#All], SMALL(IF(LOWER(cash_flow_quarter[Company Name]) = LOWER(cash_flow_quarter_filter!$B$2), ROW(cash_flow_quarter[Company Name]) - ROW(INDEX(cash_flow_quarter[Company Name], 1, 1)) + 1), ROW(24:24)), COLUMN(K:K)), "")</f>
        <v>0</v>
      </c>
      <c r="M26" s="19">
        <f t="array" ref="M26">IFERROR(INDEX(cash_flow_quarter[#All], SMALL(IF(LOWER(cash_flow_quarter[Company Name]) = LOWER(cash_flow_quarter_filter!$B$2), ROW(cash_flow_quarter[Company Name]) - ROW(INDEX(cash_flow_quarter[Company Name], 1, 1)) + 1), ROW(24:24)), COLUMN(L:L)), "")</f>
        <v>0</v>
      </c>
      <c r="N26" s="19">
        <f t="array" ref="N26">IFERROR(INDEX(cash_flow_quarter[#All], SMALL(IF(LOWER(cash_flow_quarter[Company Name]) = LOWER(cash_flow_quarter_filter!$B$2), ROW(cash_flow_quarter[Company Name]) - ROW(INDEX(cash_flow_quarter[Company Name], 1, 1)) + 1), ROW(24:24)), COLUMN(M:M)), "")</f>
        <v>0</v>
      </c>
      <c r="O26" s="19">
        <f t="array" ref="O26">IFERROR(INDEX(cash_flow_quarter[#All], SMALL(IF(LOWER(cash_flow_quarter[Company Name]) = LOWER(cash_flow_quarter_filter!$B$2), ROW(cash_flow_quarter[Company Name]) - ROW(INDEX(cash_flow_quarter[Company Name], 1, 1)) + 1), ROW(24:24)), COLUMN(N:N)), "")</f>
        <v>0</v>
      </c>
      <c r="P26" s="19">
        <f t="array" ref="P26">IFERROR(INDEX(cash_flow_quarter[#All], SMALL(IF(LOWER(cash_flow_quarter[Company Name]) = LOWER(cash_flow_quarter_filter!$B$2), ROW(cash_flow_quarter[Company Name]) - ROW(INDEX(cash_flow_quarter[Company Name], 1, 1)) + 1), ROW(24:24)), COLUMN(O:O)), "")</f>
        <v>0</v>
      </c>
      <c r="Q26" s="19">
        <f t="array" ref="Q26">IFERROR(INDEX(cash_flow_quarter[#All], SMALL(IF(LOWER(cash_flow_quarter[Company Name]) = LOWER(cash_flow_quarter_filter!$B$2), ROW(cash_flow_quarter[Company Name]) - ROW(INDEX(cash_flow_quarter[Company Name], 1, 1)) + 1), ROW(24:24)), COLUMN(P:P)), "")</f>
        <v>0</v>
      </c>
      <c r="R26" s="19">
        <f t="array" ref="R26">IFERROR(INDEX(cash_flow_quarter[#All], SMALL(IF(LOWER(cash_flow_quarter[Company Name]) = LOWER(cash_flow_quarter_filter!$B$2), ROW(cash_flow_quarter[Company Name]) - ROW(INDEX(cash_flow_quarter[Company Name], 1, 1)) + 1), ROW(24:24)), COLUMN(Q:Q)), "")</f>
        <v>0</v>
      </c>
      <c r="S26" s="19">
        <f t="array" ref="S26">IFERROR(INDEX(cash_flow_quarter[#All], SMALL(IF(LOWER(cash_flow_quarter[Company Name]) = LOWER(cash_flow_quarter_filter!$B$2), ROW(cash_flow_quarter[Company Name]) - ROW(INDEX(cash_flow_quarter[Company Name], 1, 1)) + 1), ROW(24:24)), COLUMN(R:R)), "")</f>
        <v>0</v>
      </c>
    </row>
    <row r="27" spans="3:19" x14ac:dyDescent="0.35">
      <c r="C27" t="str">
        <f t="array" ref="C27">IFERROR(INDEX(cash_flow_quarter[#All], SMALL(IF(LOWER(cash_flow_quarter[Company Name]) = LOWER(cash_flow_quarter_filter!$B$2), ROW(cash_flow_quarter[Company Name]) - ROW(INDEX(cash_flow_quarter[Company Name], 1, 1)) + 1), ROW(25:25)), COLUMN(B:B)), "")</f>
        <v>3.Tiền chi cho vay, mua các công cụ nợ của đơn vị khác</v>
      </c>
      <c r="D27" s="19">
        <f t="array" ref="D27">IFERROR(INDEX(cash_flow_quarter[#All], SMALL(IF(LOWER(cash_flow_quarter[Company Name]) = LOWER(cash_flow_quarter_filter!$B$2), ROW(cash_flow_quarter[Company Name]) - ROW(INDEX(cash_flow_quarter[Company Name], 1, 1)) + 1), ROW(25:25)), COLUMN(C:C)), "")</f>
        <v>0</v>
      </c>
      <c r="E27" s="19">
        <f t="array" ref="E27">IFERROR(INDEX(cash_flow_quarter[#All], SMALL(IF(LOWER(cash_flow_quarter[Company Name]) = LOWER(cash_flow_quarter_filter!$B$2), ROW(cash_flow_quarter[Company Name]) - ROW(INDEX(cash_flow_quarter[Company Name], 1, 1)) + 1), ROW(25:25)), COLUMN(D:D)), "")</f>
        <v>0</v>
      </c>
      <c r="F27" s="19">
        <f t="array" ref="F27">IFERROR(INDEX(cash_flow_quarter[#All], SMALL(IF(LOWER(cash_flow_quarter[Company Name]) = LOWER(cash_flow_quarter_filter!$B$2), ROW(cash_flow_quarter[Company Name]) - ROW(INDEX(cash_flow_quarter[Company Name], 1, 1)) + 1), ROW(25:25)), COLUMN(E:E)), "")</f>
        <v>0</v>
      </c>
      <c r="G27" s="19">
        <f t="array" ref="G27">IFERROR(INDEX(cash_flow_quarter[#All], SMALL(IF(LOWER(cash_flow_quarter[Company Name]) = LOWER(cash_flow_quarter_filter!$B$2), ROW(cash_flow_quarter[Company Name]) - ROW(INDEX(cash_flow_quarter[Company Name], 1, 1)) + 1), ROW(25:25)), COLUMN(F:F)), "")</f>
        <v>0</v>
      </c>
      <c r="H27" s="19">
        <f t="array" ref="H27">IFERROR(INDEX(cash_flow_quarter[#All], SMALL(IF(LOWER(cash_flow_quarter[Company Name]) = LOWER(cash_flow_quarter_filter!$B$2), ROW(cash_flow_quarter[Company Name]) - ROW(INDEX(cash_flow_quarter[Company Name], 1, 1)) + 1), ROW(25:25)), COLUMN(G:G)), "")</f>
        <v>0</v>
      </c>
      <c r="I27" s="19">
        <f t="array" ref="I27">IFERROR(INDEX(cash_flow_quarter[#All], SMALL(IF(LOWER(cash_flow_quarter[Company Name]) = LOWER(cash_flow_quarter_filter!$B$2), ROW(cash_flow_quarter[Company Name]) - ROW(INDEX(cash_flow_quarter[Company Name], 1, 1)) + 1), ROW(25:25)), COLUMN(H:H)), "")</f>
        <v>0</v>
      </c>
      <c r="J27" s="19">
        <f t="array" ref="J27">IFERROR(INDEX(cash_flow_quarter[#All], SMALL(IF(LOWER(cash_flow_quarter[Company Name]) = LOWER(cash_flow_quarter_filter!$B$2), ROW(cash_flow_quarter[Company Name]) - ROW(INDEX(cash_flow_quarter[Company Name], 1, 1)) + 1), ROW(25:25)), COLUMN(I:I)), "")</f>
        <v>0</v>
      </c>
      <c r="K27" s="19">
        <f t="array" ref="K27">IFERROR(INDEX(cash_flow_quarter[#All], SMALL(IF(LOWER(cash_flow_quarter[Company Name]) = LOWER(cash_flow_quarter_filter!$B$2), ROW(cash_flow_quarter[Company Name]) - ROW(INDEX(cash_flow_quarter[Company Name], 1, 1)) + 1), ROW(25:25)), COLUMN(J:J)), "")</f>
        <v>0</v>
      </c>
      <c r="L27" s="19">
        <f t="array" ref="L27">IFERROR(INDEX(cash_flow_quarter[#All], SMALL(IF(LOWER(cash_flow_quarter[Company Name]) = LOWER(cash_flow_quarter_filter!$B$2), ROW(cash_flow_quarter[Company Name]) - ROW(INDEX(cash_flow_quarter[Company Name], 1, 1)) + 1), ROW(25:25)), COLUMN(K:K)), "")</f>
        <v>0</v>
      </c>
      <c r="M27" s="19">
        <f t="array" ref="M27">IFERROR(INDEX(cash_flow_quarter[#All], SMALL(IF(LOWER(cash_flow_quarter[Company Name]) = LOWER(cash_flow_quarter_filter!$B$2), ROW(cash_flow_quarter[Company Name]) - ROW(INDEX(cash_flow_quarter[Company Name], 1, 1)) + 1), ROW(25:25)), COLUMN(L:L)), "")</f>
        <v>0</v>
      </c>
      <c r="N27" s="19">
        <f t="array" ref="N27">IFERROR(INDEX(cash_flow_quarter[#All], SMALL(IF(LOWER(cash_flow_quarter[Company Name]) = LOWER(cash_flow_quarter_filter!$B$2), ROW(cash_flow_quarter[Company Name]) - ROW(INDEX(cash_flow_quarter[Company Name], 1, 1)) + 1), ROW(25:25)), COLUMN(M:M)), "")</f>
        <v>0</v>
      </c>
      <c r="O27" s="19">
        <f t="array" ref="O27">IFERROR(INDEX(cash_flow_quarter[#All], SMALL(IF(LOWER(cash_flow_quarter[Company Name]) = LOWER(cash_flow_quarter_filter!$B$2), ROW(cash_flow_quarter[Company Name]) - ROW(INDEX(cash_flow_quarter[Company Name], 1, 1)) + 1), ROW(25:25)), COLUMN(N:N)), "")</f>
        <v>0</v>
      </c>
      <c r="P27" s="19">
        <f t="array" ref="P27">IFERROR(INDEX(cash_flow_quarter[#All], SMALL(IF(LOWER(cash_flow_quarter[Company Name]) = LOWER(cash_flow_quarter_filter!$B$2), ROW(cash_flow_quarter[Company Name]) - ROW(INDEX(cash_flow_quarter[Company Name], 1, 1)) + 1), ROW(25:25)), COLUMN(O:O)), "")</f>
        <v>0</v>
      </c>
      <c r="Q27" s="19">
        <f t="array" ref="Q27">IFERROR(INDEX(cash_flow_quarter[#All], SMALL(IF(LOWER(cash_flow_quarter[Company Name]) = LOWER(cash_flow_quarter_filter!$B$2), ROW(cash_flow_quarter[Company Name]) - ROW(INDEX(cash_flow_quarter[Company Name], 1, 1)) + 1), ROW(25:25)), COLUMN(P:P)), "")</f>
        <v>0</v>
      </c>
      <c r="R27" s="19">
        <f t="array" ref="R27">IFERROR(INDEX(cash_flow_quarter[#All], SMALL(IF(LOWER(cash_flow_quarter[Company Name]) = LOWER(cash_flow_quarter_filter!$B$2), ROW(cash_flow_quarter[Company Name]) - ROW(INDEX(cash_flow_quarter[Company Name], 1, 1)) + 1), ROW(25:25)), COLUMN(Q:Q)), "")</f>
        <v>0</v>
      </c>
      <c r="S27" s="19">
        <f t="array" ref="S27">IFERROR(INDEX(cash_flow_quarter[#All], SMALL(IF(LOWER(cash_flow_quarter[Company Name]) = LOWER(cash_flow_quarter_filter!$B$2), ROW(cash_flow_quarter[Company Name]) - ROW(INDEX(cash_flow_quarter[Company Name], 1, 1)) + 1), ROW(25:25)), COLUMN(R:R)), "")</f>
        <v>0</v>
      </c>
    </row>
    <row r="28" spans="3:19" x14ac:dyDescent="0.35">
      <c r="C28" t="str">
        <f t="array" ref="C28">IFERROR(INDEX(cash_flow_quarter[#All], SMALL(IF(LOWER(cash_flow_quarter[Company Name]) = LOWER(cash_flow_quarter_filter!$B$2), ROW(cash_flow_quarter[Company Name]) - ROW(INDEX(cash_flow_quarter[Company Name], 1, 1)) + 1), ROW(26:26)), COLUMN(B:B)), "")</f>
        <v>4.Tiền thu hồi cho vay, bán lại các công cụ nợ của đơn vị khác</v>
      </c>
      <c r="D28" s="19">
        <f t="array" ref="D28">IFERROR(INDEX(cash_flow_quarter[#All], SMALL(IF(LOWER(cash_flow_quarter[Company Name]) = LOWER(cash_flow_quarter_filter!$B$2), ROW(cash_flow_quarter[Company Name]) - ROW(INDEX(cash_flow_quarter[Company Name], 1, 1)) + 1), ROW(26:26)), COLUMN(C:C)), "")</f>
        <v>0</v>
      </c>
      <c r="E28" s="19">
        <f t="array" ref="E28">IFERROR(INDEX(cash_flow_quarter[#All], SMALL(IF(LOWER(cash_flow_quarter[Company Name]) = LOWER(cash_flow_quarter_filter!$B$2), ROW(cash_flow_quarter[Company Name]) - ROW(INDEX(cash_flow_quarter[Company Name], 1, 1)) + 1), ROW(26:26)), COLUMN(D:D)), "")</f>
        <v>590000000</v>
      </c>
      <c r="F28" s="19">
        <f t="array" ref="F28">IFERROR(INDEX(cash_flow_quarter[#All], SMALL(IF(LOWER(cash_flow_quarter[Company Name]) = LOWER(cash_flow_quarter_filter!$B$2), ROW(cash_flow_quarter[Company Name]) - ROW(INDEX(cash_flow_quarter[Company Name], 1, 1)) + 1), ROW(26:26)), COLUMN(E:E)), "")</f>
        <v>0</v>
      </c>
      <c r="G28" s="19">
        <f t="array" ref="G28">IFERROR(INDEX(cash_flow_quarter[#All], SMALL(IF(LOWER(cash_flow_quarter[Company Name]) = LOWER(cash_flow_quarter_filter!$B$2), ROW(cash_flow_quarter[Company Name]) - ROW(INDEX(cash_flow_quarter[Company Name], 1, 1)) + 1), ROW(26:26)), COLUMN(F:F)), "")</f>
        <v>0</v>
      </c>
      <c r="H28" s="19">
        <f t="array" ref="H28">IFERROR(INDEX(cash_flow_quarter[#All], SMALL(IF(LOWER(cash_flow_quarter[Company Name]) = LOWER(cash_flow_quarter_filter!$B$2), ROW(cash_flow_quarter[Company Name]) - ROW(INDEX(cash_flow_quarter[Company Name], 1, 1)) + 1), ROW(26:26)), COLUMN(G:G)), "")</f>
        <v>0</v>
      </c>
      <c r="I28" s="19">
        <f t="array" ref="I28">IFERROR(INDEX(cash_flow_quarter[#All], SMALL(IF(LOWER(cash_flow_quarter[Company Name]) = LOWER(cash_flow_quarter_filter!$B$2), ROW(cash_flow_quarter[Company Name]) - ROW(INDEX(cash_flow_quarter[Company Name], 1, 1)) + 1), ROW(26:26)), COLUMN(H:H)), "")</f>
        <v>0</v>
      </c>
      <c r="J28" s="19">
        <f t="array" ref="J28">IFERROR(INDEX(cash_flow_quarter[#All], SMALL(IF(LOWER(cash_flow_quarter[Company Name]) = LOWER(cash_flow_quarter_filter!$B$2), ROW(cash_flow_quarter[Company Name]) - ROW(INDEX(cash_flow_quarter[Company Name], 1, 1)) + 1), ROW(26:26)), COLUMN(I:I)), "")</f>
        <v>0</v>
      </c>
      <c r="K28" s="19">
        <f t="array" ref="K28">IFERROR(INDEX(cash_flow_quarter[#All], SMALL(IF(LOWER(cash_flow_quarter[Company Name]) = LOWER(cash_flow_quarter_filter!$B$2), ROW(cash_flow_quarter[Company Name]) - ROW(INDEX(cash_flow_quarter[Company Name], 1, 1)) + 1), ROW(26:26)), COLUMN(J:J)), "")</f>
        <v>0</v>
      </c>
      <c r="L28" s="19">
        <f t="array" ref="L28">IFERROR(INDEX(cash_flow_quarter[#All], SMALL(IF(LOWER(cash_flow_quarter[Company Name]) = LOWER(cash_flow_quarter_filter!$B$2), ROW(cash_flow_quarter[Company Name]) - ROW(INDEX(cash_flow_quarter[Company Name], 1, 1)) + 1), ROW(26:26)), COLUMN(K:K)), "")</f>
        <v>0</v>
      </c>
      <c r="M28" s="19">
        <f t="array" ref="M28">IFERROR(INDEX(cash_flow_quarter[#All], SMALL(IF(LOWER(cash_flow_quarter[Company Name]) = LOWER(cash_flow_quarter_filter!$B$2), ROW(cash_flow_quarter[Company Name]) - ROW(INDEX(cash_flow_quarter[Company Name], 1, 1)) + 1), ROW(26:26)), COLUMN(L:L)), "")</f>
        <v>0</v>
      </c>
      <c r="N28" s="19">
        <f t="array" ref="N28">IFERROR(INDEX(cash_flow_quarter[#All], SMALL(IF(LOWER(cash_flow_quarter[Company Name]) = LOWER(cash_flow_quarter_filter!$B$2), ROW(cash_flow_quarter[Company Name]) - ROW(INDEX(cash_flow_quarter[Company Name], 1, 1)) + 1), ROW(26:26)), COLUMN(M:M)), "")</f>
        <v>0</v>
      </c>
      <c r="O28" s="19">
        <f t="array" ref="O28">IFERROR(INDEX(cash_flow_quarter[#All], SMALL(IF(LOWER(cash_flow_quarter[Company Name]) = LOWER(cash_flow_quarter_filter!$B$2), ROW(cash_flow_quarter[Company Name]) - ROW(INDEX(cash_flow_quarter[Company Name], 1, 1)) + 1), ROW(26:26)), COLUMN(N:N)), "")</f>
        <v>0</v>
      </c>
      <c r="P28" s="19">
        <f t="array" ref="P28">IFERROR(INDEX(cash_flow_quarter[#All], SMALL(IF(LOWER(cash_flow_quarter[Company Name]) = LOWER(cash_flow_quarter_filter!$B$2), ROW(cash_flow_quarter[Company Name]) - ROW(INDEX(cash_flow_quarter[Company Name], 1, 1)) + 1), ROW(26:26)), COLUMN(O:O)), "")</f>
        <v>0</v>
      </c>
      <c r="Q28" s="19">
        <f t="array" ref="Q28">IFERROR(INDEX(cash_flow_quarter[#All], SMALL(IF(LOWER(cash_flow_quarter[Company Name]) = LOWER(cash_flow_quarter_filter!$B$2), ROW(cash_flow_quarter[Company Name]) - ROW(INDEX(cash_flow_quarter[Company Name], 1, 1)) + 1), ROW(26:26)), COLUMN(P:P)), "")</f>
        <v>200000000</v>
      </c>
      <c r="R28" s="19">
        <f t="array" ref="R28">IFERROR(INDEX(cash_flow_quarter[#All], SMALL(IF(LOWER(cash_flow_quarter[Company Name]) = LOWER(cash_flow_quarter_filter!$B$2), ROW(cash_flow_quarter[Company Name]) - ROW(INDEX(cash_flow_quarter[Company Name], 1, 1)) + 1), ROW(26:26)), COLUMN(Q:Q)), "")</f>
        <v>0</v>
      </c>
      <c r="S28" s="19">
        <f t="array" ref="S28">IFERROR(INDEX(cash_flow_quarter[#All], SMALL(IF(LOWER(cash_flow_quarter[Company Name]) = LOWER(cash_flow_quarter_filter!$B$2), ROW(cash_flow_quarter[Company Name]) - ROW(INDEX(cash_flow_quarter[Company Name], 1, 1)) + 1), ROW(26:26)), COLUMN(R:R)), "")</f>
        <v>0</v>
      </c>
    </row>
    <row r="29" spans="3:19" x14ac:dyDescent="0.35">
      <c r="C29" t="str">
        <f t="array" ref="C29">IFERROR(INDEX(cash_flow_quarter[#All], SMALL(IF(LOWER(cash_flow_quarter[Company Name]) = LOWER(cash_flow_quarter_filter!$B$2), ROW(cash_flow_quarter[Company Name]) - ROW(INDEX(cash_flow_quarter[Company Name], 1, 1)) + 1), ROW(27:27)), COLUMN(B:B)), "")</f>
        <v>5.Tiền chi đầu tư góp vốn vào đơn vị khác</v>
      </c>
      <c r="D29" s="19">
        <f t="array" ref="D29">IFERROR(INDEX(cash_flow_quarter[#All], SMALL(IF(LOWER(cash_flow_quarter[Company Name]) = LOWER(cash_flow_quarter_filter!$B$2), ROW(cash_flow_quarter[Company Name]) - ROW(INDEX(cash_flow_quarter[Company Name], 1, 1)) + 1), ROW(27:27)), COLUMN(C:C)), "")</f>
        <v>0</v>
      </c>
      <c r="E29" s="19">
        <f t="array" ref="E29">IFERROR(INDEX(cash_flow_quarter[#All], SMALL(IF(LOWER(cash_flow_quarter[Company Name]) = LOWER(cash_flow_quarter_filter!$B$2), ROW(cash_flow_quarter[Company Name]) - ROW(INDEX(cash_flow_quarter[Company Name], 1, 1)) + 1), ROW(27:27)), COLUMN(D:D)), "")</f>
        <v>0</v>
      </c>
      <c r="F29" s="19">
        <f t="array" ref="F29">IFERROR(INDEX(cash_flow_quarter[#All], SMALL(IF(LOWER(cash_flow_quarter[Company Name]) = LOWER(cash_flow_quarter_filter!$B$2), ROW(cash_flow_quarter[Company Name]) - ROW(INDEX(cash_flow_quarter[Company Name], 1, 1)) + 1), ROW(27:27)), COLUMN(E:E)), "")</f>
        <v>0</v>
      </c>
      <c r="G29" s="19">
        <f t="array" ref="G29">IFERROR(INDEX(cash_flow_quarter[#All], SMALL(IF(LOWER(cash_flow_quarter[Company Name]) = LOWER(cash_flow_quarter_filter!$B$2), ROW(cash_flow_quarter[Company Name]) - ROW(INDEX(cash_flow_quarter[Company Name], 1, 1)) + 1), ROW(27:27)), COLUMN(F:F)), "")</f>
        <v>0</v>
      </c>
      <c r="H29" s="19">
        <f t="array" ref="H29">IFERROR(INDEX(cash_flow_quarter[#All], SMALL(IF(LOWER(cash_flow_quarter[Company Name]) = LOWER(cash_flow_quarter_filter!$B$2), ROW(cash_flow_quarter[Company Name]) - ROW(INDEX(cash_flow_quarter[Company Name], 1, 1)) + 1), ROW(27:27)), COLUMN(G:G)), "")</f>
        <v>0</v>
      </c>
      <c r="I29" s="19">
        <f t="array" ref="I29">IFERROR(INDEX(cash_flow_quarter[#All], SMALL(IF(LOWER(cash_flow_quarter[Company Name]) = LOWER(cash_flow_quarter_filter!$B$2), ROW(cash_flow_quarter[Company Name]) - ROW(INDEX(cash_flow_quarter[Company Name], 1, 1)) + 1), ROW(27:27)), COLUMN(H:H)), "")</f>
        <v>0</v>
      </c>
      <c r="J29" s="19">
        <f t="array" ref="J29">IFERROR(INDEX(cash_flow_quarter[#All], SMALL(IF(LOWER(cash_flow_quarter[Company Name]) = LOWER(cash_flow_quarter_filter!$B$2), ROW(cash_flow_quarter[Company Name]) - ROW(INDEX(cash_flow_quarter[Company Name], 1, 1)) + 1), ROW(27:27)), COLUMN(I:I)), "")</f>
        <v>0</v>
      </c>
      <c r="K29" s="19">
        <f t="array" ref="K29">IFERROR(INDEX(cash_flow_quarter[#All], SMALL(IF(LOWER(cash_flow_quarter[Company Name]) = LOWER(cash_flow_quarter_filter!$B$2), ROW(cash_flow_quarter[Company Name]) - ROW(INDEX(cash_flow_quarter[Company Name], 1, 1)) + 1), ROW(27:27)), COLUMN(J:J)), "")</f>
        <v>0</v>
      </c>
      <c r="L29" s="19">
        <f t="array" ref="L29">IFERROR(INDEX(cash_flow_quarter[#All], SMALL(IF(LOWER(cash_flow_quarter[Company Name]) = LOWER(cash_flow_quarter_filter!$B$2), ROW(cash_flow_quarter[Company Name]) - ROW(INDEX(cash_flow_quarter[Company Name], 1, 1)) + 1), ROW(27:27)), COLUMN(K:K)), "")</f>
        <v>0</v>
      </c>
      <c r="M29" s="19">
        <f t="array" ref="M29">IFERROR(INDEX(cash_flow_quarter[#All], SMALL(IF(LOWER(cash_flow_quarter[Company Name]) = LOWER(cash_flow_quarter_filter!$B$2), ROW(cash_flow_quarter[Company Name]) - ROW(INDEX(cash_flow_quarter[Company Name], 1, 1)) + 1), ROW(27:27)), COLUMN(L:L)), "")</f>
        <v>0</v>
      </c>
      <c r="N29" s="19">
        <f t="array" ref="N29">IFERROR(INDEX(cash_flow_quarter[#All], SMALL(IF(LOWER(cash_flow_quarter[Company Name]) = LOWER(cash_flow_quarter_filter!$B$2), ROW(cash_flow_quarter[Company Name]) - ROW(INDEX(cash_flow_quarter[Company Name], 1, 1)) + 1), ROW(27:27)), COLUMN(M:M)), "")</f>
        <v>0</v>
      </c>
      <c r="O29" s="19">
        <f t="array" ref="O29">IFERROR(INDEX(cash_flow_quarter[#All], SMALL(IF(LOWER(cash_flow_quarter[Company Name]) = LOWER(cash_flow_quarter_filter!$B$2), ROW(cash_flow_quarter[Company Name]) - ROW(INDEX(cash_flow_quarter[Company Name], 1, 1)) + 1), ROW(27:27)), COLUMN(N:N)), "")</f>
        <v>0</v>
      </c>
      <c r="P29" s="19">
        <f t="array" ref="P29">IFERROR(INDEX(cash_flow_quarter[#All], SMALL(IF(LOWER(cash_flow_quarter[Company Name]) = LOWER(cash_flow_quarter_filter!$B$2), ROW(cash_flow_quarter[Company Name]) - ROW(INDEX(cash_flow_quarter[Company Name], 1, 1)) + 1), ROW(27:27)), COLUMN(O:O)), "")</f>
        <v>0</v>
      </c>
      <c r="Q29" s="19">
        <f t="array" ref="Q29">IFERROR(INDEX(cash_flow_quarter[#All], SMALL(IF(LOWER(cash_flow_quarter[Company Name]) = LOWER(cash_flow_quarter_filter!$B$2), ROW(cash_flow_quarter[Company Name]) - ROW(INDEX(cash_flow_quarter[Company Name], 1, 1)) + 1), ROW(27:27)), COLUMN(P:P)), "")</f>
        <v>0</v>
      </c>
      <c r="R29" s="19">
        <f t="array" ref="R29">IFERROR(INDEX(cash_flow_quarter[#All], SMALL(IF(LOWER(cash_flow_quarter[Company Name]) = LOWER(cash_flow_quarter_filter!$B$2), ROW(cash_flow_quarter[Company Name]) - ROW(INDEX(cash_flow_quarter[Company Name], 1, 1)) + 1), ROW(27:27)), COLUMN(Q:Q)), "")</f>
        <v>0</v>
      </c>
      <c r="S29" s="19">
        <f t="array" ref="S29">IFERROR(INDEX(cash_flow_quarter[#All], SMALL(IF(LOWER(cash_flow_quarter[Company Name]) = LOWER(cash_flow_quarter_filter!$B$2), ROW(cash_flow_quarter[Company Name]) - ROW(INDEX(cash_flow_quarter[Company Name], 1, 1)) + 1), ROW(27:27)), COLUMN(R:R)), "")</f>
        <v>0</v>
      </c>
    </row>
    <row r="30" spans="3:19" x14ac:dyDescent="0.35">
      <c r="C30" t="str">
        <f t="array" ref="C30">IFERROR(INDEX(cash_flow_quarter[#All], SMALL(IF(LOWER(cash_flow_quarter[Company Name]) = LOWER(cash_flow_quarter_filter!$B$2), ROW(cash_flow_quarter[Company Name]) - ROW(INDEX(cash_flow_quarter[Company Name], 1, 1)) + 1), ROW(28:28)), COLUMN(B:B)), "")</f>
        <v>6.Tiền thu hồi đầu tư góp vốn vào đơn vị khác</v>
      </c>
      <c r="D30" s="19">
        <f t="array" ref="D30">IFERROR(INDEX(cash_flow_quarter[#All], SMALL(IF(LOWER(cash_flow_quarter[Company Name]) = LOWER(cash_flow_quarter_filter!$B$2), ROW(cash_flow_quarter[Company Name]) - ROW(INDEX(cash_flow_quarter[Company Name], 1, 1)) + 1), ROW(28:28)), COLUMN(C:C)), "")</f>
        <v>61467889892</v>
      </c>
      <c r="E30" s="19">
        <f t="array" ref="E30">IFERROR(INDEX(cash_flow_quarter[#All], SMALL(IF(LOWER(cash_flow_quarter[Company Name]) = LOWER(cash_flow_quarter_filter!$B$2), ROW(cash_flow_quarter[Company Name]) - ROW(INDEX(cash_flow_quarter[Company Name], 1, 1)) + 1), ROW(28:28)), COLUMN(D:D)), "")</f>
        <v>61467889892</v>
      </c>
      <c r="F30" s="19">
        <f t="array" ref="F30">IFERROR(INDEX(cash_flow_quarter[#All], SMALL(IF(LOWER(cash_flow_quarter[Company Name]) = LOWER(cash_flow_quarter_filter!$B$2), ROW(cash_flow_quarter[Company Name]) - ROW(INDEX(cash_flow_quarter[Company Name], 1, 1)) + 1), ROW(28:28)), COLUMN(E:E)), "")</f>
        <v>0</v>
      </c>
      <c r="G30" s="19">
        <f t="array" ref="G30">IFERROR(INDEX(cash_flow_quarter[#All], SMALL(IF(LOWER(cash_flow_quarter[Company Name]) = LOWER(cash_flow_quarter_filter!$B$2), ROW(cash_flow_quarter[Company Name]) - ROW(INDEX(cash_flow_quarter[Company Name], 1, 1)) + 1), ROW(28:28)), COLUMN(F:F)), "")</f>
        <v>0</v>
      </c>
      <c r="H30" s="19">
        <f t="array" ref="H30">IFERROR(INDEX(cash_flow_quarter[#All], SMALL(IF(LOWER(cash_flow_quarter[Company Name]) = LOWER(cash_flow_quarter_filter!$B$2), ROW(cash_flow_quarter[Company Name]) - ROW(INDEX(cash_flow_quarter[Company Name], 1, 1)) + 1), ROW(28:28)), COLUMN(G:G)), "")</f>
        <v>0</v>
      </c>
      <c r="I30" s="19">
        <f t="array" ref="I30">IFERROR(INDEX(cash_flow_quarter[#All], SMALL(IF(LOWER(cash_flow_quarter[Company Name]) = LOWER(cash_flow_quarter_filter!$B$2), ROW(cash_flow_quarter[Company Name]) - ROW(INDEX(cash_flow_quarter[Company Name], 1, 1)) + 1), ROW(28:28)), COLUMN(H:H)), "")</f>
        <v>0</v>
      </c>
      <c r="J30" s="19">
        <f t="array" ref="J30">IFERROR(INDEX(cash_flow_quarter[#All], SMALL(IF(LOWER(cash_flow_quarter[Company Name]) = LOWER(cash_flow_quarter_filter!$B$2), ROW(cash_flow_quarter[Company Name]) - ROW(INDEX(cash_flow_quarter[Company Name], 1, 1)) + 1), ROW(28:28)), COLUMN(I:I)), "")</f>
        <v>0</v>
      </c>
      <c r="K30" s="19">
        <f t="array" ref="K30">IFERROR(INDEX(cash_flow_quarter[#All], SMALL(IF(LOWER(cash_flow_quarter[Company Name]) = LOWER(cash_flow_quarter_filter!$B$2), ROW(cash_flow_quarter[Company Name]) - ROW(INDEX(cash_flow_quarter[Company Name], 1, 1)) + 1), ROW(28:28)), COLUMN(J:J)), "")</f>
        <v>0</v>
      </c>
      <c r="L30" s="19">
        <f t="array" ref="L30">IFERROR(INDEX(cash_flow_quarter[#All], SMALL(IF(LOWER(cash_flow_quarter[Company Name]) = LOWER(cash_flow_quarter_filter!$B$2), ROW(cash_flow_quarter[Company Name]) - ROW(INDEX(cash_flow_quarter[Company Name], 1, 1)) + 1), ROW(28:28)), COLUMN(K:K)), "")</f>
        <v>0</v>
      </c>
      <c r="M30" s="19">
        <f t="array" ref="M30">IFERROR(INDEX(cash_flow_quarter[#All], SMALL(IF(LOWER(cash_flow_quarter[Company Name]) = LOWER(cash_flow_quarter_filter!$B$2), ROW(cash_flow_quarter[Company Name]) - ROW(INDEX(cash_flow_quarter[Company Name], 1, 1)) + 1), ROW(28:28)), COLUMN(L:L)), "")</f>
        <v>0</v>
      </c>
      <c r="N30" s="19">
        <f t="array" ref="N30">IFERROR(INDEX(cash_flow_quarter[#All], SMALL(IF(LOWER(cash_flow_quarter[Company Name]) = LOWER(cash_flow_quarter_filter!$B$2), ROW(cash_flow_quarter[Company Name]) - ROW(INDEX(cash_flow_quarter[Company Name], 1, 1)) + 1), ROW(28:28)), COLUMN(M:M)), "")</f>
        <v>0</v>
      </c>
      <c r="O30" s="19">
        <f t="array" ref="O30">IFERROR(INDEX(cash_flow_quarter[#All], SMALL(IF(LOWER(cash_flow_quarter[Company Name]) = LOWER(cash_flow_quarter_filter!$B$2), ROW(cash_flow_quarter[Company Name]) - ROW(INDEX(cash_flow_quarter[Company Name], 1, 1)) + 1), ROW(28:28)), COLUMN(N:N)), "")</f>
        <v>0</v>
      </c>
      <c r="P30" s="19">
        <f t="array" ref="P30">IFERROR(INDEX(cash_flow_quarter[#All], SMALL(IF(LOWER(cash_flow_quarter[Company Name]) = LOWER(cash_flow_quarter_filter!$B$2), ROW(cash_flow_quarter[Company Name]) - ROW(INDEX(cash_flow_quarter[Company Name], 1, 1)) + 1), ROW(28:28)), COLUMN(O:O)), "")</f>
        <v>0</v>
      </c>
      <c r="Q30" s="19">
        <f t="array" ref="Q30">IFERROR(INDEX(cash_flow_quarter[#All], SMALL(IF(LOWER(cash_flow_quarter[Company Name]) = LOWER(cash_flow_quarter_filter!$B$2), ROW(cash_flow_quarter[Company Name]) - ROW(INDEX(cash_flow_quarter[Company Name], 1, 1)) + 1), ROW(28:28)), COLUMN(P:P)), "")</f>
        <v>0</v>
      </c>
      <c r="R30" s="19">
        <f t="array" ref="R30">IFERROR(INDEX(cash_flow_quarter[#All], SMALL(IF(LOWER(cash_flow_quarter[Company Name]) = LOWER(cash_flow_quarter_filter!$B$2), ROW(cash_flow_quarter[Company Name]) - ROW(INDEX(cash_flow_quarter[Company Name], 1, 1)) + 1), ROW(28:28)), COLUMN(Q:Q)), "")</f>
        <v>0</v>
      </c>
      <c r="S30" s="19">
        <f t="array" ref="S30">IFERROR(INDEX(cash_flow_quarter[#All], SMALL(IF(LOWER(cash_flow_quarter[Company Name]) = LOWER(cash_flow_quarter_filter!$B$2), ROW(cash_flow_quarter[Company Name]) - ROW(INDEX(cash_flow_quarter[Company Name], 1, 1)) + 1), ROW(28:28)), COLUMN(R:R)), "")</f>
        <v>0</v>
      </c>
    </row>
    <row r="31" spans="3:19" x14ac:dyDescent="0.35">
      <c r="C31" t="str">
        <f t="array" ref="C31">IFERROR(INDEX(cash_flow_quarter[#All], SMALL(IF(LOWER(cash_flow_quarter[Company Name]) = LOWER(cash_flow_quarter_filter!$B$2), ROW(cash_flow_quarter[Company Name]) - ROW(INDEX(cash_flow_quarter[Company Name], 1, 1)) + 1), ROW(29:29)), COLUMN(B:B)), "")</f>
        <v>7.Tiền thu lãi cho vay, cổ tức và lợi nhuận được chia</v>
      </c>
      <c r="D31" s="19">
        <f t="array" ref="D31">IFERROR(INDEX(cash_flow_quarter[#All], SMALL(IF(LOWER(cash_flow_quarter[Company Name]) = LOWER(cash_flow_quarter_filter!$B$2), ROW(cash_flow_quarter[Company Name]) - ROW(INDEX(cash_flow_quarter[Company Name], 1, 1)) + 1), ROW(29:29)), COLUMN(C:C)), "")</f>
        <v>12761073</v>
      </c>
      <c r="E31" s="19">
        <f t="array" ref="E31">IFERROR(INDEX(cash_flow_quarter[#All], SMALL(IF(LOWER(cash_flow_quarter[Company Name]) = LOWER(cash_flow_quarter_filter!$B$2), ROW(cash_flow_quarter[Company Name]) - ROW(INDEX(cash_flow_quarter[Company Name], 1, 1)) + 1), ROW(29:29)), COLUMN(D:D)), "")</f>
        <v>163385273</v>
      </c>
      <c r="F31" s="19">
        <f t="array" ref="F31">IFERROR(INDEX(cash_flow_quarter[#All], SMALL(IF(LOWER(cash_flow_quarter[Company Name]) = LOWER(cash_flow_quarter_filter!$B$2), ROW(cash_flow_quarter[Company Name]) - ROW(INDEX(cash_flow_quarter[Company Name], 1, 1)) + 1), ROW(29:29)), COLUMN(E:E)), "")</f>
        <v>5446758</v>
      </c>
      <c r="G31" s="19">
        <f t="array" ref="G31">IFERROR(INDEX(cash_flow_quarter[#All], SMALL(IF(LOWER(cash_flow_quarter[Company Name]) = LOWER(cash_flow_quarter_filter!$B$2), ROW(cash_flow_quarter[Company Name]) - ROW(INDEX(cash_flow_quarter[Company Name], 1, 1)) + 1), ROW(29:29)), COLUMN(F:F)), "")</f>
        <v>10560002</v>
      </c>
      <c r="H31" s="19">
        <f t="array" ref="H31">IFERROR(INDEX(cash_flow_quarter[#All], SMALL(IF(LOWER(cash_flow_quarter[Company Name]) = LOWER(cash_flow_quarter_filter!$B$2), ROW(cash_flow_quarter[Company Name]) - ROW(INDEX(cash_flow_quarter[Company Name], 1, 1)) + 1), ROW(29:29)), COLUMN(G:G)), "")</f>
        <v>16031974</v>
      </c>
      <c r="I31" s="19">
        <f t="array" ref="I31">IFERROR(INDEX(cash_flow_quarter[#All], SMALL(IF(LOWER(cash_flow_quarter[Company Name]) = LOWER(cash_flow_quarter_filter!$B$2), ROW(cash_flow_quarter[Company Name]) - ROW(INDEX(cash_flow_quarter[Company Name], 1, 1)) + 1), ROW(29:29)), COLUMN(H:H)), "")</f>
        <v>104012408</v>
      </c>
      <c r="J31" s="19">
        <f t="array" ref="J31">IFERROR(INDEX(cash_flow_quarter[#All], SMALL(IF(LOWER(cash_flow_quarter[Company Name]) = LOWER(cash_flow_quarter_filter!$B$2), ROW(cash_flow_quarter[Company Name]) - ROW(INDEX(cash_flow_quarter[Company Name], 1, 1)) + 1), ROW(29:29)), COLUMN(I:I)), "")</f>
        <v>7550566</v>
      </c>
      <c r="K31" s="19">
        <f t="array" ref="K31">IFERROR(INDEX(cash_flow_quarter[#All], SMALL(IF(LOWER(cash_flow_quarter[Company Name]) = LOWER(cash_flow_quarter_filter!$B$2), ROW(cash_flow_quarter[Company Name]) - ROW(INDEX(cash_flow_quarter[Company Name], 1, 1)) + 1), ROW(29:29)), COLUMN(J:J)), "")</f>
        <v>17069186</v>
      </c>
      <c r="L31" s="19">
        <f t="array" ref="L31">IFERROR(INDEX(cash_flow_quarter[#All], SMALL(IF(LOWER(cash_flow_quarter[Company Name]) = LOWER(cash_flow_quarter_filter!$B$2), ROW(cash_flow_quarter[Company Name]) - ROW(INDEX(cash_flow_quarter[Company Name], 1, 1)) + 1), ROW(29:29)), COLUMN(K:K)), "")</f>
        <v>35208183</v>
      </c>
      <c r="M31" s="19">
        <f t="array" ref="M31">IFERROR(INDEX(cash_flow_quarter[#All], SMALL(IF(LOWER(cash_flow_quarter[Company Name]) = LOWER(cash_flow_quarter_filter!$B$2), ROW(cash_flow_quarter[Company Name]) - ROW(INDEX(cash_flow_quarter[Company Name], 1, 1)) + 1), ROW(29:29)), COLUMN(L:L)), "")</f>
        <v>129442717</v>
      </c>
      <c r="N31" s="19">
        <f t="array" ref="N31">IFERROR(INDEX(cash_flow_quarter[#All], SMALL(IF(LOWER(cash_flow_quarter[Company Name]) = LOWER(cash_flow_quarter_filter!$B$2), ROW(cash_flow_quarter[Company Name]) - ROW(INDEX(cash_flow_quarter[Company Name], 1, 1)) + 1), ROW(29:29)), COLUMN(M:M)), "")</f>
        <v>11499679</v>
      </c>
      <c r="O31" s="19">
        <f t="array" ref="O31">IFERROR(INDEX(cash_flow_quarter[#All], SMALL(IF(LOWER(cash_flow_quarter[Company Name]) = LOWER(cash_flow_quarter_filter!$B$2), ROW(cash_flow_quarter[Company Name]) - ROW(INDEX(cash_flow_quarter[Company Name], 1, 1)) + 1), ROW(29:29)), COLUMN(N:N)), "")</f>
        <v>14837283</v>
      </c>
      <c r="P31" s="19">
        <f t="array" ref="P31">IFERROR(INDEX(cash_flow_quarter[#All], SMALL(IF(LOWER(cash_flow_quarter[Company Name]) = LOWER(cash_flow_quarter_filter!$B$2), ROW(cash_flow_quarter[Company Name]) - ROW(INDEX(cash_flow_quarter[Company Name], 1, 1)) + 1), ROW(29:29)), COLUMN(O:O)), "")</f>
        <v>0</v>
      </c>
      <c r="Q31" s="19">
        <f t="array" ref="Q31">IFERROR(INDEX(cash_flow_quarter[#All], SMALL(IF(LOWER(cash_flow_quarter[Company Name]) = LOWER(cash_flow_quarter_filter!$B$2), ROW(cash_flow_quarter[Company Name]) - ROW(INDEX(cash_flow_quarter[Company Name], 1, 1)) + 1), ROW(29:29)), COLUMN(P:P)), "")</f>
        <v>172486239</v>
      </c>
      <c r="R31" s="19">
        <f t="array" ref="R31">IFERROR(INDEX(cash_flow_quarter[#All], SMALL(IF(LOWER(cash_flow_quarter[Company Name]) = LOWER(cash_flow_quarter_filter!$B$2), ROW(cash_flow_quarter[Company Name]) - ROW(INDEX(cash_flow_quarter[Company Name], 1, 1)) + 1), ROW(29:29)), COLUMN(Q:Q)), "")</f>
        <v>4015197</v>
      </c>
      <c r="S31" s="19">
        <f t="array" ref="S31">IFERROR(INDEX(cash_flow_quarter[#All], SMALL(IF(LOWER(cash_flow_quarter[Company Name]) = LOWER(cash_flow_quarter_filter!$B$2), ROW(cash_flow_quarter[Company Name]) - ROW(INDEX(cash_flow_quarter[Company Name], 1, 1)) + 1), ROW(29:29)), COLUMN(R:R)), "")</f>
        <v>0</v>
      </c>
    </row>
    <row r="32" spans="3:19" x14ac:dyDescent="0.35">
      <c r="C32" t="str">
        <f t="array" ref="C32">IFERROR(INDEX(cash_flow_quarter[#All], SMALL(IF(LOWER(cash_flow_quarter[Company Name]) = LOWER(cash_flow_quarter_filter!$B$2), ROW(cash_flow_quarter[Company Name]) - ROW(INDEX(cash_flow_quarter[Company Name], 1, 1)) + 1), ROW(30:30)), COLUMN(B:B)), "")</f>
        <v>Lưu chuyển tiền thuần từ hoạt động đầu tư</v>
      </c>
      <c r="D32" s="19">
        <f t="array" ref="D32">IFERROR(INDEX(cash_flow_quarter[#All], SMALL(IF(LOWER(cash_flow_quarter[Company Name]) = LOWER(cash_flow_quarter_filter!$B$2), ROW(cash_flow_quarter[Company Name]) - ROW(INDEX(cash_flow_quarter[Company Name], 1, 1)) + 1), ROW(30:30)), COLUMN(C:C)), "")</f>
        <v>-636866390514</v>
      </c>
      <c r="E32" s="19">
        <f t="array" ref="E32">IFERROR(INDEX(cash_flow_quarter[#All], SMALL(IF(LOWER(cash_flow_quarter[Company Name]) = LOWER(cash_flow_quarter_filter!$B$2), ROW(cash_flow_quarter[Company Name]) - ROW(INDEX(cash_flow_quarter[Company Name], 1, 1)) + 1), ROW(30:30)), COLUMN(D:D)), "")</f>
        <v>-905825620132</v>
      </c>
      <c r="F32" s="19">
        <f t="array" ref="F32">IFERROR(INDEX(cash_flow_quarter[#All], SMALL(IF(LOWER(cash_flow_quarter[Company Name]) = LOWER(cash_flow_quarter_filter!$B$2), ROW(cash_flow_quarter[Company Name]) - ROW(INDEX(cash_flow_quarter[Company Name], 1, 1)) + 1), ROW(30:30)), COLUMN(E:E)), "")</f>
        <v>-36013441144</v>
      </c>
      <c r="G32" s="19">
        <f t="array" ref="G32">IFERROR(INDEX(cash_flow_quarter[#All], SMALL(IF(LOWER(cash_flow_quarter[Company Name]) = LOWER(cash_flow_quarter_filter!$B$2), ROW(cash_flow_quarter[Company Name]) - ROW(INDEX(cash_flow_quarter[Company Name], 1, 1)) + 1), ROW(30:30)), COLUMN(F:F)), "")</f>
        <v>-74480991694</v>
      </c>
      <c r="H32" s="19">
        <f t="array" ref="H32">IFERROR(INDEX(cash_flow_quarter[#All], SMALL(IF(LOWER(cash_flow_quarter[Company Name]) = LOWER(cash_flow_quarter_filter!$B$2), ROW(cash_flow_quarter[Company Name]) - ROW(INDEX(cash_flow_quarter[Company Name], 1, 1)) + 1), ROW(30:30)), COLUMN(G:G)), "")</f>
        <v>-94098795898</v>
      </c>
      <c r="I32" s="19">
        <f t="array" ref="I32">IFERROR(INDEX(cash_flow_quarter[#All], SMALL(IF(LOWER(cash_flow_quarter[Company Name]) = LOWER(cash_flow_quarter_filter!$B$2), ROW(cash_flow_quarter[Company Name]) - ROW(INDEX(cash_flow_quarter[Company Name], 1, 1)) + 1), ROW(30:30)), COLUMN(H:H)), "")</f>
        <v>-170555771608</v>
      </c>
      <c r="J32" s="19">
        <f t="array" ref="J32">IFERROR(INDEX(cash_flow_quarter[#All], SMALL(IF(LOWER(cash_flow_quarter[Company Name]) = LOWER(cash_flow_quarter_filter!$B$2), ROW(cash_flow_quarter[Company Name]) - ROW(INDEX(cash_flow_quarter[Company Name], 1, 1)) + 1), ROW(30:30)), COLUMN(I:I)), "")</f>
        <v>-4796035798</v>
      </c>
      <c r="K32" s="19">
        <f t="array" ref="K32">IFERROR(INDEX(cash_flow_quarter[#All], SMALL(IF(LOWER(cash_flow_quarter[Company Name]) = LOWER(cash_flow_quarter_filter!$B$2), ROW(cash_flow_quarter[Company Name]) - ROW(INDEX(cash_flow_quarter[Company Name], 1, 1)) + 1), ROW(30:30)), COLUMN(J:J)), "")</f>
        <v>-3882515278</v>
      </c>
      <c r="L32" s="19">
        <f t="array" ref="L32">IFERROR(INDEX(cash_flow_quarter[#All], SMALL(IF(LOWER(cash_flow_quarter[Company Name]) = LOWER(cash_flow_quarter_filter!$B$2), ROW(cash_flow_quarter[Company Name]) - ROW(INDEX(cash_flow_quarter[Company Name], 1, 1)) + 1), ROW(30:30)), COLUMN(K:K)), "")</f>
        <v>-15190966612</v>
      </c>
      <c r="M32" s="19">
        <f t="array" ref="M32">IFERROR(INDEX(cash_flow_quarter[#All], SMALL(IF(LOWER(cash_flow_quarter[Company Name]) = LOWER(cash_flow_quarter_filter!$B$2), ROW(cash_flow_quarter[Company Name]) - ROW(INDEX(cash_flow_quarter[Company Name], 1, 1)) + 1), ROW(30:30)), COLUMN(L:L)), "")</f>
        <v>-14780922458</v>
      </c>
      <c r="N32" s="19">
        <f t="array" ref="N32">IFERROR(INDEX(cash_flow_quarter[#All], SMALL(IF(LOWER(cash_flow_quarter[Company Name]) = LOWER(cash_flow_quarter_filter!$B$2), ROW(cash_flow_quarter[Company Name]) - ROW(INDEX(cash_flow_quarter[Company Name], 1, 1)) + 1), ROW(30:30)), COLUMN(M:M)), "")</f>
        <v>11499679</v>
      </c>
      <c r="O32" s="19">
        <f t="array" ref="O32">IFERROR(INDEX(cash_flow_quarter[#All], SMALL(IF(LOWER(cash_flow_quarter[Company Name]) = LOWER(cash_flow_quarter_filter!$B$2), ROW(cash_flow_quarter[Company Name]) - ROW(INDEX(cash_flow_quarter[Company Name], 1, 1)) + 1), ROW(30:30)), COLUMN(N:N)), "")</f>
        <v>14837283</v>
      </c>
      <c r="P32" s="19">
        <f t="array" ref="P32">IFERROR(INDEX(cash_flow_quarter[#All], SMALL(IF(LOWER(cash_flow_quarter[Company Name]) = LOWER(cash_flow_quarter_filter!$B$2), ROW(cash_flow_quarter[Company Name]) - ROW(INDEX(cash_flow_quarter[Company Name], 1, 1)) + 1), ROW(30:30)), COLUMN(O:O)), "")</f>
        <v>0</v>
      </c>
      <c r="Q32" s="19">
        <f t="array" ref="Q32">IFERROR(INDEX(cash_flow_quarter[#All], SMALL(IF(LOWER(cash_flow_quarter[Company Name]) = LOWER(cash_flow_quarter_filter!$B$2), ROW(cash_flow_quarter[Company Name]) - ROW(INDEX(cash_flow_quarter[Company Name], 1, 1)) + 1), ROW(30:30)), COLUMN(P:P)), "")</f>
        <v>372486239</v>
      </c>
      <c r="R32" s="19">
        <f t="array" ref="R32">IFERROR(INDEX(cash_flow_quarter[#All], SMALL(IF(LOWER(cash_flow_quarter[Company Name]) = LOWER(cash_flow_quarter_filter!$B$2), ROW(cash_flow_quarter[Company Name]) - ROW(INDEX(cash_flow_quarter[Company Name], 1, 1)) + 1), ROW(30:30)), COLUMN(Q:Q)), "")</f>
        <v>-427984803</v>
      </c>
      <c r="S32" s="19">
        <f t="array" ref="S32">IFERROR(INDEX(cash_flow_quarter[#All], SMALL(IF(LOWER(cash_flow_quarter[Company Name]) = LOWER(cash_flow_quarter_filter!$B$2), ROW(cash_flow_quarter[Company Name]) - ROW(INDEX(cash_flow_quarter[Company Name], 1, 1)) + 1), ROW(30:30)), COLUMN(R:R)), "")</f>
        <v>0</v>
      </c>
    </row>
    <row r="33" spans="3:19" x14ac:dyDescent="0.35">
      <c r="C33" t="str">
        <f t="array" ref="C33">IFERROR(INDEX(cash_flow_quarter[#All], SMALL(IF(LOWER(cash_flow_quarter[Company Name]) = LOWER(cash_flow_quarter_filter!$B$2), ROW(cash_flow_quarter[Company Name]) - ROW(INDEX(cash_flow_quarter[Company Name], 1, 1)) + 1), ROW(31:31)), COLUMN(B:B)), "")</f>
        <v>III. Lưu chuyển tiền từ hoạt động tài chính</v>
      </c>
      <c r="D33" s="19">
        <f t="array" ref="D33">IFERROR(INDEX(cash_flow_quarter[#All], SMALL(IF(LOWER(cash_flow_quarter[Company Name]) = LOWER(cash_flow_quarter_filter!$B$2), ROW(cash_flow_quarter[Company Name]) - ROW(INDEX(cash_flow_quarter[Company Name], 1, 1)) + 1), ROW(31:31)), COLUMN(C:C)), "")</f>
        <v>0</v>
      </c>
      <c r="E33" s="19">
        <f t="array" ref="E33">IFERROR(INDEX(cash_flow_quarter[#All], SMALL(IF(LOWER(cash_flow_quarter[Company Name]) = LOWER(cash_flow_quarter_filter!$B$2), ROW(cash_flow_quarter[Company Name]) - ROW(INDEX(cash_flow_quarter[Company Name], 1, 1)) + 1), ROW(31:31)), COLUMN(D:D)), "")</f>
        <v>0</v>
      </c>
      <c r="F33" s="19">
        <f t="array" ref="F33">IFERROR(INDEX(cash_flow_quarter[#All], SMALL(IF(LOWER(cash_flow_quarter[Company Name]) = LOWER(cash_flow_quarter_filter!$B$2), ROW(cash_flow_quarter[Company Name]) - ROW(INDEX(cash_flow_quarter[Company Name], 1, 1)) + 1), ROW(31:31)), COLUMN(E:E)), "")</f>
        <v>0</v>
      </c>
      <c r="G33" s="19">
        <f t="array" ref="G33">IFERROR(INDEX(cash_flow_quarter[#All], SMALL(IF(LOWER(cash_flow_quarter[Company Name]) = LOWER(cash_flow_quarter_filter!$B$2), ROW(cash_flow_quarter[Company Name]) - ROW(INDEX(cash_flow_quarter[Company Name], 1, 1)) + 1), ROW(31:31)), COLUMN(F:F)), "")</f>
        <v>0</v>
      </c>
      <c r="H33" s="19">
        <f t="array" ref="H33">IFERROR(INDEX(cash_flow_quarter[#All], SMALL(IF(LOWER(cash_flow_quarter[Company Name]) = LOWER(cash_flow_quarter_filter!$B$2), ROW(cash_flow_quarter[Company Name]) - ROW(INDEX(cash_flow_quarter[Company Name], 1, 1)) + 1), ROW(31:31)), COLUMN(G:G)), "")</f>
        <v>0</v>
      </c>
      <c r="I33" s="19">
        <f t="array" ref="I33">IFERROR(INDEX(cash_flow_quarter[#All], SMALL(IF(LOWER(cash_flow_quarter[Company Name]) = LOWER(cash_flow_quarter_filter!$B$2), ROW(cash_flow_quarter[Company Name]) - ROW(INDEX(cash_flow_quarter[Company Name], 1, 1)) + 1), ROW(31:31)), COLUMN(H:H)), "")</f>
        <v>0</v>
      </c>
      <c r="J33" s="19">
        <f t="array" ref="J33">IFERROR(INDEX(cash_flow_quarter[#All], SMALL(IF(LOWER(cash_flow_quarter[Company Name]) = LOWER(cash_flow_quarter_filter!$B$2), ROW(cash_flow_quarter[Company Name]) - ROW(INDEX(cash_flow_quarter[Company Name], 1, 1)) + 1), ROW(31:31)), COLUMN(I:I)), "")</f>
        <v>0</v>
      </c>
      <c r="K33" s="19">
        <f t="array" ref="K33">IFERROR(INDEX(cash_flow_quarter[#All], SMALL(IF(LOWER(cash_flow_quarter[Company Name]) = LOWER(cash_flow_quarter_filter!$B$2), ROW(cash_flow_quarter[Company Name]) - ROW(INDEX(cash_flow_quarter[Company Name], 1, 1)) + 1), ROW(31:31)), COLUMN(J:J)), "")</f>
        <v>0</v>
      </c>
      <c r="L33" s="19">
        <f t="array" ref="L33">IFERROR(INDEX(cash_flow_quarter[#All], SMALL(IF(LOWER(cash_flow_quarter[Company Name]) = LOWER(cash_flow_quarter_filter!$B$2), ROW(cash_flow_quarter[Company Name]) - ROW(INDEX(cash_flow_quarter[Company Name], 1, 1)) + 1), ROW(31:31)), COLUMN(K:K)), "")</f>
        <v>0</v>
      </c>
      <c r="M33" s="19">
        <f t="array" ref="M33">IFERROR(INDEX(cash_flow_quarter[#All], SMALL(IF(LOWER(cash_flow_quarter[Company Name]) = LOWER(cash_flow_quarter_filter!$B$2), ROW(cash_flow_quarter[Company Name]) - ROW(INDEX(cash_flow_quarter[Company Name], 1, 1)) + 1), ROW(31:31)), COLUMN(L:L)), "")</f>
        <v>0</v>
      </c>
      <c r="N33" s="19">
        <f t="array" ref="N33">IFERROR(INDEX(cash_flow_quarter[#All], SMALL(IF(LOWER(cash_flow_quarter[Company Name]) = LOWER(cash_flow_quarter_filter!$B$2), ROW(cash_flow_quarter[Company Name]) - ROW(INDEX(cash_flow_quarter[Company Name], 1, 1)) + 1), ROW(31:31)), COLUMN(M:M)), "")</f>
        <v>0</v>
      </c>
      <c r="O33" s="19">
        <f t="array" ref="O33">IFERROR(INDEX(cash_flow_quarter[#All], SMALL(IF(LOWER(cash_flow_quarter[Company Name]) = LOWER(cash_flow_quarter_filter!$B$2), ROW(cash_flow_quarter[Company Name]) - ROW(INDEX(cash_flow_quarter[Company Name], 1, 1)) + 1), ROW(31:31)), COLUMN(N:N)), "")</f>
        <v>0</v>
      </c>
      <c r="P33" s="19">
        <f t="array" ref="P33">IFERROR(INDEX(cash_flow_quarter[#All], SMALL(IF(LOWER(cash_flow_quarter[Company Name]) = LOWER(cash_flow_quarter_filter!$B$2), ROW(cash_flow_quarter[Company Name]) - ROW(INDEX(cash_flow_quarter[Company Name], 1, 1)) + 1), ROW(31:31)), COLUMN(O:O)), "")</f>
        <v>0</v>
      </c>
      <c r="Q33" s="19">
        <f t="array" ref="Q33">IFERROR(INDEX(cash_flow_quarter[#All], SMALL(IF(LOWER(cash_flow_quarter[Company Name]) = LOWER(cash_flow_quarter_filter!$B$2), ROW(cash_flow_quarter[Company Name]) - ROW(INDEX(cash_flow_quarter[Company Name], 1, 1)) + 1), ROW(31:31)), COLUMN(P:P)), "")</f>
        <v>0</v>
      </c>
      <c r="R33" s="19">
        <f t="array" ref="R33">IFERROR(INDEX(cash_flow_quarter[#All], SMALL(IF(LOWER(cash_flow_quarter[Company Name]) = LOWER(cash_flow_quarter_filter!$B$2), ROW(cash_flow_quarter[Company Name]) - ROW(INDEX(cash_flow_quarter[Company Name], 1, 1)) + 1), ROW(31:31)), COLUMN(Q:Q)), "")</f>
        <v>0</v>
      </c>
      <c r="S33" s="19">
        <f t="array" ref="S33">IFERROR(INDEX(cash_flow_quarter[#All], SMALL(IF(LOWER(cash_flow_quarter[Company Name]) = LOWER(cash_flow_quarter_filter!$B$2), ROW(cash_flow_quarter[Company Name]) - ROW(INDEX(cash_flow_quarter[Company Name], 1, 1)) + 1), ROW(31:31)), COLUMN(R:R)), "")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56B4-7A21-4EE9-8AB5-A72F0EC5D621}">
  <dimension ref="A1:I1073"/>
  <sheetViews>
    <sheetView workbookViewId="0">
      <selection activeCell="H2" sqref="H2"/>
    </sheetView>
  </sheetViews>
  <sheetFormatPr defaultRowHeight="14.5" x14ac:dyDescent="0.35"/>
  <cols>
    <col min="1" max="1" width="10.453125" style="22" bestFit="1" customWidth="1"/>
    <col min="7" max="7" width="13.36328125" customWidth="1"/>
    <col min="8" max="8" width="25.7265625" customWidth="1"/>
    <col min="9" max="9" width="10.453125" bestFit="1" customWidth="1"/>
  </cols>
  <sheetData>
    <row r="1" spans="1:9" x14ac:dyDescent="0.35"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1915</v>
      </c>
    </row>
    <row r="2" spans="1:9" x14ac:dyDescent="0.35">
      <c r="A2" s="22" t="s">
        <v>212</v>
      </c>
      <c r="B2" s="3">
        <v>1267.6099999999999</v>
      </c>
      <c r="C2" s="3">
        <v>1284.17</v>
      </c>
      <c r="D2" s="3">
        <v>1287.71</v>
      </c>
      <c r="E2" s="3">
        <v>1263.26</v>
      </c>
      <c r="G2" s="21">
        <v>-1.3899999999999999E-2</v>
      </c>
      <c r="H2" s="53">
        <f>((B2-B1073)/B1073)/20*100</f>
        <v>24.572835013064577</v>
      </c>
      <c r="I2" s="52"/>
    </row>
    <row r="3" spans="1:9" x14ac:dyDescent="0.35">
      <c r="A3" s="22" t="s">
        <v>213</v>
      </c>
      <c r="B3" s="3">
        <v>1285.46</v>
      </c>
      <c r="C3" s="3">
        <v>1288.3900000000001</v>
      </c>
      <c r="D3" s="3">
        <v>1297.67</v>
      </c>
      <c r="E3" s="3">
        <v>1271.82</v>
      </c>
      <c r="F3" t="s">
        <v>214</v>
      </c>
      <c r="G3" s="21">
        <v>-2.3E-3</v>
      </c>
    </row>
    <row r="4" spans="1:9" x14ac:dyDescent="0.35">
      <c r="A4" s="22">
        <v>45453</v>
      </c>
      <c r="B4" s="3">
        <v>1288.3900000000001</v>
      </c>
      <c r="C4" s="3">
        <v>1270.5999999999999</v>
      </c>
      <c r="D4" s="3">
        <v>1294.33</v>
      </c>
      <c r="E4" s="3">
        <v>1264.6500000000001</v>
      </c>
      <c r="F4" t="s">
        <v>215</v>
      </c>
      <c r="G4" s="21">
        <v>1.4E-2</v>
      </c>
    </row>
    <row r="5" spans="1:9" x14ac:dyDescent="0.35">
      <c r="A5" s="22" t="s">
        <v>216</v>
      </c>
      <c r="B5" s="3">
        <v>1270.5999999999999</v>
      </c>
      <c r="C5" s="3">
        <v>1290.92</v>
      </c>
      <c r="D5" s="3">
        <v>1302.22</v>
      </c>
      <c r="E5" s="3">
        <v>1270.5999999999999</v>
      </c>
      <c r="F5" t="s">
        <v>217</v>
      </c>
      <c r="G5" s="21">
        <v>-1.5699999999999999E-2</v>
      </c>
    </row>
    <row r="6" spans="1:9" x14ac:dyDescent="0.35">
      <c r="A6" s="22" t="s">
        <v>218</v>
      </c>
      <c r="B6" s="3">
        <v>1290.92</v>
      </c>
      <c r="C6" s="3">
        <v>1275.1500000000001</v>
      </c>
      <c r="D6" s="3">
        <v>1300.31</v>
      </c>
      <c r="E6" s="3">
        <v>1266.68</v>
      </c>
      <c r="F6" t="s">
        <v>219</v>
      </c>
      <c r="G6" s="21">
        <v>1.4800000000000001E-2</v>
      </c>
    </row>
    <row r="7" spans="1:9" x14ac:dyDescent="0.35">
      <c r="A7" s="22" t="s">
        <v>220</v>
      </c>
      <c r="B7" s="3">
        <v>1272.04</v>
      </c>
      <c r="C7" s="3">
        <v>1251.71</v>
      </c>
      <c r="D7" s="3">
        <v>1283.3</v>
      </c>
      <c r="E7" s="3">
        <v>1238.69</v>
      </c>
      <c r="F7" t="s">
        <v>221</v>
      </c>
      <c r="G7" s="21">
        <v>1.6199999999999999E-2</v>
      </c>
    </row>
    <row r="8" spans="1:9" x14ac:dyDescent="0.35">
      <c r="A8" s="22">
        <v>45513</v>
      </c>
      <c r="B8" s="3">
        <v>1251.71</v>
      </c>
      <c r="C8" s="3">
        <v>1273.96</v>
      </c>
      <c r="D8" s="3">
        <v>1273.96</v>
      </c>
      <c r="E8" s="3">
        <v>1244.79</v>
      </c>
      <c r="F8" t="s">
        <v>222</v>
      </c>
      <c r="G8" s="21">
        <v>-1.7500000000000002E-2</v>
      </c>
    </row>
    <row r="9" spans="1:9" x14ac:dyDescent="0.35">
      <c r="A9" s="22">
        <v>45300</v>
      </c>
      <c r="B9" s="3">
        <v>1273.96</v>
      </c>
      <c r="C9" s="3">
        <v>1283.8699999999999</v>
      </c>
      <c r="D9" s="3">
        <v>1283.8699999999999</v>
      </c>
      <c r="E9" s="3">
        <v>1262.94</v>
      </c>
      <c r="F9" t="s">
        <v>223</v>
      </c>
      <c r="G9" s="21">
        <v>-7.7000000000000002E-3</v>
      </c>
    </row>
    <row r="10" spans="1:9" x14ac:dyDescent="0.35">
      <c r="A10" s="22" t="s">
        <v>224</v>
      </c>
      <c r="B10" s="3">
        <v>1283.8699999999999</v>
      </c>
      <c r="C10" s="3">
        <v>1285.32</v>
      </c>
      <c r="D10" s="3">
        <v>1290.45</v>
      </c>
      <c r="E10" s="3">
        <v>1274.7</v>
      </c>
      <c r="F10" t="s">
        <v>225</v>
      </c>
      <c r="G10" s="21">
        <v>-1.1000000000000001E-3</v>
      </c>
    </row>
    <row r="11" spans="1:9" x14ac:dyDescent="0.35">
      <c r="A11" s="22" t="s">
        <v>226</v>
      </c>
      <c r="B11" s="3">
        <v>1285.32</v>
      </c>
      <c r="C11" s="3">
        <v>1252.23</v>
      </c>
      <c r="D11" s="3">
        <v>1288.42</v>
      </c>
      <c r="E11" s="3">
        <v>1252.23</v>
      </c>
      <c r="F11" t="s">
        <v>227</v>
      </c>
      <c r="G11" s="21">
        <v>2.64E-2</v>
      </c>
    </row>
    <row r="12" spans="1:9" x14ac:dyDescent="0.35">
      <c r="A12" s="22">
        <v>45604</v>
      </c>
      <c r="B12" s="3">
        <v>1252.23</v>
      </c>
      <c r="C12" s="3">
        <v>1223.6400000000001</v>
      </c>
      <c r="D12" s="3">
        <v>1253.24</v>
      </c>
      <c r="E12" s="3">
        <v>1221.1600000000001</v>
      </c>
      <c r="F12" t="s">
        <v>228</v>
      </c>
      <c r="G12" s="21">
        <v>2.3400000000000001E-2</v>
      </c>
    </row>
    <row r="13" spans="1:9" x14ac:dyDescent="0.35">
      <c r="A13" s="22">
        <v>45390</v>
      </c>
      <c r="B13" s="3">
        <v>1223.6400000000001</v>
      </c>
      <c r="C13" s="3">
        <v>1236.5999999999999</v>
      </c>
      <c r="D13" s="3">
        <v>1236.5999999999999</v>
      </c>
      <c r="E13" s="3">
        <v>1184.53</v>
      </c>
      <c r="F13" t="s">
        <v>229</v>
      </c>
      <c r="G13" s="21">
        <v>-1.0500000000000001E-2</v>
      </c>
    </row>
    <row r="14" spans="1:9" x14ac:dyDescent="0.35">
      <c r="A14" s="22" t="s">
        <v>230</v>
      </c>
      <c r="B14" s="3">
        <v>1236.5999999999999</v>
      </c>
      <c r="C14" s="3">
        <v>1242.1099999999999</v>
      </c>
      <c r="D14" s="3">
        <v>1257.8499999999999</v>
      </c>
      <c r="E14" s="3">
        <v>1209.77</v>
      </c>
      <c r="F14" t="s">
        <v>231</v>
      </c>
      <c r="G14" s="21">
        <v>-4.4000000000000003E-3</v>
      </c>
    </row>
    <row r="15" spans="1:9" x14ac:dyDescent="0.35">
      <c r="A15" s="22" t="s">
        <v>232</v>
      </c>
      <c r="B15" s="3">
        <v>1242.1099999999999</v>
      </c>
      <c r="C15" s="3">
        <v>1264.78</v>
      </c>
      <c r="D15" s="3">
        <v>1267.43</v>
      </c>
      <c r="E15" s="3">
        <v>1218.6500000000001</v>
      </c>
      <c r="F15" t="s">
        <v>233</v>
      </c>
      <c r="G15" s="21">
        <v>-1.7899999999999999E-2</v>
      </c>
    </row>
    <row r="16" spans="1:9" x14ac:dyDescent="0.35">
      <c r="A16" s="22" t="s">
        <v>234</v>
      </c>
      <c r="B16" s="3">
        <v>1264.78</v>
      </c>
      <c r="C16" s="3">
        <v>1280.75</v>
      </c>
      <c r="D16" s="3">
        <v>1291.47</v>
      </c>
      <c r="E16" s="3">
        <v>1256.21</v>
      </c>
      <c r="F16" t="s">
        <v>235</v>
      </c>
      <c r="G16" s="21">
        <v>-1.2500000000000001E-2</v>
      </c>
    </row>
    <row r="17" spans="1:7" x14ac:dyDescent="0.35">
      <c r="A17" s="22">
        <v>45480</v>
      </c>
      <c r="B17" s="3">
        <v>1280.75</v>
      </c>
      <c r="C17" s="3">
        <v>1283.04</v>
      </c>
      <c r="D17" s="3">
        <v>1297.96</v>
      </c>
      <c r="E17" s="3">
        <v>1277.1600000000001</v>
      </c>
      <c r="F17" t="s">
        <v>236</v>
      </c>
      <c r="G17" s="21">
        <v>-1.8E-3</v>
      </c>
    </row>
    <row r="18" spans="1:7" x14ac:dyDescent="0.35">
      <c r="A18" s="22" t="s">
        <v>237</v>
      </c>
      <c r="B18" s="3">
        <v>1283.04</v>
      </c>
      <c r="C18" s="3">
        <v>1245.32</v>
      </c>
      <c r="D18" s="3">
        <v>1284.98</v>
      </c>
      <c r="E18" s="3">
        <v>1240.07</v>
      </c>
      <c r="F18" t="s">
        <v>238</v>
      </c>
      <c r="G18" s="21">
        <v>3.0300000000000001E-2</v>
      </c>
    </row>
    <row r="19" spans="1:7" x14ac:dyDescent="0.35">
      <c r="A19" s="22" t="s">
        <v>239</v>
      </c>
      <c r="B19" s="3">
        <v>1245.32</v>
      </c>
      <c r="C19" s="3">
        <v>1282.02</v>
      </c>
      <c r="D19" s="3">
        <v>1284.8399999999999</v>
      </c>
      <c r="E19" s="3">
        <v>1240.1500000000001</v>
      </c>
      <c r="F19" t="s">
        <v>240</v>
      </c>
      <c r="G19" s="21">
        <v>-2.86E-2</v>
      </c>
    </row>
    <row r="20" spans="1:7" x14ac:dyDescent="0.35">
      <c r="A20" s="22" t="s">
        <v>241</v>
      </c>
      <c r="B20" s="3">
        <v>1282.02</v>
      </c>
      <c r="C20" s="3">
        <v>1279.9100000000001</v>
      </c>
      <c r="D20" s="3">
        <v>1288.06</v>
      </c>
      <c r="E20" s="3">
        <v>1270.6600000000001</v>
      </c>
      <c r="F20" t="s">
        <v>242</v>
      </c>
      <c r="G20" s="21">
        <v>1.6000000000000001E-3</v>
      </c>
    </row>
    <row r="21" spans="1:7" x14ac:dyDescent="0.35">
      <c r="A21" s="22">
        <v>45541</v>
      </c>
      <c r="B21" s="3">
        <v>1279.9100000000001</v>
      </c>
      <c r="C21" s="3">
        <v>1287.58</v>
      </c>
      <c r="D21" s="3">
        <v>1306.01</v>
      </c>
      <c r="E21" s="3">
        <v>1279.47</v>
      </c>
      <c r="F21" t="s">
        <v>243</v>
      </c>
      <c r="G21" s="21">
        <v>-6.0000000000000001E-3</v>
      </c>
    </row>
    <row r="22" spans="1:7" x14ac:dyDescent="0.35">
      <c r="A22" s="22">
        <v>45328</v>
      </c>
      <c r="B22" s="3">
        <v>1287.58</v>
      </c>
      <c r="C22" s="3">
        <v>1261.72</v>
      </c>
      <c r="D22" s="3">
        <v>1293.93</v>
      </c>
      <c r="E22" s="3">
        <v>1261.72</v>
      </c>
      <c r="F22" t="s">
        <v>244</v>
      </c>
      <c r="G22" s="21">
        <v>2.0500000000000001E-2</v>
      </c>
    </row>
    <row r="23" spans="1:7" x14ac:dyDescent="0.35">
      <c r="A23" s="22" t="s">
        <v>245</v>
      </c>
      <c r="B23" s="3">
        <v>1261.72</v>
      </c>
      <c r="C23" s="3">
        <v>1263.46</v>
      </c>
      <c r="D23" s="3">
        <v>1285.6300000000001</v>
      </c>
      <c r="E23" s="3">
        <v>1251.8</v>
      </c>
      <c r="F23" t="s">
        <v>246</v>
      </c>
      <c r="G23" s="21">
        <v>-2.0000000000000001E-4</v>
      </c>
    </row>
    <row r="24" spans="1:7" x14ac:dyDescent="0.35">
      <c r="A24" s="22" t="s">
        <v>247</v>
      </c>
      <c r="B24" s="3">
        <v>1261.93</v>
      </c>
      <c r="C24" s="3">
        <v>1273.1099999999999</v>
      </c>
      <c r="D24" s="3">
        <v>1285.19</v>
      </c>
      <c r="E24" s="3">
        <v>1250.28</v>
      </c>
      <c r="F24" t="s">
        <v>248</v>
      </c>
      <c r="G24" s="21">
        <v>-8.8000000000000005E-3</v>
      </c>
    </row>
    <row r="25" spans="1:7" x14ac:dyDescent="0.35">
      <c r="A25" s="22">
        <v>45631</v>
      </c>
      <c r="B25" s="3">
        <v>1273.1099999999999</v>
      </c>
      <c r="C25" s="3">
        <v>1244.7</v>
      </c>
      <c r="D25" s="3">
        <v>1274.27</v>
      </c>
      <c r="E25" s="3">
        <v>1233.56</v>
      </c>
      <c r="F25" t="s">
        <v>249</v>
      </c>
      <c r="G25" s="21">
        <v>2.2800000000000001E-2</v>
      </c>
    </row>
    <row r="26" spans="1:7" x14ac:dyDescent="0.35">
      <c r="A26" s="22">
        <v>45417</v>
      </c>
      <c r="B26" s="3">
        <v>1244.7</v>
      </c>
      <c r="C26" s="3">
        <v>1221.03</v>
      </c>
      <c r="D26" s="3">
        <v>1256.8</v>
      </c>
      <c r="E26" s="3">
        <v>1221.03</v>
      </c>
      <c r="F26" t="s">
        <v>250</v>
      </c>
      <c r="G26" s="21">
        <v>1.9400000000000001E-2</v>
      </c>
    </row>
    <row r="27" spans="1:7" x14ac:dyDescent="0.35">
      <c r="A27" s="22" t="s">
        <v>251</v>
      </c>
      <c r="B27" s="3">
        <v>1221.03</v>
      </c>
      <c r="C27" s="3">
        <v>1212.1300000000001</v>
      </c>
      <c r="D27" s="3">
        <v>1225.75</v>
      </c>
      <c r="E27" s="3">
        <v>1206.28</v>
      </c>
      <c r="F27" t="s">
        <v>252</v>
      </c>
      <c r="G27" s="21">
        <v>9.4999999999999998E-3</v>
      </c>
    </row>
    <row r="28" spans="1:7" x14ac:dyDescent="0.35">
      <c r="A28" s="22" t="s">
        <v>253</v>
      </c>
      <c r="B28" s="3">
        <v>1209.52</v>
      </c>
      <c r="C28" s="3">
        <v>1174.8499999999999</v>
      </c>
      <c r="D28" s="3">
        <v>1216.5999999999999</v>
      </c>
      <c r="E28" s="3">
        <v>1169.6099999999999</v>
      </c>
      <c r="F28" t="s">
        <v>254</v>
      </c>
      <c r="G28" s="21">
        <v>2.9499999999999998E-2</v>
      </c>
    </row>
    <row r="29" spans="1:7" x14ac:dyDescent="0.35">
      <c r="A29" s="22" t="s">
        <v>255</v>
      </c>
      <c r="B29" s="3">
        <v>1174.8499999999999</v>
      </c>
      <c r="C29" s="3">
        <v>1276.5999999999999</v>
      </c>
      <c r="D29" s="3">
        <v>1281.81</v>
      </c>
      <c r="E29" s="3">
        <v>1165.99</v>
      </c>
      <c r="F29" t="s">
        <v>256</v>
      </c>
      <c r="G29" s="21">
        <v>-7.9699999999999993E-2</v>
      </c>
    </row>
    <row r="30" spans="1:7" x14ac:dyDescent="0.35">
      <c r="A30" s="22">
        <v>45477</v>
      </c>
      <c r="B30" s="3">
        <v>1276.5999999999999</v>
      </c>
      <c r="C30" s="3">
        <v>1255.1099999999999</v>
      </c>
      <c r="D30" s="3">
        <v>1278.3900000000001</v>
      </c>
      <c r="E30" s="3">
        <v>1246.8699999999999</v>
      </c>
      <c r="F30" t="s">
        <v>257</v>
      </c>
      <c r="G30" s="21">
        <v>1.7100000000000001E-2</v>
      </c>
    </row>
    <row r="31" spans="1:7" x14ac:dyDescent="0.35">
      <c r="A31" s="22" t="s">
        <v>258</v>
      </c>
      <c r="B31" s="3">
        <v>1255.1099999999999</v>
      </c>
      <c r="C31" s="3">
        <v>1284.0899999999999</v>
      </c>
      <c r="D31" s="3">
        <v>1288.99</v>
      </c>
      <c r="E31" s="3">
        <v>1253.56</v>
      </c>
      <c r="F31" t="s">
        <v>259</v>
      </c>
      <c r="G31" s="21">
        <v>-2.2599999999999999E-2</v>
      </c>
    </row>
    <row r="32" spans="1:7" x14ac:dyDescent="0.35">
      <c r="A32" s="22" t="s">
        <v>260</v>
      </c>
      <c r="B32" s="3">
        <v>1284.0899999999999</v>
      </c>
      <c r="C32" s="3">
        <v>1281.8</v>
      </c>
      <c r="D32" s="3">
        <v>1293.9000000000001</v>
      </c>
      <c r="E32" s="3">
        <v>1264.42</v>
      </c>
      <c r="F32" t="s">
        <v>261</v>
      </c>
      <c r="G32" s="21">
        <v>1.8E-3</v>
      </c>
    </row>
    <row r="33" spans="1:7" x14ac:dyDescent="0.35">
      <c r="A33" s="22" t="s">
        <v>262</v>
      </c>
      <c r="B33" s="3">
        <v>1281.8</v>
      </c>
      <c r="C33" s="3">
        <v>1263.78</v>
      </c>
      <c r="D33" s="3">
        <v>1291.27</v>
      </c>
      <c r="E33" s="3">
        <v>1221.67</v>
      </c>
      <c r="F33" t="s">
        <v>263</v>
      </c>
      <c r="G33" s="21">
        <v>1.43E-2</v>
      </c>
    </row>
    <row r="34" spans="1:7" x14ac:dyDescent="0.35">
      <c r="A34" s="22">
        <v>45568</v>
      </c>
      <c r="B34" s="3">
        <v>1263.78</v>
      </c>
      <c r="C34" s="3">
        <v>1247.3499999999999</v>
      </c>
      <c r="D34" s="3">
        <v>1276.4100000000001</v>
      </c>
      <c r="E34" s="3">
        <v>1233.1400000000001</v>
      </c>
      <c r="F34" t="s">
        <v>264</v>
      </c>
      <c r="G34" s="21">
        <v>1.32E-2</v>
      </c>
    </row>
    <row r="35" spans="1:7" x14ac:dyDescent="0.35">
      <c r="A35" s="22">
        <v>45354</v>
      </c>
      <c r="B35" s="3">
        <v>1247.3499999999999</v>
      </c>
      <c r="C35" s="3">
        <v>1258.28</v>
      </c>
      <c r="D35" s="3">
        <v>1277.51</v>
      </c>
      <c r="E35" s="3">
        <v>1247.3499999999999</v>
      </c>
      <c r="F35" t="s">
        <v>265</v>
      </c>
      <c r="G35" s="21">
        <v>-8.6999999999999994E-3</v>
      </c>
    </row>
    <row r="36" spans="1:7" x14ac:dyDescent="0.35">
      <c r="A36" s="22" t="s">
        <v>266</v>
      </c>
      <c r="B36" s="3">
        <v>1258.28</v>
      </c>
      <c r="C36" s="3">
        <v>1212</v>
      </c>
      <c r="D36" s="3">
        <v>1264.3900000000001</v>
      </c>
      <c r="E36" s="3">
        <v>1210.52</v>
      </c>
      <c r="F36" t="s">
        <v>267</v>
      </c>
      <c r="G36" s="21">
        <v>3.8199999999999998E-2</v>
      </c>
    </row>
    <row r="37" spans="1:7" x14ac:dyDescent="0.35">
      <c r="A37" s="22" t="s">
        <v>268</v>
      </c>
      <c r="B37" s="3">
        <v>1212</v>
      </c>
      <c r="C37" s="3">
        <v>1209.7</v>
      </c>
      <c r="D37" s="3">
        <v>1240.81</v>
      </c>
      <c r="E37" s="3">
        <v>1209.7</v>
      </c>
      <c r="F37" t="s">
        <v>269</v>
      </c>
      <c r="G37" s="21">
        <v>1.9E-3</v>
      </c>
    </row>
    <row r="38" spans="1:7" x14ac:dyDescent="0.35">
      <c r="A38" s="22">
        <v>45598</v>
      </c>
      <c r="B38" s="3">
        <v>1209.7</v>
      </c>
      <c r="C38" s="3">
        <v>1203.08</v>
      </c>
      <c r="D38" s="3">
        <v>1210.25</v>
      </c>
      <c r="E38" s="3">
        <v>1198.81</v>
      </c>
      <c r="F38" t="s">
        <v>270</v>
      </c>
      <c r="G38" s="21">
        <v>9.2999999999999992E-3</v>
      </c>
    </row>
    <row r="39" spans="1:7" x14ac:dyDescent="0.35">
      <c r="A39" s="22">
        <v>45384</v>
      </c>
      <c r="B39" s="3">
        <v>1198.53</v>
      </c>
      <c r="C39" s="3">
        <v>1172.55</v>
      </c>
      <c r="D39" s="3">
        <v>1199.52</v>
      </c>
      <c r="E39" s="3">
        <v>1172.55</v>
      </c>
      <c r="F39" t="s">
        <v>271</v>
      </c>
      <c r="G39" s="21">
        <v>2.2200000000000001E-2</v>
      </c>
    </row>
    <row r="40" spans="1:7" x14ac:dyDescent="0.35">
      <c r="A40" s="22" t="s">
        <v>272</v>
      </c>
      <c r="B40" s="3">
        <v>1172.55</v>
      </c>
      <c r="C40" s="3">
        <v>1175.67</v>
      </c>
      <c r="D40" s="3">
        <v>1182.53</v>
      </c>
      <c r="E40" s="3">
        <v>1162.45</v>
      </c>
      <c r="F40" t="s">
        <v>250</v>
      </c>
      <c r="G40" s="21">
        <v>-2.7000000000000001E-3</v>
      </c>
    </row>
    <row r="41" spans="1:7" x14ac:dyDescent="0.35">
      <c r="A41" s="22" t="s">
        <v>273</v>
      </c>
      <c r="B41" s="3">
        <v>1175.67</v>
      </c>
      <c r="C41" s="3">
        <v>1181.5</v>
      </c>
      <c r="D41" s="3">
        <v>1186.96</v>
      </c>
      <c r="E41" s="3">
        <v>1168.5</v>
      </c>
      <c r="F41" t="s">
        <v>274</v>
      </c>
      <c r="G41" s="21">
        <v>-4.8999999999999998E-3</v>
      </c>
    </row>
    <row r="42" spans="1:7" x14ac:dyDescent="0.35">
      <c r="A42" s="22" t="s">
        <v>275</v>
      </c>
      <c r="B42" s="3">
        <v>1181.5</v>
      </c>
      <c r="C42" s="3">
        <v>1154.7</v>
      </c>
      <c r="D42" s="3">
        <v>1181.5</v>
      </c>
      <c r="E42" s="3">
        <v>1147.71</v>
      </c>
      <c r="F42" t="s">
        <v>276</v>
      </c>
      <c r="G42" s="21">
        <v>2.3199999999999998E-2</v>
      </c>
    </row>
    <row r="43" spans="1:7" x14ac:dyDescent="0.35">
      <c r="A43" s="22">
        <v>45474</v>
      </c>
      <c r="B43" s="3">
        <v>1154.7</v>
      </c>
      <c r="C43" s="3">
        <v>1154.68</v>
      </c>
      <c r="D43" s="3">
        <v>1169.0999999999999</v>
      </c>
      <c r="E43" s="3">
        <v>1146.75</v>
      </c>
      <c r="F43" t="s">
        <v>277</v>
      </c>
      <c r="G43" s="21">
        <v>0</v>
      </c>
    </row>
    <row r="44" spans="1:7" x14ac:dyDescent="0.35">
      <c r="A44" s="22" t="s">
        <v>278</v>
      </c>
      <c r="B44" s="3">
        <v>1154.68</v>
      </c>
      <c r="C44" s="3">
        <v>1129.93</v>
      </c>
      <c r="D44" s="3">
        <v>1160.08</v>
      </c>
      <c r="E44" s="3">
        <v>1128.32</v>
      </c>
      <c r="F44" t="s">
        <v>279</v>
      </c>
      <c r="G44" s="21">
        <v>2.1899999999999999E-2</v>
      </c>
    </row>
    <row r="45" spans="1:7" x14ac:dyDescent="0.35">
      <c r="A45" s="22" t="s">
        <v>280</v>
      </c>
      <c r="B45" s="3">
        <v>1129.93</v>
      </c>
      <c r="C45" s="3">
        <v>1103.06</v>
      </c>
      <c r="D45" s="3">
        <v>1135.05</v>
      </c>
      <c r="E45" s="3">
        <v>1103.06</v>
      </c>
      <c r="F45" t="s">
        <v>281</v>
      </c>
      <c r="G45" s="21">
        <v>2.4400000000000002E-2</v>
      </c>
    </row>
    <row r="46" spans="1:7" x14ac:dyDescent="0.35">
      <c r="A46" s="22" t="s">
        <v>282</v>
      </c>
      <c r="B46" s="3">
        <v>1103.06</v>
      </c>
      <c r="C46" s="3">
        <v>1102.3</v>
      </c>
      <c r="D46" s="3">
        <v>1104.6500000000001</v>
      </c>
      <c r="E46" s="3">
        <v>1082.29</v>
      </c>
      <c r="F46" t="s">
        <v>283</v>
      </c>
      <c r="G46" s="21">
        <v>6.9999999999999999E-4</v>
      </c>
    </row>
    <row r="47" spans="1:7" x14ac:dyDescent="0.35">
      <c r="A47" s="22">
        <v>45211</v>
      </c>
      <c r="B47" s="3">
        <v>1102.3</v>
      </c>
      <c r="C47" s="3">
        <v>1124.44</v>
      </c>
      <c r="D47" s="3">
        <v>1131.21</v>
      </c>
      <c r="E47" s="3">
        <v>1102.3</v>
      </c>
      <c r="F47" t="s">
        <v>284</v>
      </c>
      <c r="G47" s="21">
        <v>-1.9699999999999999E-2</v>
      </c>
    </row>
    <row r="48" spans="1:7" x14ac:dyDescent="0.35">
      <c r="A48" s="22">
        <v>44997</v>
      </c>
      <c r="B48" s="3">
        <v>1124.44</v>
      </c>
      <c r="C48" s="3">
        <v>1102.1600000000001</v>
      </c>
      <c r="D48" s="3">
        <v>1129.83</v>
      </c>
      <c r="E48" s="3">
        <v>1102.1600000000001</v>
      </c>
      <c r="F48" t="s">
        <v>285</v>
      </c>
      <c r="G48" s="21">
        <v>2.0199999999999999E-2</v>
      </c>
    </row>
    <row r="49" spans="1:7" x14ac:dyDescent="0.35">
      <c r="A49" s="22" t="s">
        <v>286</v>
      </c>
      <c r="B49" s="3">
        <v>1102.1600000000001</v>
      </c>
      <c r="C49" s="3">
        <v>1095.6099999999999</v>
      </c>
      <c r="D49" s="3">
        <v>1107.45</v>
      </c>
      <c r="E49" s="3">
        <v>1076.45</v>
      </c>
      <c r="F49" t="s">
        <v>287</v>
      </c>
      <c r="G49" s="21">
        <v>6.0000000000000001E-3</v>
      </c>
    </row>
    <row r="50" spans="1:7" x14ac:dyDescent="0.35">
      <c r="A50" s="22" t="s">
        <v>288</v>
      </c>
      <c r="B50" s="3">
        <v>1095.6099999999999</v>
      </c>
      <c r="C50" s="3">
        <v>1101.19</v>
      </c>
      <c r="D50" s="3">
        <v>1118.54</v>
      </c>
      <c r="E50" s="3">
        <v>1073.31</v>
      </c>
      <c r="F50" t="s">
        <v>246</v>
      </c>
      <c r="G50" s="21">
        <v>-5.1000000000000004E-3</v>
      </c>
    </row>
    <row r="51" spans="1:7" x14ac:dyDescent="0.35">
      <c r="A51" s="22">
        <v>45271</v>
      </c>
      <c r="B51" s="3">
        <v>1101.19</v>
      </c>
      <c r="C51" s="3">
        <v>1103.6600000000001</v>
      </c>
      <c r="D51" s="3">
        <v>1132.75</v>
      </c>
      <c r="E51" s="3">
        <v>1093.19</v>
      </c>
      <c r="F51" t="s">
        <v>246</v>
      </c>
      <c r="G51" s="21">
        <v>-4.0000000000000002E-4</v>
      </c>
    </row>
    <row r="52" spans="1:7" x14ac:dyDescent="0.35">
      <c r="A52" s="22">
        <v>45057</v>
      </c>
      <c r="B52" s="3">
        <v>1101.68</v>
      </c>
      <c r="C52" s="3">
        <v>1076.78</v>
      </c>
      <c r="D52" s="3">
        <v>1124.78</v>
      </c>
      <c r="E52" s="3">
        <v>1075.8</v>
      </c>
      <c r="F52" t="s">
        <v>289</v>
      </c>
      <c r="G52" s="21">
        <v>2.3099999999999999E-2</v>
      </c>
    </row>
    <row r="53" spans="1:7" x14ac:dyDescent="0.35">
      <c r="A53" s="22" t="s">
        <v>290</v>
      </c>
      <c r="B53" s="3">
        <v>1076.78</v>
      </c>
      <c r="C53" s="3">
        <v>1054.03</v>
      </c>
      <c r="D53" s="3">
        <v>1082.23</v>
      </c>
      <c r="E53" s="3">
        <v>1020.01</v>
      </c>
      <c r="F53" t="s">
        <v>254</v>
      </c>
      <c r="G53" s="21">
        <v>1.52E-2</v>
      </c>
    </row>
    <row r="54" spans="1:7" x14ac:dyDescent="0.35">
      <c r="A54" s="22" t="s">
        <v>291</v>
      </c>
      <c r="B54" s="3">
        <v>1060.6199999999999</v>
      </c>
      <c r="C54" s="3">
        <v>1108.03</v>
      </c>
      <c r="D54" s="3">
        <v>1111.3900000000001</v>
      </c>
      <c r="E54" s="3">
        <v>1037.46</v>
      </c>
      <c r="F54" t="s">
        <v>292</v>
      </c>
      <c r="G54" s="21">
        <v>-4.2799999999999998E-2</v>
      </c>
    </row>
    <row r="55" spans="1:7" x14ac:dyDescent="0.35">
      <c r="A55" s="22" t="s">
        <v>293</v>
      </c>
      <c r="B55" s="3">
        <v>1108.03</v>
      </c>
      <c r="C55" s="3">
        <v>1154.73</v>
      </c>
      <c r="D55" s="3">
        <v>1157.46</v>
      </c>
      <c r="E55" s="3">
        <v>1073.73</v>
      </c>
      <c r="F55" t="s">
        <v>294</v>
      </c>
      <c r="G55" s="21">
        <v>-4.0399999999999998E-2</v>
      </c>
    </row>
    <row r="56" spans="1:7" x14ac:dyDescent="0.35">
      <c r="A56" s="22">
        <v>45148</v>
      </c>
      <c r="B56" s="3">
        <v>1154.73</v>
      </c>
      <c r="C56" s="3">
        <v>1128.54</v>
      </c>
      <c r="D56" s="3">
        <v>1156.73</v>
      </c>
      <c r="E56" s="3">
        <v>1127.03</v>
      </c>
      <c r="F56" t="s">
        <v>295</v>
      </c>
      <c r="G56" s="21">
        <v>2.3199999999999998E-2</v>
      </c>
    </row>
    <row r="57" spans="1:7" x14ac:dyDescent="0.35">
      <c r="A57" s="22">
        <v>44936</v>
      </c>
      <c r="B57" s="3">
        <v>1128.54</v>
      </c>
      <c r="C57" s="3">
        <v>1154.1500000000001</v>
      </c>
      <c r="D57" s="3">
        <v>1161.48</v>
      </c>
      <c r="E57" s="3">
        <v>1106.4000000000001</v>
      </c>
      <c r="F57" t="s">
        <v>274</v>
      </c>
      <c r="G57" s="21">
        <v>-2.2200000000000001E-2</v>
      </c>
    </row>
    <row r="58" spans="1:7" x14ac:dyDescent="0.35">
      <c r="A58" s="22" t="s">
        <v>296</v>
      </c>
      <c r="B58" s="3">
        <v>1154.1500000000001</v>
      </c>
      <c r="C58" s="3">
        <v>1193.05</v>
      </c>
      <c r="D58" s="3">
        <v>1195.6199999999999</v>
      </c>
      <c r="E58" s="3">
        <v>1126.3599999999999</v>
      </c>
      <c r="F58" t="s">
        <v>297</v>
      </c>
      <c r="G58" s="21">
        <v>-3.2599999999999997E-2</v>
      </c>
    </row>
    <row r="59" spans="1:7" x14ac:dyDescent="0.35">
      <c r="A59" s="22" t="s">
        <v>298</v>
      </c>
      <c r="B59" s="3">
        <v>1193.05</v>
      </c>
      <c r="C59" s="3">
        <v>1227.3599999999999</v>
      </c>
      <c r="D59" s="3">
        <v>1227.8800000000001</v>
      </c>
      <c r="E59" s="3">
        <v>1174.57</v>
      </c>
      <c r="F59" t="s">
        <v>299</v>
      </c>
      <c r="G59" s="21">
        <v>-2.8000000000000001E-2</v>
      </c>
    </row>
    <row r="60" spans="1:7" x14ac:dyDescent="0.35">
      <c r="A60" s="22">
        <v>45208</v>
      </c>
      <c r="B60" s="3">
        <v>1227.3599999999999</v>
      </c>
      <c r="C60" s="3">
        <v>1241.48</v>
      </c>
      <c r="D60" s="3">
        <v>1251.3699999999999</v>
      </c>
      <c r="E60" s="3">
        <v>1220.27</v>
      </c>
      <c r="F60" t="s">
        <v>300</v>
      </c>
      <c r="G60" s="21">
        <v>-1.14E-2</v>
      </c>
    </row>
    <row r="61" spans="1:7" x14ac:dyDescent="0.35">
      <c r="A61" s="22">
        <v>44994</v>
      </c>
      <c r="B61" s="3">
        <v>1241.48</v>
      </c>
      <c r="C61" s="3">
        <v>1224.05</v>
      </c>
      <c r="D61" s="3">
        <v>1255.1099999999999</v>
      </c>
      <c r="E61" s="3">
        <v>1224.05</v>
      </c>
      <c r="F61" t="s">
        <v>301</v>
      </c>
      <c r="G61" s="21">
        <v>1.4200000000000001E-2</v>
      </c>
    </row>
    <row r="62" spans="1:7" x14ac:dyDescent="0.35">
      <c r="A62" s="22" t="s">
        <v>302</v>
      </c>
      <c r="B62" s="3">
        <v>1224.05</v>
      </c>
      <c r="C62" s="3">
        <v>1183.3699999999999</v>
      </c>
      <c r="D62" s="3">
        <v>1224.8399999999999</v>
      </c>
      <c r="E62" s="3">
        <v>1183.3699999999999</v>
      </c>
      <c r="F62" t="s">
        <v>303</v>
      </c>
      <c r="G62" s="21">
        <v>3.44E-2</v>
      </c>
    </row>
    <row r="63" spans="1:7" x14ac:dyDescent="0.35">
      <c r="A63" s="22" t="s">
        <v>304</v>
      </c>
      <c r="B63" s="3">
        <v>1183.3699999999999</v>
      </c>
      <c r="C63" s="3">
        <v>1177.99</v>
      </c>
      <c r="D63" s="3">
        <v>1193.79</v>
      </c>
      <c r="E63" s="3">
        <v>1149.1300000000001</v>
      </c>
      <c r="F63" t="s">
        <v>305</v>
      </c>
      <c r="G63" s="21">
        <v>4.5999999999999999E-3</v>
      </c>
    </row>
    <row r="64" spans="1:7" x14ac:dyDescent="0.35">
      <c r="A64" s="22" t="s">
        <v>306</v>
      </c>
      <c r="B64" s="3">
        <v>1177.99</v>
      </c>
      <c r="C64" s="3">
        <v>1232.21</v>
      </c>
      <c r="D64" s="3">
        <v>1243.98</v>
      </c>
      <c r="E64" s="3">
        <v>1177.74</v>
      </c>
      <c r="F64" t="s">
        <v>307</v>
      </c>
      <c r="G64" s="21">
        <v>-4.3999999999999997E-2</v>
      </c>
    </row>
    <row r="65" spans="1:7" x14ac:dyDescent="0.35">
      <c r="A65" s="22">
        <v>45085</v>
      </c>
      <c r="B65" s="3">
        <v>1232.21</v>
      </c>
      <c r="C65" s="3">
        <v>1233.0999999999999</v>
      </c>
      <c r="D65" s="3">
        <v>1246.22</v>
      </c>
      <c r="E65" s="3">
        <v>1213.3699999999999</v>
      </c>
      <c r="F65" t="s">
        <v>308</v>
      </c>
      <c r="G65" s="21">
        <v>5.1000000000000004E-3</v>
      </c>
    </row>
    <row r="66" spans="1:7" x14ac:dyDescent="0.35">
      <c r="A66" s="22" t="s">
        <v>309</v>
      </c>
      <c r="B66" s="3">
        <v>1225.98</v>
      </c>
      <c r="C66" s="3">
        <v>1207.67</v>
      </c>
      <c r="D66" s="3">
        <v>1234.5</v>
      </c>
      <c r="E66" s="3">
        <v>1207.67</v>
      </c>
      <c r="F66" t="s">
        <v>310</v>
      </c>
      <c r="G66" s="21">
        <v>1.52E-2</v>
      </c>
    </row>
    <row r="67" spans="1:7" x14ac:dyDescent="0.35">
      <c r="A67" s="22" t="s">
        <v>311</v>
      </c>
      <c r="B67" s="3">
        <v>1207.67</v>
      </c>
      <c r="C67" s="3">
        <v>1185.9000000000001</v>
      </c>
      <c r="D67" s="3">
        <v>1207.67</v>
      </c>
      <c r="E67" s="3">
        <v>1183.3900000000001</v>
      </c>
      <c r="F67" t="s">
        <v>312</v>
      </c>
      <c r="G67" s="21">
        <v>1.84E-2</v>
      </c>
    </row>
    <row r="68" spans="1:7" x14ac:dyDescent="0.35">
      <c r="A68" s="22" t="s">
        <v>313</v>
      </c>
      <c r="B68" s="3">
        <v>1185.9000000000001</v>
      </c>
      <c r="C68" s="3">
        <v>1171.75</v>
      </c>
      <c r="D68" s="3">
        <v>1185.9000000000001</v>
      </c>
      <c r="E68" s="3">
        <v>1166.6199999999999</v>
      </c>
      <c r="F68" t="s">
        <v>314</v>
      </c>
      <c r="G68" s="21">
        <v>1.4999999999999999E-2</v>
      </c>
    </row>
    <row r="69" spans="1:7" x14ac:dyDescent="0.35">
      <c r="A69" s="22">
        <v>45176</v>
      </c>
      <c r="B69" s="3">
        <v>1168.4000000000001</v>
      </c>
      <c r="C69" s="3">
        <v>1138.07</v>
      </c>
      <c r="D69" s="3">
        <v>1169.8399999999999</v>
      </c>
      <c r="E69" s="3">
        <v>1138.07</v>
      </c>
      <c r="F69" t="s">
        <v>315</v>
      </c>
      <c r="G69" s="21">
        <v>2.6700000000000002E-2</v>
      </c>
    </row>
    <row r="70" spans="1:7" x14ac:dyDescent="0.35">
      <c r="A70" s="22">
        <v>44964</v>
      </c>
      <c r="B70" s="3">
        <v>1138.07</v>
      </c>
      <c r="C70" s="3">
        <v>1120.18</v>
      </c>
      <c r="D70" s="3">
        <v>1138.67</v>
      </c>
      <c r="E70" s="3">
        <v>1120.18</v>
      </c>
      <c r="F70" t="s">
        <v>316</v>
      </c>
      <c r="G70" s="21">
        <v>1.6E-2</v>
      </c>
    </row>
    <row r="71" spans="1:7" x14ac:dyDescent="0.35">
      <c r="A71" s="22" t="s">
        <v>317</v>
      </c>
      <c r="B71" s="3">
        <v>1120.18</v>
      </c>
      <c r="C71" s="3">
        <v>1129.3800000000001</v>
      </c>
      <c r="D71" s="3">
        <v>1140.56</v>
      </c>
      <c r="E71" s="3">
        <v>1119.95</v>
      </c>
      <c r="F71" t="s">
        <v>318</v>
      </c>
      <c r="G71" s="21">
        <v>-8.0999999999999996E-3</v>
      </c>
    </row>
    <row r="72" spans="1:7" x14ac:dyDescent="0.35">
      <c r="A72" s="22" t="s">
        <v>319</v>
      </c>
      <c r="B72" s="3">
        <v>1129.3800000000001</v>
      </c>
      <c r="C72" s="3">
        <v>1115.22</v>
      </c>
      <c r="D72" s="3">
        <v>1130.6099999999999</v>
      </c>
      <c r="E72" s="3">
        <v>1102.58</v>
      </c>
      <c r="F72" t="s">
        <v>320</v>
      </c>
      <c r="G72" s="21">
        <v>1.2699999999999999E-2</v>
      </c>
    </row>
    <row r="73" spans="1:7" x14ac:dyDescent="0.35">
      <c r="A73" s="22">
        <v>45236</v>
      </c>
      <c r="B73" s="3">
        <v>1115.22</v>
      </c>
      <c r="C73" s="3">
        <v>1110.26</v>
      </c>
      <c r="D73" s="3">
        <v>1129.49</v>
      </c>
      <c r="E73" s="3">
        <v>1100.08</v>
      </c>
      <c r="F73" t="s">
        <v>321</v>
      </c>
      <c r="G73" s="21">
        <v>6.8999999999999999E-3</v>
      </c>
    </row>
    <row r="74" spans="1:7" x14ac:dyDescent="0.35">
      <c r="A74" s="22">
        <v>45022</v>
      </c>
      <c r="B74" s="3">
        <v>1107.53</v>
      </c>
      <c r="C74" s="3">
        <v>1090.8399999999999</v>
      </c>
      <c r="D74" s="3">
        <v>1115.1400000000001</v>
      </c>
      <c r="E74" s="3">
        <v>1090.8399999999999</v>
      </c>
      <c r="F74" t="s">
        <v>322</v>
      </c>
      <c r="G74" s="21">
        <v>1.5299999999999999E-2</v>
      </c>
    </row>
    <row r="75" spans="1:7" x14ac:dyDescent="0.35">
      <c r="A75" s="22" t="s">
        <v>323</v>
      </c>
      <c r="B75" s="3">
        <v>1090.8399999999999</v>
      </c>
      <c r="C75" s="3">
        <v>1063.76</v>
      </c>
      <c r="D75" s="3">
        <v>1092.24</v>
      </c>
      <c r="E75" s="3">
        <v>1063.76</v>
      </c>
      <c r="F75" t="s">
        <v>324</v>
      </c>
      <c r="G75" s="21">
        <v>2.5499999999999998E-2</v>
      </c>
    </row>
    <row r="76" spans="1:7" x14ac:dyDescent="0.35">
      <c r="A76" s="22" t="s">
        <v>325</v>
      </c>
      <c r="B76" s="3">
        <v>1063.76</v>
      </c>
      <c r="C76" s="3">
        <v>1067.07</v>
      </c>
      <c r="D76" s="3">
        <v>1073.96</v>
      </c>
      <c r="E76" s="3">
        <v>1057.9100000000001</v>
      </c>
      <c r="F76" t="s">
        <v>326</v>
      </c>
      <c r="G76" s="21">
        <v>-3.0999999999999999E-3</v>
      </c>
    </row>
    <row r="77" spans="1:7" x14ac:dyDescent="0.35">
      <c r="A77" s="22" t="s">
        <v>327</v>
      </c>
      <c r="B77" s="3">
        <v>1067.07</v>
      </c>
      <c r="C77" s="3">
        <v>1066.9000000000001</v>
      </c>
      <c r="D77" s="3">
        <v>1076.32</v>
      </c>
      <c r="E77" s="3">
        <v>1058.56</v>
      </c>
      <c r="F77" t="s">
        <v>328</v>
      </c>
      <c r="G77" s="21">
        <v>2.0000000000000001E-4</v>
      </c>
    </row>
    <row r="78" spans="1:7" x14ac:dyDescent="0.35">
      <c r="A78" s="22">
        <v>45112</v>
      </c>
      <c r="B78" s="3">
        <v>1066.9000000000001</v>
      </c>
      <c r="C78" s="3">
        <v>1040.31</v>
      </c>
      <c r="D78" s="3">
        <v>1066.9000000000001</v>
      </c>
      <c r="E78" s="3">
        <v>1040.31</v>
      </c>
      <c r="F78" t="s">
        <v>329</v>
      </c>
      <c r="G78" s="21">
        <v>2.5600000000000001E-2</v>
      </c>
    </row>
    <row r="79" spans="1:7" x14ac:dyDescent="0.35">
      <c r="A79" s="22" t="s">
        <v>330</v>
      </c>
      <c r="B79" s="3">
        <v>1040.31</v>
      </c>
      <c r="C79" s="3">
        <v>1049.1199999999999</v>
      </c>
      <c r="D79" s="3">
        <v>1049.1199999999999</v>
      </c>
      <c r="E79" s="3">
        <v>1036.69</v>
      </c>
      <c r="F79" t="s">
        <v>331</v>
      </c>
      <c r="G79" s="21">
        <v>-8.3999999999999995E-3</v>
      </c>
    </row>
    <row r="80" spans="1:7" x14ac:dyDescent="0.35">
      <c r="A80" s="22" t="s">
        <v>332</v>
      </c>
      <c r="B80" s="3">
        <v>1049.1199999999999</v>
      </c>
      <c r="C80" s="3">
        <v>1042.9100000000001</v>
      </c>
      <c r="D80" s="3">
        <v>1049.1199999999999</v>
      </c>
      <c r="E80" s="3">
        <v>1029.19</v>
      </c>
      <c r="F80" t="s">
        <v>333</v>
      </c>
      <c r="G80" s="21">
        <v>6.0000000000000001E-3</v>
      </c>
    </row>
    <row r="81" spans="1:7" x14ac:dyDescent="0.35">
      <c r="A81" s="22" t="s">
        <v>334</v>
      </c>
      <c r="B81" s="3">
        <v>1042.9100000000001</v>
      </c>
      <c r="C81" s="3">
        <v>1052.8900000000001</v>
      </c>
      <c r="D81" s="3">
        <v>1058.1400000000001</v>
      </c>
      <c r="E81" s="3">
        <v>1041.26</v>
      </c>
      <c r="F81" t="s">
        <v>335</v>
      </c>
      <c r="G81" s="21">
        <v>-9.4999999999999998E-3</v>
      </c>
    </row>
    <row r="82" spans="1:7" x14ac:dyDescent="0.35">
      <c r="A82" s="22">
        <v>45173</v>
      </c>
      <c r="B82" s="3">
        <v>1052.8900000000001</v>
      </c>
      <c r="C82" s="3">
        <v>1073.8599999999999</v>
      </c>
      <c r="D82" s="3">
        <v>1075.54</v>
      </c>
      <c r="E82" s="3">
        <v>1052.8900000000001</v>
      </c>
      <c r="F82" t="s">
        <v>336</v>
      </c>
      <c r="G82" s="21">
        <v>-1.5699999999999999E-2</v>
      </c>
    </row>
    <row r="83" spans="1:7" x14ac:dyDescent="0.35">
      <c r="A83" s="22">
        <v>44961</v>
      </c>
      <c r="B83" s="3">
        <v>1069.71</v>
      </c>
      <c r="C83" s="3">
        <v>1064.6400000000001</v>
      </c>
      <c r="D83" s="3">
        <v>1084.52</v>
      </c>
      <c r="E83" s="3">
        <v>1063.7</v>
      </c>
      <c r="F83" t="s">
        <v>337</v>
      </c>
      <c r="G83" s="21">
        <v>4.7999999999999996E-3</v>
      </c>
    </row>
    <row r="84" spans="1:7" x14ac:dyDescent="0.35">
      <c r="A84" s="22" t="s">
        <v>338</v>
      </c>
      <c r="B84" s="3">
        <v>1064.6400000000001</v>
      </c>
      <c r="C84" s="3">
        <v>1047.78</v>
      </c>
      <c r="D84" s="3">
        <v>1067.55</v>
      </c>
      <c r="E84" s="3">
        <v>1041.99</v>
      </c>
      <c r="F84" t="s">
        <v>339</v>
      </c>
      <c r="G84" s="21">
        <v>1.7100000000000001E-2</v>
      </c>
    </row>
    <row r="85" spans="1:7" x14ac:dyDescent="0.35">
      <c r="A85" s="22" t="s">
        <v>340</v>
      </c>
      <c r="B85" s="3">
        <v>1046.79</v>
      </c>
      <c r="C85" s="3">
        <v>1045.1400000000001</v>
      </c>
      <c r="D85" s="3">
        <v>1052.29</v>
      </c>
      <c r="E85" s="3">
        <v>1017.05</v>
      </c>
      <c r="F85" t="s">
        <v>341</v>
      </c>
      <c r="G85" s="21">
        <v>1.6000000000000001E-3</v>
      </c>
    </row>
    <row r="86" spans="1:7" x14ac:dyDescent="0.35">
      <c r="A86" s="22">
        <v>45263</v>
      </c>
      <c r="B86" s="3">
        <v>1045.1400000000001</v>
      </c>
      <c r="C86" s="3">
        <v>1053</v>
      </c>
      <c r="D86" s="3">
        <v>1062.55</v>
      </c>
      <c r="E86" s="3">
        <v>1034.72</v>
      </c>
      <c r="F86" t="s">
        <v>342</v>
      </c>
      <c r="G86" s="21">
        <v>-7.4999999999999997E-3</v>
      </c>
    </row>
    <row r="87" spans="1:7" x14ac:dyDescent="0.35">
      <c r="A87" s="22">
        <v>45049</v>
      </c>
      <c r="B87" s="3">
        <v>1053</v>
      </c>
      <c r="C87" s="3">
        <v>1024.77</v>
      </c>
      <c r="D87" s="3">
        <v>1060.56</v>
      </c>
      <c r="E87" s="3">
        <v>1024.77</v>
      </c>
      <c r="F87" t="s">
        <v>343</v>
      </c>
      <c r="G87" s="21">
        <v>2.75E-2</v>
      </c>
    </row>
    <row r="88" spans="1:7" x14ac:dyDescent="0.35">
      <c r="A88" s="22" t="s">
        <v>344</v>
      </c>
      <c r="B88" s="3">
        <v>1024.77</v>
      </c>
      <c r="C88" s="3">
        <v>1039.56</v>
      </c>
      <c r="D88" s="3">
        <v>1043.8</v>
      </c>
      <c r="E88" s="3">
        <v>1013.37</v>
      </c>
      <c r="F88" t="s">
        <v>345</v>
      </c>
      <c r="G88" s="21">
        <v>-1.4200000000000001E-2</v>
      </c>
    </row>
    <row r="89" spans="1:7" x14ac:dyDescent="0.35">
      <c r="A89" s="22" t="s">
        <v>346</v>
      </c>
      <c r="B89" s="3">
        <v>1039.56</v>
      </c>
      <c r="C89" s="3">
        <v>1059.74</v>
      </c>
      <c r="D89" s="3">
        <v>1095.0999999999999</v>
      </c>
      <c r="E89" s="3">
        <v>1030.58</v>
      </c>
      <c r="F89" t="s">
        <v>329</v>
      </c>
      <c r="G89" s="21">
        <v>-1.8599999999999998E-2</v>
      </c>
    </row>
    <row r="90" spans="1:7" x14ac:dyDescent="0.35">
      <c r="A90" s="22">
        <v>45262</v>
      </c>
      <c r="B90" s="3">
        <v>1059.31</v>
      </c>
      <c r="C90" s="3">
        <v>1055.3</v>
      </c>
      <c r="D90" s="3">
        <v>1062.25</v>
      </c>
      <c r="E90" s="3">
        <v>1031.7</v>
      </c>
      <c r="F90" t="s">
        <v>347</v>
      </c>
      <c r="G90" s="21">
        <v>3.8E-3</v>
      </c>
    </row>
    <row r="91" spans="1:7" x14ac:dyDescent="0.35">
      <c r="A91" s="22">
        <v>45048</v>
      </c>
      <c r="B91" s="3">
        <v>1055.3</v>
      </c>
      <c r="C91" s="3">
        <v>1077.1500000000001</v>
      </c>
      <c r="D91" s="3">
        <v>1092.1199999999999</v>
      </c>
      <c r="E91" s="3">
        <v>1054.08</v>
      </c>
      <c r="F91" t="s">
        <v>348</v>
      </c>
      <c r="G91" s="21">
        <v>-2.0299999999999999E-2</v>
      </c>
    </row>
    <row r="92" spans="1:7" x14ac:dyDescent="0.35">
      <c r="A92" s="22" t="s">
        <v>349</v>
      </c>
      <c r="B92" s="3">
        <v>1077.1500000000001</v>
      </c>
      <c r="C92" s="3">
        <v>1117.0999999999999</v>
      </c>
      <c r="D92" s="3">
        <v>1118.46</v>
      </c>
      <c r="E92" s="3">
        <v>1070.46</v>
      </c>
      <c r="F92" t="s">
        <v>350</v>
      </c>
      <c r="G92" s="21">
        <v>-3.5799999999999998E-2</v>
      </c>
    </row>
    <row r="93" spans="1:7" x14ac:dyDescent="0.35">
      <c r="A93" s="22" t="s">
        <v>351</v>
      </c>
      <c r="B93" s="3">
        <v>1117.0999999999999</v>
      </c>
      <c r="C93" s="3">
        <v>1108.08</v>
      </c>
      <c r="D93" s="3">
        <v>1124.3</v>
      </c>
      <c r="E93" s="3">
        <v>1108.08</v>
      </c>
      <c r="F93" t="s">
        <v>352</v>
      </c>
      <c r="G93" s="21">
        <v>8.0999999999999996E-3</v>
      </c>
    </row>
    <row r="94" spans="1:7" x14ac:dyDescent="0.35">
      <c r="A94" s="22" t="s">
        <v>353</v>
      </c>
      <c r="B94" s="3">
        <v>1108.08</v>
      </c>
      <c r="C94" s="3">
        <v>1060.17</v>
      </c>
      <c r="D94" s="3">
        <v>1111.72</v>
      </c>
      <c r="E94" s="3">
        <v>1057.8699999999999</v>
      </c>
      <c r="F94" t="s">
        <v>354</v>
      </c>
      <c r="G94" s="21">
        <v>4.5199999999999997E-2</v>
      </c>
    </row>
    <row r="95" spans="1:7" x14ac:dyDescent="0.35">
      <c r="A95" s="22">
        <v>45139</v>
      </c>
      <c r="B95" s="3">
        <v>1060.17</v>
      </c>
      <c r="C95" s="3">
        <v>1058.28</v>
      </c>
      <c r="D95" s="3">
        <v>1066.3900000000001</v>
      </c>
      <c r="E95" s="3">
        <v>1045.75</v>
      </c>
      <c r="F95" t="s">
        <v>355</v>
      </c>
      <c r="G95" s="21">
        <v>8.3000000000000001E-3</v>
      </c>
    </row>
    <row r="96" spans="1:7" x14ac:dyDescent="0.35">
      <c r="A96" s="22">
        <v>44927</v>
      </c>
      <c r="B96" s="3">
        <v>1051.44</v>
      </c>
      <c r="C96" s="3">
        <v>1007.09</v>
      </c>
      <c r="D96" s="3">
        <v>1065.58</v>
      </c>
      <c r="E96" s="3">
        <v>1007.09</v>
      </c>
      <c r="F96" t="s">
        <v>356</v>
      </c>
      <c r="G96" s="21">
        <v>4.3999999999999997E-2</v>
      </c>
    </row>
    <row r="97" spans="1:7" x14ac:dyDescent="0.35">
      <c r="A97" s="22" t="s">
        <v>357</v>
      </c>
      <c r="B97" s="3">
        <v>1007.09</v>
      </c>
      <c r="C97" s="3">
        <v>1020.34</v>
      </c>
      <c r="D97" s="3">
        <v>1021.96</v>
      </c>
      <c r="E97">
        <v>983.67</v>
      </c>
      <c r="F97" t="s">
        <v>358</v>
      </c>
      <c r="G97" s="21">
        <v>-1.2999999999999999E-2</v>
      </c>
    </row>
    <row r="98" spans="1:7" x14ac:dyDescent="0.35">
      <c r="A98" s="22" t="s">
        <v>359</v>
      </c>
      <c r="B98" s="3">
        <v>1020.34</v>
      </c>
      <c r="C98" s="3">
        <v>1052.48</v>
      </c>
      <c r="D98" s="3">
        <v>1065.5899999999999</v>
      </c>
      <c r="E98" s="3">
        <v>1005.43</v>
      </c>
      <c r="F98" t="s">
        <v>318</v>
      </c>
      <c r="G98" s="21">
        <v>-3.0499999999999999E-2</v>
      </c>
    </row>
    <row r="99" spans="1:7" x14ac:dyDescent="0.35">
      <c r="A99" s="22">
        <v>44877</v>
      </c>
      <c r="B99" s="3">
        <v>1052.48</v>
      </c>
      <c r="C99" s="3">
        <v>1051.81</v>
      </c>
      <c r="D99" s="3">
        <v>1065.1600000000001</v>
      </c>
      <c r="E99" s="3">
        <v>1026.3</v>
      </c>
      <c r="F99" t="s">
        <v>360</v>
      </c>
      <c r="G99" s="21">
        <v>5.9999999999999995E-4</v>
      </c>
    </row>
    <row r="100" spans="1:7" x14ac:dyDescent="0.35">
      <c r="A100" s="22">
        <v>44663</v>
      </c>
      <c r="B100" s="3">
        <v>1051.81</v>
      </c>
      <c r="C100" s="3">
        <v>1080.01</v>
      </c>
      <c r="D100" s="3">
        <v>1099.45</v>
      </c>
      <c r="E100" s="3">
        <v>1034.92</v>
      </c>
      <c r="F100" t="s">
        <v>361</v>
      </c>
      <c r="G100" s="21">
        <v>-2.6100000000000002E-2</v>
      </c>
    </row>
    <row r="101" spans="1:7" x14ac:dyDescent="0.35">
      <c r="A101" s="22" t="s">
        <v>362</v>
      </c>
      <c r="B101" s="3">
        <v>1080.01</v>
      </c>
      <c r="C101">
        <v>971.46</v>
      </c>
      <c r="D101" s="3">
        <v>1080.01</v>
      </c>
      <c r="E101">
        <v>971.46</v>
      </c>
      <c r="F101" t="s">
        <v>363</v>
      </c>
      <c r="G101" s="21">
        <v>0.11169999999999999</v>
      </c>
    </row>
    <row r="102" spans="1:7" x14ac:dyDescent="0.35">
      <c r="A102" s="22" t="s">
        <v>364</v>
      </c>
      <c r="B102">
        <v>971.46</v>
      </c>
      <c r="C102">
        <v>969.33</v>
      </c>
      <c r="D102">
        <v>985.28</v>
      </c>
      <c r="E102">
        <v>934.31</v>
      </c>
      <c r="F102" t="s">
        <v>365</v>
      </c>
      <c r="G102" s="21">
        <v>2.2000000000000001E-3</v>
      </c>
    </row>
    <row r="103" spans="1:7" x14ac:dyDescent="0.35">
      <c r="A103" s="22" t="s">
        <v>366</v>
      </c>
      <c r="B103">
        <v>969.33</v>
      </c>
      <c r="C103">
        <v>954.53</v>
      </c>
      <c r="D103">
        <v>972.88</v>
      </c>
      <c r="E103">
        <v>873.78</v>
      </c>
      <c r="F103" t="s">
        <v>367</v>
      </c>
      <c r="G103" s="21">
        <v>1.55E-2</v>
      </c>
    </row>
    <row r="104" spans="1:7" x14ac:dyDescent="0.35">
      <c r="A104" s="22">
        <v>44723</v>
      </c>
      <c r="B104">
        <v>954.53</v>
      </c>
      <c r="C104">
        <v>997.15</v>
      </c>
      <c r="D104">
        <v>997.15</v>
      </c>
      <c r="E104">
        <v>935.78</v>
      </c>
      <c r="F104" t="s">
        <v>368</v>
      </c>
      <c r="G104" s="21">
        <v>-4.2700000000000002E-2</v>
      </c>
    </row>
    <row r="105" spans="1:7" x14ac:dyDescent="0.35">
      <c r="A105" s="22" t="s">
        <v>369</v>
      </c>
      <c r="B105">
        <v>997.15</v>
      </c>
      <c r="C105" s="3">
        <v>1028.24</v>
      </c>
      <c r="D105" s="3">
        <v>1043.53</v>
      </c>
      <c r="E105">
        <v>974.61</v>
      </c>
      <c r="F105" t="s">
        <v>370</v>
      </c>
      <c r="G105" s="21">
        <v>-2.9399999999999999E-2</v>
      </c>
    </row>
    <row r="106" spans="1:7" x14ac:dyDescent="0.35">
      <c r="A106" s="22" t="s">
        <v>371</v>
      </c>
      <c r="B106" s="3">
        <v>1027.3599999999999</v>
      </c>
      <c r="C106" s="3">
        <v>1019.82</v>
      </c>
      <c r="D106" s="3">
        <v>1044.57</v>
      </c>
      <c r="E106">
        <v>962.45</v>
      </c>
      <c r="F106" t="s">
        <v>372</v>
      </c>
      <c r="G106" s="21">
        <v>7.4000000000000003E-3</v>
      </c>
    </row>
    <row r="107" spans="1:7" x14ac:dyDescent="0.35">
      <c r="A107" s="22" t="s">
        <v>373</v>
      </c>
      <c r="B107" s="3">
        <v>1019.82</v>
      </c>
      <c r="C107" s="3">
        <v>1061.8499999999999</v>
      </c>
      <c r="D107" s="3">
        <v>1071.74</v>
      </c>
      <c r="E107" s="3">
        <v>1013.69</v>
      </c>
      <c r="F107" t="s">
        <v>374</v>
      </c>
      <c r="G107" s="21">
        <v>-3.9600000000000003E-2</v>
      </c>
    </row>
    <row r="108" spans="1:7" x14ac:dyDescent="0.35">
      <c r="A108" s="22">
        <v>44814</v>
      </c>
      <c r="B108" s="3">
        <v>1061.8499999999999</v>
      </c>
      <c r="C108" s="3">
        <v>1035.9100000000001</v>
      </c>
      <c r="D108" s="3">
        <v>1068.1199999999999</v>
      </c>
      <c r="E108">
        <v>998.64</v>
      </c>
      <c r="F108" t="s">
        <v>375</v>
      </c>
      <c r="G108" s="21">
        <v>2.5000000000000001E-2</v>
      </c>
    </row>
    <row r="109" spans="1:7" x14ac:dyDescent="0.35">
      <c r="A109" s="22">
        <v>44602</v>
      </c>
      <c r="B109" s="3">
        <v>1035.9100000000001</v>
      </c>
      <c r="C109" s="3">
        <v>1132.1099999999999</v>
      </c>
      <c r="D109" s="3">
        <v>1132.1099999999999</v>
      </c>
      <c r="E109" s="3">
        <v>1022.38</v>
      </c>
      <c r="F109" t="s">
        <v>376</v>
      </c>
      <c r="G109" s="21">
        <v>-8.5000000000000006E-2</v>
      </c>
    </row>
    <row r="110" spans="1:7" x14ac:dyDescent="0.35">
      <c r="A110" s="22" t="s">
        <v>377</v>
      </c>
      <c r="B110" s="3">
        <v>1132.1099999999999</v>
      </c>
      <c r="C110" s="3">
        <v>1203.28</v>
      </c>
      <c r="D110" s="3">
        <v>1203.28</v>
      </c>
      <c r="E110" s="3">
        <v>1099.44</v>
      </c>
      <c r="F110" t="s">
        <v>342</v>
      </c>
      <c r="G110" s="21">
        <v>-5.91E-2</v>
      </c>
    </row>
    <row r="111" spans="1:7" x14ac:dyDescent="0.35">
      <c r="A111" s="22" t="s">
        <v>378</v>
      </c>
      <c r="B111" s="3">
        <v>1203.28</v>
      </c>
      <c r="C111" s="3">
        <v>1234.03</v>
      </c>
      <c r="D111" s="3">
        <v>1234.03</v>
      </c>
      <c r="E111" s="3">
        <v>1196.6400000000001</v>
      </c>
      <c r="F111" t="s">
        <v>379</v>
      </c>
      <c r="G111" s="21">
        <v>-2.4899999999999999E-2</v>
      </c>
    </row>
    <row r="112" spans="1:7" x14ac:dyDescent="0.35">
      <c r="A112" s="22">
        <v>44874</v>
      </c>
      <c r="B112" s="3">
        <v>1234.03</v>
      </c>
      <c r="C112" s="3">
        <v>1248.78</v>
      </c>
      <c r="D112" s="3">
        <v>1257.8</v>
      </c>
      <c r="E112" s="3">
        <v>1228.51</v>
      </c>
      <c r="F112" t="s">
        <v>374</v>
      </c>
      <c r="G112" s="21">
        <v>-1.18E-2</v>
      </c>
    </row>
    <row r="113" spans="1:7" x14ac:dyDescent="0.35">
      <c r="A113" s="22">
        <v>44660</v>
      </c>
      <c r="B113" s="3">
        <v>1248.78</v>
      </c>
      <c r="C113" s="3">
        <v>1280.51</v>
      </c>
      <c r="D113" s="3">
        <v>1286.92</v>
      </c>
      <c r="E113" s="3">
        <v>1228.54</v>
      </c>
      <c r="F113" t="s">
        <v>380</v>
      </c>
      <c r="G113" s="21">
        <v>-2.4799999999999999E-2</v>
      </c>
    </row>
    <row r="114" spans="1:7" x14ac:dyDescent="0.35">
      <c r="A114" s="22" t="s">
        <v>381</v>
      </c>
      <c r="B114" s="3">
        <v>1280.51</v>
      </c>
      <c r="C114" s="3">
        <v>1282.57</v>
      </c>
      <c r="D114" s="3">
        <v>1287.6500000000001</v>
      </c>
      <c r="E114" s="3">
        <v>1249.17</v>
      </c>
      <c r="F114" t="s">
        <v>382</v>
      </c>
      <c r="G114" s="21">
        <v>-1.6000000000000001E-3</v>
      </c>
    </row>
    <row r="115" spans="1:7" x14ac:dyDescent="0.35">
      <c r="A115" s="22" t="s">
        <v>383</v>
      </c>
      <c r="B115" s="3">
        <v>1282.57</v>
      </c>
      <c r="C115" s="3">
        <v>1269.18</v>
      </c>
      <c r="D115" s="3">
        <v>1295.1199999999999</v>
      </c>
      <c r="E115" s="3">
        <v>1253.45</v>
      </c>
      <c r="F115" t="s">
        <v>384</v>
      </c>
      <c r="G115" s="21">
        <v>1.06E-2</v>
      </c>
    </row>
    <row r="116" spans="1:7" x14ac:dyDescent="0.35">
      <c r="A116" s="22" t="s">
        <v>385</v>
      </c>
      <c r="B116" s="3">
        <v>1269.18</v>
      </c>
      <c r="C116" s="3">
        <v>1262.33</v>
      </c>
      <c r="D116" s="3">
        <v>1283.1500000000001</v>
      </c>
      <c r="E116" s="3">
        <v>1262.33</v>
      </c>
      <c r="F116" t="s">
        <v>386</v>
      </c>
      <c r="G116" s="21">
        <v>5.4000000000000003E-3</v>
      </c>
    </row>
    <row r="117" spans="1:7" x14ac:dyDescent="0.35">
      <c r="A117" s="22">
        <v>44750</v>
      </c>
      <c r="B117" s="3">
        <v>1262.33</v>
      </c>
      <c r="C117" s="3">
        <v>1252.3599999999999</v>
      </c>
      <c r="D117" s="3">
        <v>1268.03</v>
      </c>
      <c r="E117" s="3">
        <v>1245.8499999999999</v>
      </c>
      <c r="F117" t="s">
        <v>387</v>
      </c>
      <c r="G117" s="21">
        <v>7.7000000000000002E-3</v>
      </c>
    </row>
    <row r="118" spans="1:7" x14ac:dyDescent="0.35">
      <c r="A118" s="22" t="s">
        <v>388</v>
      </c>
      <c r="B118" s="3">
        <v>1252.74</v>
      </c>
      <c r="C118" s="3">
        <v>1206.33</v>
      </c>
      <c r="D118" s="3">
        <v>1257.3800000000001</v>
      </c>
      <c r="E118" s="3">
        <v>1206.33</v>
      </c>
      <c r="F118" t="s">
        <v>336</v>
      </c>
      <c r="G118" s="21">
        <v>3.85E-2</v>
      </c>
    </row>
    <row r="119" spans="1:7" x14ac:dyDescent="0.35">
      <c r="A119" s="22" t="s">
        <v>389</v>
      </c>
      <c r="B119" s="3">
        <v>1206.33</v>
      </c>
      <c r="C119" s="3">
        <v>1191.43</v>
      </c>
      <c r="D119" s="3">
        <v>1217.8399999999999</v>
      </c>
      <c r="E119" s="3">
        <v>1178.58</v>
      </c>
      <c r="F119" t="s">
        <v>390</v>
      </c>
      <c r="G119" s="21">
        <v>9.7000000000000003E-3</v>
      </c>
    </row>
    <row r="120" spans="1:7" x14ac:dyDescent="0.35">
      <c r="A120" s="22" t="s">
        <v>391</v>
      </c>
      <c r="B120" s="3">
        <v>1194.76</v>
      </c>
      <c r="C120" s="3">
        <v>1179.25</v>
      </c>
      <c r="D120" s="3">
        <v>1202.69</v>
      </c>
      <c r="E120" s="3">
        <v>1168.99</v>
      </c>
      <c r="F120" t="s">
        <v>348</v>
      </c>
      <c r="G120" s="21">
        <v>1.32E-2</v>
      </c>
    </row>
    <row r="121" spans="1:7" x14ac:dyDescent="0.35">
      <c r="A121" s="22">
        <v>44841</v>
      </c>
      <c r="B121" s="3">
        <v>1179.25</v>
      </c>
      <c r="C121" s="3">
        <v>1171.31</v>
      </c>
      <c r="D121" s="3">
        <v>1189.6600000000001</v>
      </c>
      <c r="E121" s="3">
        <v>1144.55</v>
      </c>
      <c r="F121" t="s">
        <v>392</v>
      </c>
      <c r="G121" s="21">
        <v>6.7999999999999996E-3</v>
      </c>
    </row>
    <row r="122" spans="1:7" x14ac:dyDescent="0.35">
      <c r="A122" s="22">
        <v>44627</v>
      </c>
      <c r="B122" s="3">
        <v>1171.31</v>
      </c>
      <c r="C122" s="3">
        <v>1206.47</v>
      </c>
      <c r="D122" s="3">
        <v>1208.96</v>
      </c>
      <c r="E122" s="3">
        <v>1142.8</v>
      </c>
      <c r="F122" t="s">
        <v>393</v>
      </c>
      <c r="G122" s="21">
        <v>-2.3E-2</v>
      </c>
    </row>
    <row r="123" spans="1:7" x14ac:dyDescent="0.35">
      <c r="A123" s="22" t="s">
        <v>394</v>
      </c>
      <c r="B123" s="3">
        <v>1198.9000000000001</v>
      </c>
      <c r="C123" s="3">
        <v>1185.48</v>
      </c>
      <c r="D123" s="3">
        <v>1221.74</v>
      </c>
      <c r="E123" s="3">
        <v>1170.95</v>
      </c>
      <c r="F123" t="s">
        <v>395</v>
      </c>
      <c r="G123" s="21">
        <v>1.1299999999999999E-2</v>
      </c>
    </row>
    <row r="124" spans="1:7" x14ac:dyDescent="0.35">
      <c r="A124" s="22" t="s">
        <v>396</v>
      </c>
      <c r="B124" s="3">
        <v>1185.48</v>
      </c>
      <c r="C124" s="3">
        <v>1218.3699999999999</v>
      </c>
      <c r="D124" s="3">
        <v>1221.5999999999999</v>
      </c>
      <c r="E124" s="3">
        <v>1162.06</v>
      </c>
      <c r="F124" t="s">
        <v>397</v>
      </c>
      <c r="G124" s="21">
        <v>-2.6100000000000002E-2</v>
      </c>
    </row>
    <row r="125" spans="1:7" x14ac:dyDescent="0.35">
      <c r="A125" s="22">
        <v>44901</v>
      </c>
      <c r="B125" s="3">
        <v>1217.3</v>
      </c>
      <c r="C125" s="3">
        <v>1284.08</v>
      </c>
      <c r="D125" s="3">
        <v>1284.08</v>
      </c>
      <c r="E125" s="3">
        <v>1191.92</v>
      </c>
      <c r="F125" t="s">
        <v>398</v>
      </c>
      <c r="G125" s="21">
        <v>-5.1999999999999998E-2</v>
      </c>
    </row>
    <row r="126" spans="1:7" x14ac:dyDescent="0.35">
      <c r="A126" s="22">
        <v>44687</v>
      </c>
      <c r="B126" s="3">
        <v>1284.08</v>
      </c>
      <c r="C126" s="3">
        <v>1287.98</v>
      </c>
      <c r="D126" s="3">
        <v>1316.78</v>
      </c>
      <c r="E126" s="3">
        <v>1260.92</v>
      </c>
      <c r="F126" t="s">
        <v>399</v>
      </c>
      <c r="G126" s="21">
        <v>-3.0000000000000001E-3</v>
      </c>
    </row>
    <row r="127" spans="1:7" x14ac:dyDescent="0.35">
      <c r="A127" s="22" t="s">
        <v>400</v>
      </c>
      <c r="B127" s="3">
        <v>1287.98</v>
      </c>
      <c r="C127" s="3">
        <v>1285.45</v>
      </c>
      <c r="D127" s="3">
        <v>1302.6600000000001</v>
      </c>
      <c r="E127" s="3">
        <v>1276.3699999999999</v>
      </c>
      <c r="F127" t="s">
        <v>333</v>
      </c>
      <c r="G127" s="21">
        <v>2E-3</v>
      </c>
    </row>
    <row r="128" spans="1:7" x14ac:dyDescent="0.35">
      <c r="A128" s="22" t="s">
        <v>401</v>
      </c>
      <c r="B128" s="3">
        <v>1285.45</v>
      </c>
      <c r="C128" s="3">
        <v>1240.71</v>
      </c>
      <c r="D128" s="3">
        <v>1286.99</v>
      </c>
      <c r="E128" s="3">
        <v>1203.28</v>
      </c>
      <c r="F128" t="s">
        <v>402</v>
      </c>
      <c r="G128" s="21">
        <v>3.61E-2</v>
      </c>
    </row>
    <row r="129" spans="1:7" x14ac:dyDescent="0.35">
      <c r="A129" s="22" t="s">
        <v>403</v>
      </c>
      <c r="B129" s="3">
        <v>1240.71</v>
      </c>
      <c r="C129" s="3">
        <v>1182.77</v>
      </c>
      <c r="D129" s="3">
        <v>1252.96</v>
      </c>
      <c r="E129" s="3">
        <v>1156.54</v>
      </c>
      <c r="F129" t="s">
        <v>355</v>
      </c>
      <c r="G129" s="21">
        <v>4.9000000000000002E-2</v>
      </c>
    </row>
    <row r="130" spans="1:7" x14ac:dyDescent="0.35">
      <c r="A130" s="22">
        <v>44778</v>
      </c>
      <c r="B130" s="3">
        <v>1182.77</v>
      </c>
      <c r="C130" s="3">
        <v>1329.26</v>
      </c>
      <c r="D130" s="3">
        <v>1329.26</v>
      </c>
      <c r="E130" s="3">
        <v>1180.5999999999999</v>
      </c>
      <c r="F130" t="s">
        <v>404</v>
      </c>
      <c r="G130" s="21">
        <v>-0.11020000000000001</v>
      </c>
    </row>
    <row r="131" spans="1:7" x14ac:dyDescent="0.35">
      <c r="A131" s="22">
        <v>44566</v>
      </c>
      <c r="B131" s="3">
        <v>1329.26</v>
      </c>
      <c r="C131" s="3">
        <v>1366.11</v>
      </c>
      <c r="D131" s="3">
        <v>1366.39</v>
      </c>
      <c r="E131" s="3">
        <v>1328.13</v>
      </c>
      <c r="F131" t="s">
        <v>405</v>
      </c>
      <c r="G131" s="21">
        <v>-2.75E-2</v>
      </c>
    </row>
    <row r="132" spans="1:7" x14ac:dyDescent="0.35">
      <c r="A132" s="22" t="s">
        <v>406</v>
      </c>
      <c r="B132" s="3">
        <v>1366.8</v>
      </c>
      <c r="C132" s="3">
        <v>1379.23</v>
      </c>
      <c r="D132" s="3">
        <v>1382.13</v>
      </c>
      <c r="E132" s="3">
        <v>1261.4000000000001</v>
      </c>
      <c r="F132" t="s">
        <v>295</v>
      </c>
      <c r="G132" s="21">
        <v>-8.9999999999999993E-3</v>
      </c>
    </row>
    <row r="133" spans="1:7" x14ac:dyDescent="0.35">
      <c r="A133" s="22" t="s">
        <v>407</v>
      </c>
      <c r="B133" s="3">
        <v>1379.23</v>
      </c>
      <c r="C133" s="3">
        <v>1458.56</v>
      </c>
      <c r="D133" s="3">
        <v>1458.56</v>
      </c>
      <c r="E133" s="3">
        <v>1352.43</v>
      </c>
      <c r="F133" t="s">
        <v>408</v>
      </c>
      <c r="G133" s="21">
        <v>-5.4399999999999997E-2</v>
      </c>
    </row>
    <row r="134" spans="1:7" x14ac:dyDescent="0.35">
      <c r="A134" s="22">
        <v>44838</v>
      </c>
      <c r="B134" s="3">
        <v>1458.56</v>
      </c>
      <c r="C134" s="3">
        <v>1482</v>
      </c>
      <c r="D134" s="3">
        <v>1490.58</v>
      </c>
      <c r="E134" s="3">
        <v>1448.52</v>
      </c>
      <c r="F134" t="s">
        <v>409</v>
      </c>
      <c r="G134" s="21">
        <v>-1.5800000000000002E-2</v>
      </c>
    </row>
    <row r="135" spans="1:7" x14ac:dyDescent="0.35">
      <c r="A135" s="22">
        <v>44624</v>
      </c>
      <c r="B135" s="3">
        <v>1482</v>
      </c>
      <c r="C135" s="3">
        <v>1516.44</v>
      </c>
      <c r="D135" s="3">
        <v>1530.95</v>
      </c>
      <c r="E135" s="3">
        <v>1482</v>
      </c>
      <c r="F135" t="s">
        <v>250</v>
      </c>
      <c r="G135" s="21">
        <v>-2.2700000000000001E-2</v>
      </c>
    </row>
    <row r="136" spans="1:7" x14ac:dyDescent="0.35">
      <c r="A136" s="22" t="s">
        <v>410</v>
      </c>
      <c r="B136" s="3">
        <v>1516.44</v>
      </c>
      <c r="C136" s="3">
        <v>1498.5</v>
      </c>
      <c r="D136" s="3">
        <v>1516.87</v>
      </c>
      <c r="E136" s="3">
        <v>1473.8</v>
      </c>
      <c r="F136" t="s">
        <v>289</v>
      </c>
      <c r="G136" s="21">
        <v>1.2E-2</v>
      </c>
    </row>
    <row r="137" spans="1:7" x14ac:dyDescent="0.35">
      <c r="A137" s="22" t="s">
        <v>411</v>
      </c>
      <c r="B137" s="3">
        <v>1498.5</v>
      </c>
      <c r="C137" s="3">
        <v>1474.78</v>
      </c>
      <c r="D137" s="3">
        <v>1513.9</v>
      </c>
      <c r="E137" s="3">
        <v>1474.38</v>
      </c>
      <c r="F137" t="s">
        <v>412</v>
      </c>
      <c r="G137" s="21">
        <v>0.02</v>
      </c>
    </row>
    <row r="138" spans="1:7" x14ac:dyDescent="0.35">
      <c r="A138" s="22" t="s">
        <v>413</v>
      </c>
      <c r="B138" s="3">
        <v>1469.1</v>
      </c>
      <c r="C138" s="3">
        <v>1466.54</v>
      </c>
      <c r="D138" s="3">
        <v>1474.86</v>
      </c>
      <c r="E138" s="3">
        <v>1437.27</v>
      </c>
      <c r="F138" t="s">
        <v>414</v>
      </c>
      <c r="G138" s="21">
        <v>1.6999999999999999E-3</v>
      </c>
    </row>
    <row r="139" spans="1:7" x14ac:dyDescent="0.35">
      <c r="A139" s="22">
        <v>44715</v>
      </c>
      <c r="B139" s="3">
        <v>1466.54</v>
      </c>
      <c r="C139" s="3">
        <v>1505.33</v>
      </c>
      <c r="D139" s="3">
        <v>1505.33</v>
      </c>
      <c r="E139" s="3">
        <v>1458.88</v>
      </c>
      <c r="F139" t="s">
        <v>242</v>
      </c>
      <c r="G139" s="21">
        <v>-2.58E-2</v>
      </c>
    </row>
    <row r="140" spans="1:7" x14ac:dyDescent="0.35">
      <c r="A140" s="22" t="s">
        <v>415</v>
      </c>
      <c r="B140" s="3">
        <v>1505.33</v>
      </c>
      <c r="C140" s="3">
        <v>1498.89</v>
      </c>
      <c r="D140" s="3">
        <v>1509.19</v>
      </c>
      <c r="E140" s="3">
        <v>1479.55</v>
      </c>
      <c r="F140" t="s">
        <v>416</v>
      </c>
      <c r="G140" s="21">
        <v>4.3E-3</v>
      </c>
    </row>
    <row r="141" spans="1:7" x14ac:dyDescent="0.35">
      <c r="A141" s="22" t="s">
        <v>417</v>
      </c>
      <c r="B141" s="3">
        <v>1498.89</v>
      </c>
      <c r="C141" s="3">
        <v>1504.84</v>
      </c>
      <c r="D141" s="3">
        <v>1520.78</v>
      </c>
      <c r="E141" s="3">
        <v>1473.76</v>
      </c>
      <c r="F141" t="s">
        <v>418</v>
      </c>
      <c r="G141" s="21">
        <v>-4.0000000000000001E-3</v>
      </c>
    </row>
    <row r="142" spans="1:7" x14ac:dyDescent="0.35">
      <c r="A142" s="22" t="s">
        <v>419</v>
      </c>
      <c r="B142" s="3">
        <v>1504.84</v>
      </c>
      <c r="C142" s="3">
        <v>1501.71</v>
      </c>
      <c r="D142" s="3">
        <v>1507.99</v>
      </c>
      <c r="E142" s="3">
        <v>1470.06</v>
      </c>
      <c r="F142" t="s">
        <v>387</v>
      </c>
      <c r="G142" s="21">
        <v>2.0999999999999999E-3</v>
      </c>
    </row>
    <row r="143" spans="1:7" x14ac:dyDescent="0.35">
      <c r="A143" s="22">
        <v>44714</v>
      </c>
      <c r="B143" s="3">
        <v>1501.71</v>
      </c>
      <c r="C143" s="3">
        <v>1478.96</v>
      </c>
      <c r="D143" s="3">
        <v>1512.88</v>
      </c>
      <c r="E143" s="3">
        <v>1478.96</v>
      </c>
      <c r="F143" t="s">
        <v>274</v>
      </c>
      <c r="G143" s="21">
        <v>1.54E-2</v>
      </c>
    </row>
    <row r="144" spans="1:7" x14ac:dyDescent="0.35">
      <c r="A144" s="22" t="s">
        <v>420</v>
      </c>
      <c r="B144" s="3">
        <v>1478.96</v>
      </c>
      <c r="C144" s="3">
        <v>1478.96</v>
      </c>
      <c r="D144" s="3">
        <v>1478.96</v>
      </c>
      <c r="E144" s="3">
        <v>1478.96</v>
      </c>
      <c r="G144" s="21">
        <v>0</v>
      </c>
    </row>
    <row r="145" spans="1:7" x14ac:dyDescent="0.35">
      <c r="A145" s="22" t="s">
        <v>421</v>
      </c>
      <c r="B145" s="3">
        <v>1478.96</v>
      </c>
      <c r="C145" s="3">
        <v>1472.89</v>
      </c>
      <c r="D145" s="3">
        <v>1490.45</v>
      </c>
      <c r="E145" s="3">
        <v>1424.36</v>
      </c>
      <c r="F145" t="s">
        <v>422</v>
      </c>
      <c r="G145" s="21">
        <v>4.1000000000000003E-3</v>
      </c>
    </row>
    <row r="146" spans="1:7" x14ac:dyDescent="0.35">
      <c r="A146" s="22" t="s">
        <v>423</v>
      </c>
      <c r="B146" s="3">
        <v>1472.89</v>
      </c>
      <c r="C146" s="3">
        <v>1496.02</v>
      </c>
      <c r="D146" s="3">
        <v>1503.86</v>
      </c>
      <c r="E146" s="3">
        <v>1424.65</v>
      </c>
      <c r="F146" t="s">
        <v>424</v>
      </c>
      <c r="G146" s="21">
        <v>-1.55E-2</v>
      </c>
    </row>
    <row r="147" spans="1:7" x14ac:dyDescent="0.35">
      <c r="A147" s="22">
        <v>44805</v>
      </c>
      <c r="B147" s="3">
        <v>1496.02</v>
      </c>
      <c r="C147" s="3">
        <v>1528.48</v>
      </c>
      <c r="D147" s="3">
        <v>1536.45</v>
      </c>
      <c r="E147" s="3">
        <v>1464.49</v>
      </c>
      <c r="F147" t="s">
        <v>425</v>
      </c>
      <c r="G147" s="21">
        <v>-2.12E-2</v>
      </c>
    </row>
    <row r="148" spans="1:7" x14ac:dyDescent="0.35">
      <c r="A148" s="22">
        <v>44593</v>
      </c>
      <c r="B148" s="3">
        <v>1528.48</v>
      </c>
      <c r="C148" s="3">
        <v>1508.55</v>
      </c>
      <c r="D148" s="3">
        <v>1536.24</v>
      </c>
      <c r="E148" s="3">
        <v>1507.19</v>
      </c>
      <c r="F148" t="s">
        <v>360</v>
      </c>
      <c r="G148" s="21">
        <v>2.0199999999999999E-2</v>
      </c>
    </row>
    <row r="149" spans="1:7" x14ac:dyDescent="0.35">
      <c r="A149" s="22" t="s">
        <v>426</v>
      </c>
      <c r="B149" s="3">
        <v>1498.28</v>
      </c>
      <c r="C149" s="3">
        <v>1477.03</v>
      </c>
      <c r="D149" s="3">
        <v>1499.77</v>
      </c>
      <c r="E149" s="3">
        <v>1469.91</v>
      </c>
      <c r="F149" t="s">
        <v>427</v>
      </c>
      <c r="G149" s="21">
        <v>1.44E-2</v>
      </c>
    </row>
    <row r="150" spans="1:7" x14ac:dyDescent="0.35">
      <c r="A150" s="22" t="s">
        <v>428</v>
      </c>
      <c r="B150" s="3">
        <v>1477.03</v>
      </c>
      <c r="C150" s="3">
        <v>1479.79</v>
      </c>
      <c r="D150" s="3">
        <v>1489.24</v>
      </c>
      <c r="E150" s="3">
        <v>1447.14</v>
      </c>
      <c r="F150" t="s">
        <v>259</v>
      </c>
      <c r="G150" s="21">
        <v>-1.9E-3</v>
      </c>
    </row>
    <row r="151" spans="1:7" x14ac:dyDescent="0.35">
      <c r="A151" s="22">
        <v>44542</v>
      </c>
      <c r="B151" s="3">
        <v>1479.79</v>
      </c>
      <c r="C151" s="3">
        <v>1463.54</v>
      </c>
      <c r="D151" s="3">
        <v>1487.73</v>
      </c>
      <c r="E151" s="3">
        <v>1463.54</v>
      </c>
      <c r="F151" t="s">
        <v>429</v>
      </c>
      <c r="G151" s="21">
        <v>1.11E-2</v>
      </c>
    </row>
    <row r="152" spans="1:7" x14ac:dyDescent="0.35">
      <c r="A152" s="22">
        <v>44328</v>
      </c>
      <c r="B152" s="3">
        <v>1463.54</v>
      </c>
      <c r="C152" s="3">
        <v>1443.32</v>
      </c>
      <c r="D152" s="3">
        <v>1475.85</v>
      </c>
      <c r="E152" s="3">
        <v>1400.87</v>
      </c>
      <c r="F152" t="s">
        <v>430</v>
      </c>
      <c r="G152" s="21">
        <v>1.4E-2</v>
      </c>
    </row>
    <row r="153" spans="1:7" x14ac:dyDescent="0.35">
      <c r="A153" s="22" t="s">
        <v>431</v>
      </c>
      <c r="B153" s="3">
        <v>1443.32</v>
      </c>
      <c r="C153" s="3">
        <v>1493.03</v>
      </c>
      <c r="D153" s="3">
        <v>1503.09</v>
      </c>
      <c r="E153" s="3">
        <v>1443.32</v>
      </c>
      <c r="F153" t="s">
        <v>432</v>
      </c>
      <c r="G153" s="21">
        <v>-3.3300000000000003E-2</v>
      </c>
    </row>
    <row r="154" spans="1:7" x14ac:dyDescent="0.35">
      <c r="A154" s="22" t="s">
        <v>433</v>
      </c>
      <c r="B154" s="3">
        <v>1493.03</v>
      </c>
      <c r="C154" s="3">
        <v>1452.35</v>
      </c>
      <c r="D154" s="3">
        <v>1511.68</v>
      </c>
      <c r="E154" s="3">
        <v>1438.41</v>
      </c>
      <c r="F154" t="s">
        <v>434</v>
      </c>
      <c r="G154" s="21">
        <v>2.8000000000000001E-2</v>
      </c>
    </row>
    <row r="155" spans="1:7" x14ac:dyDescent="0.35">
      <c r="A155" s="22" t="s">
        <v>435</v>
      </c>
      <c r="B155" s="3">
        <v>1452.35</v>
      </c>
      <c r="C155" s="3">
        <v>1473.37</v>
      </c>
      <c r="D155" s="3">
        <v>1482.87</v>
      </c>
      <c r="E155" s="3">
        <v>1434.69</v>
      </c>
      <c r="F155" t="s">
        <v>436</v>
      </c>
      <c r="G155" s="21">
        <v>-1.43E-2</v>
      </c>
    </row>
    <row r="156" spans="1:7" x14ac:dyDescent="0.35">
      <c r="A156" s="22">
        <v>44388</v>
      </c>
      <c r="B156" s="3">
        <v>1473.37</v>
      </c>
      <c r="C156" s="3">
        <v>1456.51</v>
      </c>
      <c r="D156" s="3">
        <v>1474.98</v>
      </c>
      <c r="E156" s="3">
        <v>1449.18</v>
      </c>
      <c r="F156" t="s">
        <v>437</v>
      </c>
      <c r="G156" s="21">
        <v>1.1599999999999999E-2</v>
      </c>
    </row>
    <row r="157" spans="1:7" x14ac:dyDescent="0.35">
      <c r="A157" s="22" t="s">
        <v>438</v>
      </c>
      <c r="B157" s="3">
        <v>1456.51</v>
      </c>
      <c r="C157" s="3">
        <v>1444.27</v>
      </c>
      <c r="D157" s="3">
        <v>1463.63</v>
      </c>
      <c r="E157" s="3">
        <v>1435.57</v>
      </c>
      <c r="F157" t="s">
        <v>439</v>
      </c>
      <c r="G157" s="21">
        <v>8.5000000000000006E-3</v>
      </c>
    </row>
    <row r="158" spans="1:7" x14ac:dyDescent="0.35">
      <c r="A158" s="22" t="s">
        <v>440</v>
      </c>
      <c r="B158" s="3">
        <v>1444.27</v>
      </c>
      <c r="C158" s="3">
        <v>1389.24</v>
      </c>
      <c r="D158" s="3">
        <v>1447.62</v>
      </c>
      <c r="E158" s="3">
        <v>1377.56</v>
      </c>
      <c r="F158" t="s">
        <v>314</v>
      </c>
      <c r="G158" s="21">
        <v>3.9600000000000003E-2</v>
      </c>
    </row>
    <row r="159" spans="1:7" x14ac:dyDescent="0.35">
      <c r="A159" s="22" t="s">
        <v>441</v>
      </c>
      <c r="B159" s="3">
        <v>1389.24</v>
      </c>
      <c r="C159" s="3">
        <v>1392.7</v>
      </c>
      <c r="D159" s="3">
        <v>1402.63</v>
      </c>
      <c r="E159" s="3">
        <v>1376.15</v>
      </c>
      <c r="F159" t="s">
        <v>316</v>
      </c>
      <c r="G159" s="21">
        <v>-2.5000000000000001E-3</v>
      </c>
    </row>
    <row r="160" spans="1:7" x14ac:dyDescent="0.35">
      <c r="A160" s="22">
        <v>44479</v>
      </c>
      <c r="B160" s="3">
        <v>1392.7</v>
      </c>
      <c r="C160" s="3">
        <v>1372.73</v>
      </c>
      <c r="D160" s="3">
        <v>1400.78</v>
      </c>
      <c r="E160" s="3">
        <v>1372.73</v>
      </c>
      <c r="F160" t="s">
        <v>422</v>
      </c>
      <c r="G160" s="21">
        <v>1.4500000000000001E-2</v>
      </c>
    </row>
    <row r="161" spans="1:7" x14ac:dyDescent="0.35">
      <c r="A161" s="22">
        <v>44265</v>
      </c>
      <c r="B161" s="3">
        <v>1372.73</v>
      </c>
      <c r="C161" s="3">
        <v>1334.89</v>
      </c>
      <c r="D161" s="3">
        <v>1373.18</v>
      </c>
      <c r="E161" s="3">
        <v>1333.53</v>
      </c>
      <c r="F161" t="s">
        <v>442</v>
      </c>
      <c r="G161" s="21">
        <v>2.8299999999999999E-2</v>
      </c>
    </row>
    <row r="162" spans="1:7" x14ac:dyDescent="0.35">
      <c r="A162" s="22" t="s">
        <v>443</v>
      </c>
      <c r="B162" s="3">
        <v>1334.89</v>
      </c>
      <c r="C162" s="3">
        <v>1351.17</v>
      </c>
      <c r="D162" s="3">
        <v>1354.38</v>
      </c>
      <c r="E162" s="3">
        <v>1316.41</v>
      </c>
      <c r="F162" t="s">
        <v>444</v>
      </c>
      <c r="G162" s="21">
        <v>-1.2E-2</v>
      </c>
    </row>
    <row r="163" spans="1:7" x14ac:dyDescent="0.35">
      <c r="A163" s="22" t="s">
        <v>445</v>
      </c>
      <c r="B163" s="3">
        <v>1351.17</v>
      </c>
      <c r="C163" s="3">
        <v>1352.64</v>
      </c>
      <c r="D163" s="3">
        <v>1365.92</v>
      </c>
      <c r="E163" s="3">
        <v>1324.82</v>
      </c>
      <c r="F163" t="s">
        <v>320</v>
      </c>
      <c r="G163" s="21">
        <v>-1.1000000000000001E-3</v>
      </c>
    </row>
    <row r="164" spans="1:7" x14ac:dyDescent="0.35">
      <c r="A164" s="22">
        <v>44539</v>
      </c>
      <c r="B164" s="3">
        <v>1352.64</v>
      </c>
      <c r="C164" s="3">
        <v>1345.31</v>
      </c>
      <c r="D164" s="3">
        <v>1356.45</v>
      </c>
      <c r="E164" s="3">
        <v>1334.97</v>
      </c>
      <c r="F164" t="s">
        <v>446</v>
      </c>
      <c r="G164" s="21">
        <v>5.4000000000000003E-3</v>
      </c>
    </row>
    <row r="165" spans="1:7" x14ac:dyDescent="0.35">
      <c r="A165" s="22">
        <v>44325</v>
      </c>
      <c r="B165" s="3">
        <v>1345.31</v>
      </c>
      <c r="C165" s="3">
        <v>1334.65</v>
      </c>
      <c r="D165" s="3">
        <v>1353.66</v>
      </c>
      <c r="E165" s="3">
        <v>1328.35</v>
      </c>
      <c r="F165" t="s">
        <v>447</v>
      </c>
      <c r="G165" s="21">
        <v>8.0000000000000002E-3</v>
      </c>
    </row>
    <row r="166" spans="1:7" x14ac:dyDescent="0.35">
      <c r="A166" s="22" t="s">
        <v>448</v>
      </c>
      <c r="B166" s="3">
        <v>1334.65</v>
      </c>
      <c r="C166" s="3">
        <v>1313.2</v>
      </c>
      <c r="D166" s="3">
        <v>1338.02</v>
      </c>
      <c r="E166" s="3">
        <v>1313.2</v>
      </c>
      <c r="F166" t="s">
        <v>449</v>
      </c>
      <c r="G166" s="21">
        <v>1.6299999999999999E-2</v>
      </c>
    </row>
    <row r="167" spans="1:7" x14ac:dyDescent="0.35">
      <c r="A167" s="22" t="s">
        <v>450</v>
      </c>
      <c r="B167" s="3">
        <v>1313.2</v>
      </c>
      <c r="C167" s="3">
        <v>1329.43</v>
      </c>
      <c r="D167" s="3">
        <v>1329.43</v>
      </c>
      <c r="E167" s="3">
        <v>1285.1600000000001</v>
      </c>
      <c r="F167" t="s">
        <v>451</v>
      </c>
      <c r="G167" s="21">
        <v>-1.2200000000000001E-2</v>
      </c>
    </row>
    <row r="168" spans="1:7" x14ac:dyDescent="0.35">
      <c r="A168" s="22" t="s">
        <v>452</v>
      </c>
      <c r="B168" s="3">
        <v>1329.43</v>
      </c>
      <c r="C168" s="3">
        <v>1357.05</v>
      </c>
      <c r="D168" s="3">
        <v>1379.7</v>
      </c>
      <c r="E168" s="3">
        <v>1317.52</v>
      </c>
      <c r="F168" t="s">
        <v>427</v>
      </c>
      <c r="G168" s="21">
        <v>-2.0400000000000001E-2</v>
      </c>
    </row>
    <row r="169" spans="1:7" x14ac:dyDescent="0.35">
      <c r="A169" s="22">
        <v>44416</v>
      </c>
      <c r="B169" s="3">
        <v>1357.05</v>
      </c>
      <c r="C169" s="3">
        <v>1341.45</v>
      </c>
      <c r="D169" s="3">
        <v>1374.03</v>
      </c>
      <c r="E169" s="3">
        <v>1334.69</v>
      </c>
      <c r="F169" t="s">
        <v>453</v>
      </c>
      <c r="G169" s="21">
        <v>1.1599999999999999E-2</v>
      </c>
    </row>
    <row r="170" spans="1:7" x14ac:dyDescent="0.35">
      <c r="A170" s="22">
        <v>44204</v>
      </c>
      <c r="B170" s="3">
        <v>1341.45</v>
      </c>
      <c r="C170" s="3">
        <v>1310.05</v>
      </c>
      <c r="D170" s="3">
        <v>1351.85</v>
      </c>
      <c r="E170" s="3">
        <v>1304.49</v>
      </c>
      <c r="F170" t="s">
        <v>454</v>
      </c>
      <c r="G170" s="21">
        <v>2.4E-2</v>
      </c>
    </row>
    <row r="171" spans="1:7" x14ac:dyDescent="0.35">
      <c r="A171" s="22" t="s">
        <v>455</v>
      </c>
      <c r="B171" s="3">
        <v>1310.05</v>
      </c>
      <c r="C171" s="3">
        <v>1268.83</v>
      </c>
      <c r="D171" s="3">
        <v>1311.97</v>
      </c>
      <c r="E171" s="3">
        <v>1254.57</v>
      </c>
      <c r="F171" t="s">
        <v>456</v>
      </c>
      <c r="G171" s="21">
        <v>3.2500000000000001E-2</v>
      </c>
    </row>
    <row r="172" spans="1:7" x14ac:dyDescent="0.35">
      <c r="A172" s="22" t="s">
        <v>457</v>
      </c>
      <c r="B172" s="3">
        <v>1268.83</v>
      </c>
      <c r="C172" s="3">
        <v>1299.31</v>
      </c>
      <c r="D172" s="3">
        <v>1299.31</v>
      </c>
      <c r="E172" s="3">
        <v>1225.52</v>
      </c>
      <c r="F172" t="s">
        <v>458</v>
      </c>
      <c r="G172" s="21">
        <v>-2.35E-2</v>
      </c>
    </row>
    <row r="173" spans="1:7" x14ac:dyDescent="0.35">
      <c r="A173" s="22">
        <v>44507</v>
      </c>
      <c r="B173" s="3">
        <v>1299.31</v>
      </c>
      <c r="C173" s="3">
        <v>1347.14</v>
      </c>
      <c r="D173" s="3">
        <v>1347.14</v>
      </c>
      <c r="E173" s="3">
        <v>1264.68</v>
      </c>
      <c r="F173" t="s">
        <v>333</v>
      </c>
      <c r="G173" s="21">
        <v>-3.5499999999999997E-2</v>
      </c>
    </row>
    <row r="174" spans="1:7" x14ac:dyDescent="0.35">
      <c r="A174" s="22">
        <v>44293</v>
      </c>
      <c r="B174" s="3">
        <v>1347.14</v>
      </c>
      <c r="C174" s="3">
        <v>1420.27</v>
      </c>
      <c r="D174" s="3">
        <v>1421.52</v>
      </c>
      <c r="E174" s="3">
        <v>1334.58</v>
      </c>
      <c r="F174" t="s">
        <v>459</v>
      </c>
      <c r="G174" s="21">
        <v>-5.1499999999999997E-2</v>
      </c>
    </row>
    <row r="175" spans="1:7" x14ac:dyDescent="0.35">
      <c r="A175" s="22" t="s">
        <v>460</v>
      </c>
      <c r="B175" s="3">
        <v>1420.27</v>
      </c>
      <c r="C175" s="3">
        <v>1397.96</v>
      </c>
      <c r="D175" s="3">
        <v>1424.28</v>
      </c>
      <c r="E175" s="3">
        <v>1390.56</v>
      </c>
      <c r="F175" t="s">
        <v>461</v>
      </c>
      <c r="G175" s="21">
        <v>2.1700000000000001E-2</v>
      </c>
    </row>
    <row r="176" spans="1:7" x14ac:dyDescent="0.35">
      <c r="A176" s="22" t="s">
        <v>462</v>
      </c>
      <c r="B176" s="3">
        <v>1390.12</v>
      </c>
      <c r="C176" s="3">
        <v>1373.59</v>
      </c>
      <c r="D176" s="3">
        <v>1390.12</v>
      </c>
      <c r="E176" s="3">
        <v>1367.85</v>
      </c>
      <c r="F176" t="s">
        <v>274</v>
      </c>
      <c r="G176" s="21">
        <v>8.9999999999999993E-3</v>
      </c>
    </row>
    <row r="177" spans="1:7" x14ac:dyDescent="0.35">
      <c r="A177" s="22" t="s">
        <v>463</v>
      </c>
      <c r="B177" s="3">
        <v>1377.77</v>
      </c>
      <c r="C177" s="3">
        <v>1352.73</v>
      </c>
      <c r="D177" s="3">
        <v>1377.77</v>
      </c>
      <c r="E177" s="3">
        <v>1337.49</v>
      </c>
      <c r="F177" t="s">
        <v>464</v>
      </c>
      <c r="G177" s="21">
        <v>1.9300000000000001E-2</v>
      </c>
    </row>
    <row r="178" spans="1:7" x14ac:dyDescent="0.35">
      <c r="A178" s="22">
        <v>44353</v>
      </c>
      <c r="B178" s="3">
        <v>1351.74</v>
      </c>
      <c r="C178" s="3">
        <v>1374.59</v>
      </c>
      <c r="D178" s="3">
        <v>1375.74</v>
      </c>
      <c r="E178" s="3">
        <v>1312.08</v>
      </c>
      <c r="F178" t="s">
        <v>249</v>
      </c>
      <c r="G178" s="21">
        <v>-1.6199999999999999E-2</v>
      </c>
    </row>
    <row r="179" spans="1:7" x14ac:dyDescent="0.35">
      <c r="A179" s="22" t="s">
        <v>465</v>
      </c>
      <c r="B179" s="3">
        <v>1374.05</v>
      </c>
      <c r="C179" s="3">
        <v>1326.65</v>
      </c>
      <c r="D179" s="3">
        <v>1374.05</v>
      </c>
      <c r="E179" s="3">
        <v>1307.56</v>
      </c>
      <c r="F179" t="s">
        <v>235</v>
      </c>
      <c r="G179" s="21">
        <v>4.0599999999999997E-2</v>
      </c>
    </row>
    <row r="180" spans="1:7" x14ac:dyDescent="0.35">
      <c r="A180" s="22" t="s">
        <v>466</v>
      </c>
      <c r="B180" s="3">
        <v>1320.46</v>
      </c>
      <c r="C180" s="3">
        <v>1287.5</v>
      </c>
      <c r="D180" s="3">
        <v>1323.09</v>
      </c>
      <c r="E180" s="3">
        <v>1287.3599999999999</v>
      </c>
      <c r="F180" t="s">
        <v>467</v>
      </c>
      <c r="G180" s="21">
        <v>2.8500000000000001E-2</v>
      </c>
    </row>
    <row r="181" spans="1:7" x14ac:dyDescent="0.35">
      <c r="A181" s="22" t="s">
        <v>468</v>
      </c>
      <c r="B181" s="3">
        <v>1283.93</v>
      </c>
      <c r="C181" s="3">
        <v>1272.55</v>
      </c>
      <c r="D181" s="3">
        <v>1289.03</v>
      </c>
      <c r="E181" s="3">
        <v>1249.02</v>
      </c>
      <c r="F181" t="s">
        <v>469</v>
      </c>
      <c r="G181" s="21">
        <v>1.3899999999999999E-2</v>
      </c>
    </row>
    <row r="182" spans="1:7" x14ac:dyDescent="0.35">
      <c r="A182" s="22">
        <v>44444</v>
      </c>
      <c r="B182" s="3">
        <v>1266.3599999999999</v>
      </c>
      <c r="C182" s="3">
        <v>1239.96</v>
      </c>
      <c r="D182" s="3">
        <v>1273.49</v>
      </c>
      <c r="E182" s="3">
        <v>1236.8499999999999</v>
      </c>
      <c r="F182" t="s">
        <v>470</v>
      </c>
      <c r="G182" s="21">
        <v>1.9800000000000002E-2</v>
      </c>
    </row>
    <row r="183" spans="1:7" x14ac:dyDescent="0.35">
      <c r="A183" s="22">
        <v>44232</v>
      </c>
      <c r="B183" s="3">
        <v>1241.81</v>
      </c>
      <c r="C183" s="3">
        <v>1222.08</v>
      </c>
      <c r="D183" s="3">
        <v>1265.93</v>
      </c>
      <c r="E183" s="3">
        <v>1212.56</v>
      </c>
      <c r="F183" t="s">
        <v>471</v>
      </c>
      <c r="G183" s="21">
        <v>2E-3</v>
      </c>
    </row>
    <row r="184" spans="1:7" x14ac:dyDescent="0.35">
      <c r="A184" s="22" t="s">
        <v>472</v>
      </c>
      <c r="B184" s="3">
        <v>1239.3900000000001</v>
      </c>
      <c r="C184" s="3">
        <v>1251.25</v>
      </c>
      <c r="D184" s="3">
        <v>1251.25</v>
      </c>
      <c r="E184" s="3">
        <v>1204.1400000000001</v>
      </c>
      <c r="F184" t="s">
        <v>456</v>
      </c>
      <c r="G184" s="21">
        <v>-7.3000000000000001E-3</v>
      </c>
    </row>
    <row r="185" spans="1:7" x14ac:dyDescent="0.35">
      <c r="A185" s="22" t="s">
        <v>473</v>
      </c>
      <c r="B185" s="3">
        <v>1248.53</v>
      </c>
      <c r="C185" s="3">
        <v>1243.58</v>
      </c>
      <c r="D185" s="3">
        <v>1286.32</v>
      </c>
      <c r="E185" s="3">
        <v>1216.1500000000001</v>
      </c>
      <c r="F185" t="s">
        <v>474</v>
      </c>
      <c r="G185" s="21">
        <v>7.9000000000000008E-3</v>
      </c>
    </row>
    <row r="186" spans="1:7" x14ac:dyDescent="0.35">
      <c r="A186" s="22">
        <v>44504</v>
      </c>
      <c r="B186" s="3">
        <v>1238.71</v>
      </c>
      <c r="C186" s="3">
        <v>1236.79</v>
      </c>
      <c r="D186" s="3">
        <v>1268.02</v>
      </c>
      <c r="E186" s="3">
        <v>1227.1400000000001</v>
      </c>
      <c r="F186" t="s">
        <v>475</v>
      </c>
      <c r="G186" s="21">
        <v>5.7000000000000002E-3</v>
      </c>
    </row>
    <row r="187" spans="1:7" x14ac:dyDescent="0.35">
      <c r="A187" s="22">
        <v>44290</v>
      </c>
      <c r="B187" s="3">
        <v>1231.6600000000001</v>
      </c>
      <c r="C187" s="3">
        <v>1245.28</v>
      </c>
      <c r="D187" s="3">
        <v>1246.4000000000001</v>
      </c>
      <c r="E187" s="3">
        <v>1227.5999999999999</v>
      </c>
      <c r="F187" t="s">
        <v>281</v>
      </c>
      <c r="G187" s="21">
        <v>5.8999999999999999E-3</v>
      </c>
    </row>
    <row r="188" spans="1:7" x14ac:dyDescent="0.35">
      <c r="A188" s="22" t="s">
        <v>476</v>
      </c>
      <c r="B188" s="3">
        <v>1224.45</v>
      </c>
      <c r="C188" s="3">
        <v>1169.6500000000001</v>
      </c>
      <c r="D188" s="3">
        <v>1228.29</v>
      </c>
      <c r="E188" s="3">
        <v>1165.78</v>
      </c>
      <c r="F188" t="s">
        <v>292</v>
      </c>
      <c r="G188" s="21">
        <v>5.3600000000000002E-2</v>
      </c>
    </row>
    <row r="189" spans="1:7" x14ac:dyDescent="0.35">
      <c r="A189" s="22" t="s">
        <v>477</v>
      </c>
      <c r="B189" s="3">
        <v>1162.21</v>
      </c>
      <c r="C189" s="3">
        <v>1200.05</v>
      </c>
      <c r="D189" s="3">
        <v>1200.21</v>
      </c>
      <c r="E189" s="3">
        <v>1137.9000000000001</v>
      </c>
      <c r="F189" t="s">
        <v>254</v>
      </c>
      <c r="G189" s="21">
        <v>-2.6700000000000002E-2</v>
      </c>
    </row>
    <row r="190" spans="1:7" x14ac:dyDescent="0.35">
      <c r="A190" s="22" t="s">
        <v>478</v>
      </c>
      <c r="B190" s="3">
        <v>1194.05</v>
      </c>
      <c r="C190" s="3">
        <v>1183.8900000000001</v>
      </c>
      <c r="D190" s="3">
        <v>1200.94</v>
      </c>
      <c r="E190" s="3">
        <v>1171.76</v>
      </c>
      <c r="F190" t="s">
        <v>329</v>
      </c>
      <c r="G190" s="21">
        <v>1.06E-2</v>
      </c>
    </row>
    <row r="191" spans="1:7" x14ac:dyDescent="0.35">
      <c r="A191" s="22">
        <v>44380</v>
      </c>
      <c r="B191" s="3">
        <v>1181.56</v>
      </c>
      <c r="C191" s="3">
        <v>1180.33</v>
      </c>
      <c r="D191" s="3">
        <v>1186.52</v>
      </c>
      <c r="E191" s="3">
        <v>1150.94</v>
      </c>
      <c r="F191" t="s">
        <v>479</v>
      </c>
      <c r="G191" s="21">
        <v>1.0999999999999999E-2</v>
      </c>
    </row>
    <row r="192" spans="1:7" x14ac:dyDescent="0.35">
      <c r="A192" s="22" t="s">
        <v>480</v>
      </c>
      <c r="B192" s="3">
        <v>1168.69</v>
      </c>
      <c r="C192" s="3">
        <v>1176.93</v>
      </c>
      <c r="D192" s="3">
        <v>1196.1600000000001</v>
      </c>
      <c r="E192" s="3">
        <v>1155.5999999999999</v>
      </c>
      <c r="F192" t="s">
        <v>481</v>
      </c>
      <c r="G192" s="21">
        <v>2.0000000000000001E-4</v>
      </c>
    </row>
    <row r="193" spans="1:7" x14ac:dyDescent="0.35">
      <c r="A193" s="22" t="s">
        <v>482</v>
      </c>
      <c r="B193" s="3">
        <v>1168.47</v>
      </c>
      <c r="C193" s="3">
        <v>1173.57</v>
      </c>
      <c r="D193" s="3">
        <v>1185.58</v>
      </c>
      <c r="E193" s="3">
        <v>1148.8800000000001</v>
      </c>
      <c r="F193" t="s">
        <v>483</v>
      </c>
      <c r="G193" s="21">
        <v>-4.3E-3</v>
      </c>
    </row>
    <row r="194" spans="1:7" x14ac:dyDescent="0.35">
      <c r="A194" s="22" t="s">
        <v>484</v>
      </c>
      <c r="B194" s="3">
        <v>1173.5</v>
      </c>
      <c r="C194" s="3">
        <v>1127.46</v>
      </c>
      <c r="D194" s="3">
        <v>1178.18</v>
      </c>
      <c r="E194" s="3">
        <v>1127.46</v>
      </c>
      <c r="F194" t="s">
        <v>485</v>
      </c>
      <c r="G194" s="21">
        <v>5.2499999999999998E-2</v>
      </c>
    </row>
    <row r="195" spans="1:7" x14ac:dyDescent="0.35">
      <c r="A195" s="22">
        <v>44379</v>
      </c>
      <c r="B195" s="3">
        <v>1114.93</v>
      </c>
      <c r="C195" s="3">
        <v>1127.06</v>
      </c>
      <c r="D195" s="3">
        <v>1127.06</v>
      </c>
      <c r="E195" s="3">
        <v>1075.0999999999999</v>
      </c>
      <c r="F195" t="s">
        <v>486</v>
      </c>
      <c r="G195" s="21">
        <v>-1.06E-2</v>
      </c>
    </row>
    <row r="196" spans="1:7" x14ac:dyDescent="0.35">
      <c r="A196" s="22" t="s">
        <v>487</v>
      </c>
      <c r="B196" s="3">
        <v>1126.9100000000001</v>
      </c>
      <c r="C196" s="3">
        <v>1056.6099999999999</v>
      </c>
      <c r="D196" s="3">
        <v>1126.9100000000001</v>
      </c>
      <c r="E196" s="3">
        <v>1029.3599999999999</v>
      </c>
      <c r="F196" t="s">
        <v>488</v>
      </c>
      <c r="G196" s="21">
        <v>6.6500000000000004E-2</v>
      </c>
    </row>
    <row r="197" spans="1:7" x14ac:dyDescent="0.35">
      <c r="A197" s="22" t="s">
        <v>489</v>
      </c>
      <c r="B197" s="3">
        <v>1056.6099999999999</v>
      </c>
      <c r="C197" s="3">
        <v>1164.2</v>
      </c>
      <c r="D197" s="3">
        <v>1172.18</v>
      </c>
      <c r="E197">
        <v>998.33</v>
      </c>
      <c r="F197" t="s">
        <v>490</v>
      </c>
      <c r="G197" s="21">
        <v>-9.4399999999999998E-2</v>
      </c>
    </row>
    <row r="198" spans="1:7" x14ac:dyDescent="0.35">
      <c r="A198" s="22" t="s">
        <v>491</v>
      </c>
      <c r="B198" s="3">
        <v>1166.78</v>
      </c>
      <c r="C198" s="3">
        <v>1198.79</v>
      </c>
      <c r="D198" s="3">
        <v>1200.8499999999999</v>
      </c>
      <c r="E198" s="3">
        <v>1098.05</v>
      </c>
      <c r="F198" t="s">
        <v>492</v>
      </c>
      <c r="G198" s="21">
        <v>-2.3E-2</v>
      </c>
    </row>
    <row r="199" spans="1:7" x14ac:dyDescent="0.35">
      <c r="A199" s="22">
        <v>44470</v>
      </c>
      <c r="B199" s="3">
        <v>1194.2</v>
      </c>
      <c r="C199" s="3">
        <v>1176.47</v>
      </c>
      <c r="D199" s="3">
        <v>1200.82</v>
      </c>
      <c r="E199" s="3">
        <v>1175</v>
      </c>
      <c r="F199" t="s">
        <v>493</v>
      </c>
      <c r="G199" s="21">
        <v>2.2700000000000001E-2</v>
      </c>
    </row>
    <row r="200" spans="1:7" x14ac:dyDescent="0.35">
      <c r="A200" s="22">
        <v>44256</v>
      </c>
      <c r="B200" s="3">
        <v>1167.69</v>
      </c>
      <c r="C200" s="3">
        <v>1113.77</v>
      </c>
      <c r="D200" s="3">
        <v>1176.33</v>
      </c>
      <c r="E200" s="3">
        <v>1113.5899999999999</v>
      </c>
      <c r="F200" t="s">
        <v>494</v>
      </c>
      <c r="G200" s="21">
        <v>5.7799999999999997E-2</v>
      </c>
    </row>
    <row r="201" spans="1:7" x14ac:dyDescent="0.35">
      <c r="A201" s="22" t="s">
        <v>495</v>
      </c>
      <c r="B201" s="3">
        <v>1103.8699999999999</v>
      </c>
      <c r="C201" s="3">
        <v>1094.3699999999999</v>
      </c>
      <c r="D201" s="3">
        <v>1108.83</v>
      </c>
      <c r="E201" s="3">
        <v>1083.9000000000001</v>
      </c>
      <c r="F201" t="s">
        <v>496</v>
      </c>
      <c r="G201" s="21">
        <v>1.7899999999999999E-2</v>
      </c>
    </row>
    <row r="202" spans="1:7" x14ac:dyDescent="0.35">
      <c r="A202" s="22" t="s">
        <v>497</v>
      </c>
      <c r="B202" s="3">
        <v>1084.42</v>
      </c>
      <c r="C202" s="3">
        <v>1071.6199999999999</v>
      </c>
      <c r="D202" s="3">
        <v>1094.0899999999999</v>
      </c>
      <c r="E202" s="3">
        <v>1046.8900000000001</v>
      </c>
      <c r="F202" t="s">
        <v>470</v>
      </c>
      <c r="G202" s="21">
        <v>1.5900000000000001E-2</v>
      </c>
    </row>
    <row r="203" spans="1:7" x14ac:dyDescent="0.35">
      <c r="A203" s="22" t="s">
        <v>498</v>
      </c>
      <c r="B203" s="3">
        <v>1067.46</v>
      </c>
      <c r="C203" s="3">
        <v>1048.97</v>
      </c>
      <c r="D203" s="3">
        <v>1068.56</v>
      </c>
      <c r="E203" s="3">
        <v>1048.97</v>
      </c>
      <c r="F203" t="s">
        <v>380</v>
      </c>
      <c r="G203" s="21">
        <v>2.06E-2</v>
      </c>
    </row>
    <row r="204" spans="1:7" x14ac:dyDescent="0.35">
      <c r="A204" s="22">
        <v>43994</v>
      </c>
      <c r="B204" s="3">
        <v>1045.96</v>
      </c>
      <c r="C204" s="3">
        <v>1024.3399999999999</v>
      </c>
      <c r="D204" s="3">
        <v>1045.96</v>
      </c>
      <c r="E204" s="3">
        <v>1022.14</v>
      </c>
      <c r="F204" t="s">
        <v>395</v>
      </c>
      <c r="G204" s="21">
        <v>2.4E-2</v>
      </c>
    </row>
    <row r="205" spans="1:7" x14ac:dyDescent="0.35">
      <c r="A205" s="22" t="s">
        <v>499</v>
      </c>
      <c r="B205" s="3">
        <v>1021.49</v>
      </c>
      <c r="C205" s="3">
        <v>1011.82</v>
      </c>
      <c r="D205" s="3">
        <v>1025.17</v>
      </c>
      <c r="E205">
        <v>988.71</v>
      </c>
      <c r="F205" t="s">
        <v>458</v>
      </c>
      <c r="G205" s="21">
        <v>1.12E-2</v>
      </c>
    </row>
    <row r="206" spans="1:7" x14ac:dyDescent="0.35">
      <c r="A206" s="22" t="s">
        <v>500</v>
      </c>
      <c r="B206" s="3">
        <v>1010.22</v>
      </c>
      <c r="C206">
        <v>991.87</v>
      </c>
      <c r="D206" s="3">
        <v>1010.22</v>
      </c>
      <c r="E206">
        <v>984.92</v>
      </c>
      <c r="F206" t="s">
        <v>501</v>
      </c>
      <c r="G206" s="21">
        <v>2.0400000000000001E-2</v>
      </c>
    </row>
    <row r="207" spans="1:7" x14ac:dyDescent="0.35">
      <c r="A207" s="22" t="s">
        <v>502</v>
      </c>
      <c r="B207">
        <v>990</v>
      </c>
      <c r="C207">
        <v>970.11</v>
      </c>
      <c r="D207">
        <v>990</v>
      </c>
      <c r="E207">
        <v>950.5</v>
      </c>
      <c r="F207" t="s">
        <v>503</v>
      </c>
      <c r="G207" s="21">
        <v>2.4500000000000001E-2</v>
      </c>
    </row>
    <row r="208" spans="1:7" x14ac:dyDescent="0.35">
      <c r="A208" s="22">
        <v>44054</v>
      </c>
      <c r="B208">
        <v>966.29</v>
      </c>
      <c r="C208">
        <v>942.15</v>
      </c>
      <c r="D208">
        <v>966.29</v>
      </c>
      <c r="E208">
        <v>942.15</v>
      </c>
      <c r="F208" t="s">
        <v>504</v>
      </c>
      <c r="G208" s="21">
        <v>2.98E-2</v>
      </c>
    </row>
    <row r="209" spans="1:7" x14ac:dyDescent="0.35">
      <c r="A209" s="22">
        <v>43841</v>
      </c>
      <c r="B209">
        <v>938.29</v>
      </c>
      <c r="C209">
        <v>926.09</v>
      </c>
      <c r="D209">
        <v>945.51</v>
      </c>
      <c r="E209">
        <v>924.14</v>
      </c>
      <c r="F209" t="s">
        <v>505</v>
      </c>
      <c r="G209" s="21">
        <v>1.3899999999999999E-2</v>
      </c>
    </row>
    <row r="210" spans="1:7" x14ac:dyDescent="0.35">
      <c r="A210" s="22" t="s">
        <v>506</v>
      </c>
      <c r="B210">
        <v>925.47</v>
      </c>
      <c r="C210">
        <v>967.52</v>
      </c>
      <c r="D210">
        <v>970.15</v>
      </c>
      <c r="E210">
        <v>911.2</v>
      </c>
      <c r="F210" t="s">
        <v>507</v>
      </c>
      <c r="G210" s="21">
        <v>-3.7199999999999997E-2</v>
      </c>
    </row>
    <row r="211" spans="1:7" x14ac:dyDescent="0.35">
      <c r="A211" s="22" t="s">
        <v>508</v>
      </c>
      <c r="B211">
        <v>961.26</v>
      </c>
      <c r="C211">
        <v>945.01</v>
      </c>
      <c r="D211">
        <v>961.26</v>
      </c>
      <c r="E211">
        <v>933.78</v>
      </c>
      <c r="F211" t="s">
        <v>509</v>
      </c>
      <c r="G211" s="21">
        <v>1.9E-2</v>
      </c>
    </row>
    <row r="212" spans="1:7" x14ac:dyDescent="0.35">
      <c r="A212" s="22">
        <v>44145</v>
      </c>
      <c r="B212">
        <v>943.3</v>
      </c>
      <c r="C212">
        <v>930.78</v>
      </c>
      <c r="D212">
        <v>946.23</v>
      </c>
      <c r="E212">
        <v>923.28</v>
      </c>
      <c r="F212" t="s">
        <v>510</v>
      </c>
      <c r="G212" s="21">
        <v>2.0899999999999998E-2</v>
      </c>
    </row>
    <row r="213" spans="1:7" x14ac:dyDescent="0.35">
      <c r="A213" s="22">
        <v>43931</v>
      </c>
      <c r="B213">
        <v>924</v>
      </c>
      <c r="C213">
        <v>913.77</v>
      </c>
      <c r="D213">
        <v>924</v>
      </c>
      <c r="E213">
        <v>910.96</v>
      </c>
      <c r="F213" t="s">
        <v>511</v>
      </c>
      <c r="G213" s="21">
        <v>1.55E-2</v>
      </c>
    </row>
    <row r="214" spans="1:7" x14ac:dyDescent="0.35">
      <c r="A214" s="22" t="s">
        <v>512</v>
      </c>
      <c r="B214">
        <v>909.91</v>
      </c>
      <c r="C214">
        <v>911.2</v>
      </c>
      <c r="D214">
        <v>917.49</v>
      </c>
      <c r="E214">
        <v>897.72</v>
      </c>
      <c r="F214" t="s">
        <v>513</v>
      </c>
      <c r="G214" s="21">
        <v>1.8E-3</v>
      </c>
    </row>
    <row r="215" spans="1:7" x14ac:dyDescent="0.35">
      <c r="A215" s="22" t="s">
        <v>514</v>
      </c>
      <c r="B215">
        <v>908.27</v>
      </c>
      <c r="C215">
        <v>904.5</v>
      </c>
      <c r="D215">
        <v>914.51</v>
      </c>
      <c r="E215">
        <v>902.47</v>
      </c>
      <c r="F215" t="s">
        <v>515</v>
      </c>
      <c r="G215" s="21">
        <v>8.0999999999999996E-3</v>
      </c>
    </row>
    <row r="216" spans="1:7" x14ac:dyDescent="0.35">
      <c r="A216" s="22" t="s">
        <v>516</v>
      </c>
      <c r="B216">
        <v>900.95</v>
      </c>
      <c r="C216">
        <v>891.89</v>
      </c>
      <c r="D216">
        <v>902.11</v>
      </c>
      <c r="E216">
        <v>890.93</v>
      </c>
      <c r="F216" t="s">
        <v>517</v>
      </c>
      <c r="G216" s="21">
        <v>1.35E-2</v>
      </c>
    </row>
    <row r="217" spans="1:7" x14ac:dyDescent="0.35">
      <c r="A217" s="22">
        <v>43991</v>
      </c>
      <c r="B217">
        <v>888.97</v>
      </c>
      <c r="C217">
        <v>903.85</v>
      </c>
      <c r="D217">
        <v>905.8</v>
      </c>
      <c r="E217">
        <v>881.57</v>
      </c>
      <c r="F217" t="s">
        <v>518</v>
      </c>
      <c r="G217" s="21">
        <v>-1.3899999999999999E-2</v>
      </c>
    </row>
    <row r="218" spans="1:7" x14ac:dyDescent="0.35">
      <c r="A218" s="22" t="s">
        <v>519</v>
      </c>
      <c r="B218">
        <v>901.54</v>
      </c>
      <c r="C218">
        <v>882.13</v>
      </c>
      <c r="D218">
        <v>904.32</v>
      </c>
      <c r="E218">
        <v>879.26</v>
      </c>
      <c r="F218" t="s">
        <v>520</v>
      </c>
      <c r="G218" s="21">
        <v>2.5700000000000001E-2</v>
      </c>
    </row>
    <row r="219" spans="1:7" x14ac:dyDescent="0.35">
      <c r="A219" s="22" t="s">
        <v>521</v>
      </c>
      <c r="B219">
        <v>878.98</v>
      </c>
      <c r="C219">
        <v>860.35</v>
      </c>
      <c r="D219">
        <v>885.86</v>
      </c>
      <c r="E219">
        <v>860.35</v>
      </c>
      <c r="F219" t="s">
        <v>522</v>
      </c>
      <c r="G219" s="21">
        <v>2.8299999999999999E-2</v>
      </c>
    </row>
    <row r="220" spans="1:7" x14ac:dyDescent="0.35">
      <c r="A220" s="22" t="s">
        <v>523</v>
      </c>
      <c r="B220">
        <v>854.78</v>
      </c>
      <c r="C220">
        <v>848.08</v>
      </c>
      <c r="D220">
        <v>856.99</v>
      </c>
      <c r="E220">
        <v>841.62</v>
      </c>
      <c r="F220" t="s">
        <v>524</v>
      </c>
      <c r="G220" s="21">
        <v>4.7000000000000002E-3</v>
      </c>
    </row>
    <row r="221" spans="1:7" x14ac:dyDescent="0.35">
      <c r="A221" s="22">
        <v>44082</v>
      </c>
      <c r="B221">
        <v>850.74</v>
      </c>
      <c r="C221">
        <v>845.11</v>
      </c>
      <c r="D221">
        <v>860.32</v>
      </c>
      <c r="E221">
        <v>840.35</v>
      </c>
      <c r="F221" t="s">
        <v>520</v>
      </c>
      <c r="G221" s="21">
        <v>1.0999999999999999E-2</v>
      </c>
    </row>
    <row r="222" spans="1:7" x14ac:dyDescent="0.35">
      <c r="A222" s="22">
        <v>43869</v>
      </c>
      <c r="B222">
        <v>841.46</v>
      </c>
      <c r="C222">
        <v>796.86</v>
      </c>
      <c r="D222">
        <v>844.33</v>
      </c>
      <c r="E222">
        <v>796.47</v>
      </c>
      <c r="F222" t="s">
        <v>525</v>
      </c>
      <c r="G222" s="21">
        <v>5.3900000000000003E-2</v>
      </c>
    </row>
    <row r="223" spans="1:7" x14ac:dyDescent="0.35">
      <c r="A223" s="22" t="s">
        <v>526</v>
      </c>
      <c r="B223">
        <v>798.39</v>
      </c>
      <c r="C223">
        <v>794.14</v>
      </c>
      <c r="D223">
        <v>814.4</v>
      </c>
      <c r="E223">
        <v>779.82</v>
      </c>
      <c r="F223" t="s">
        <v>527</v>
      </c>
      <c r="G223" s="21">
        <v>-3.7100000000000001E-2</v>
      </c>
    </row>
    <row r="224" spans="1:7" x14ac:dyDescent="0.35">
      <c r="A224" s="22" t="s">
        <v>528</v>
      </c>
      <c r="B224">
        <v>829.16</v>
      </c>
      <c r="C224">
        <v>870.66</v>
      </c>
      <c r="D224">
        <v>871.64</v>
      </c>
      <c r="E224">
        <v>816.65</v>
      </c>
      <c r="F224" t="s">
        <v>527</v>
      </c>
      <c r="G224" s="21">
        <v>-4.9200000000000001E-2</v>
      </c>
    </row>
    <row r="225" spans="1:7" x14ac:dyDescent="0.35">
      <c r="A225" s="22">
        <v>44172</v>
      </c>
      <c r="B225">
        <v>872.02</v>
      </c>
      <c r="C225">
        <v>874.85</v>
      </c>
      <c r="D225">
        <v>876.83</v>
      </c>
      <c r="E225">
        <v>860.28</v>
      </c>
      <c r="F225" t="s">
        <v>529</v>
      </c>
      <c r="G225" s="21">
        <v>8.9999999999999998E-4</v>
      </c>
    </row>
    <row r="226" spans="1:7" x14ac:dyDescent="0.35">
      <c r="A226" s="22">
        <v>43958</v>
      </c>
      <c r="B226">
        <v>871.21</v>
      </c>
      <c r="C226">
        <v>851.47</v>
      </c>
      <c r="D226">
        <v>878.53</v>
      </c>
      <c r="E226">
        <v>850.04</v>
      </c>
      <c r="F226" t="s">
        <v>530</v>
      </c>
      <c r="G226" s="21">
        <v>2.7799999999999998E-2</v>
      </c>
    </row>
    <row r="227" spans="1:7" x14ac:dyDescent="0.35">
      <c r="A227" s="22" t="s">
        <v>531</v>
      </c>
      <c r="B227">
        <v>847.61</v>
      </c>
      <c r="C227">
        <v>846.26</v>
      </c>
      <c r="D227">
        <v>848.16</v>
      </c>
      <c r="E227">
        <v>821.92</v>
      </c>
      <c r="F227" t="s">
        <v>532</v>
      </c>
      <c r="G227" s="21">
        <v>-5.1000000000000004E-3</v>
      </c>
    </row>
    <row r="228" spans="1:7" x14ac:dyDescent="0.35">
      <c r="A228" s="22" t="s">
        <v>533</v>
      </c>
      <c r="B228">
        <v>851.98</v>
      </c>
      <c r="C228">
        <v>871.56</v>
      </c>
      <c r="D228">
        <v>873.2</v>
      </c>
      <c r="E228">
        <v>849.65</v>
      </c>
      <c r="F228" t="s">
        <v>517</v>
      </c>
      <c r="G228" s="21">
        <v>-1.9099999999999999E-2</v>
      </c>
    </row>
    <row r="229" spans="1:7" x14ac:dyDescent="0.35">
      <c r="A229" s="22" t="s">
        <v>534</v>
      </c>
      <c r="B229">
        <v>868.56</v>
      </c>
      <c r="C229">
        <v>867.52</v>
      </c>
      <c r="D229">
        <v>868.56</v>
      </c>
      <c r="E229">
        <v>832.47</v>
      </c>
      <c r="F229" t="s">
        <v>535</v>
      </c>
      <c r="G229" s="21">
        <v>5.7999999999999996E-3</v>
      </c>
    </row>
    <row r="230" spans="1:7" x14ac:dyDescent="0.35">
      <c r="A230" s="22">
        <v>44018</v>
      </c>
      <c r="B230">
        <v>863.52</v>
      </c>
      <c r="C230">
        <v>888.7</v>
      </c>
      <c r="D230">
        <v>905.65</v>
      </c>
      <c r="E230">
        <v>841.44</v>
      </c>
      <c r="F230" t="s">
        <v>339</v>
      </c>
      <c r="G230" s="21">
        <v>-2.5600000000000001E-2</v>
      </c>
    </row>
    <row r="231" spans="1:7" x14ac:dyDescent="0.35">
      <c r="A231" s="22" t="s">
        <v>536</v>
      </c>
      <c r="B231">
        <v>886.22</v>
      </c>
      <c r="C231">
        <v>868.97</v>
      </c>
      <c r="D231">
        <v>888.32</v>
      </c>
      <c r="E231">
        <v>868.97</v>
      </c>
      <c r="F231" t="s">
        <v>537</v>
      </c>
      <c r="G231" s="21">
        <v>2.52E-2</v>
      </c>
    </row>
    <row r="232" spans="1:7" x14ac:dyDescent="0.35">
      <c r="A232" s="22" t="s">
        <v>538</v>
      </c>
      <c r="B232">
        <v>864.47</v>
      </c>
      <c r="C232">
        <v>852.9</v>
      </c>
      <c r="D232">
        <v>875.35</v>
      </c>
      <c r="E232">
        <v>849.12</v>
      </c>
      <c r="F232" t="s">
        <v>539</v>
      </c>
      <c r="G232" s="21">
        <v>1.38E-2</v>
      </c>
    </row>
    <row r="233" spans="1:7" x14ac:dyDescent="0.35">
      <c r="A233" s="22" t="s">
        <v>540</v>
      </c>
      <c r="B233">
        <v>852.74</v>
      </c>
      <c r="C233">
        <v>827.49</v>
      </c>
      <c r="D233">
        <v>862.73</v>
      </c>
      <c r="E233">
        <v>823.08</v>
      </c>
      <c r="F233" t="s">
        <v>505</v>
      </c>
      <c r="G233" s="21">
        <v>3.1099999999999999E-2</v>
      </c>
    </row>
    <row r="234" spans="1:7" x14ac:dyDescent="0.35">
      <c r="A234" s="22">
        <v>44109</v>
      </c>
      <c r="B234">
        <v>827.03</v>
      </c>
      <c r="C234">
        <v>818.26</v>
      </c>
      <c r="D234">
        <v>839.59</v>
      </c>
      <c r="E234">
        <v>812.48</v>
      </c>
      <c r="F234" t="s">
        <v>270</v>
      </c>
      <c r="G234" s="21">
        <v>1.6299999999999999E-2</v>
      </c>
    </row>
    <row r="235" spans="1:7" x14ac:dyDescent="0.35">
      <c r="A235" s="22">
        <v>43895</v>
      </c>
      <c r="B235">
        <v>813.73</v>
      </c>
      <c r="C235">
        <v>766.14</v>
      </c>
      <c r="D235">
        <v>825.72</v>
      </c>
      <c r="E235">
        <v>760.04</v>
      </c>
      <c r="F235" t="s">
        <v>530</v>
      </c>
      <c r="G235" s="21">
        <v>5.8000000000000003E-2</v>
      </c>
    </row>
    <row r="236" spans="1:7" x14ac:dyDescent="0.35">
      <c r="A236" s="22" t="s">
        <v>541</v>
      </c>
      <c r="B236">
        <v>769.11</v>
      </c>
      <c r="C236">
        <v>780.65</v>
      </c>
      <c r="D236">
        <v>785.74</v>
      </c>
      <c r="E236">
        <v>763.66</v>
      </c>
      <c r="F236" t="s">
        <v>542</v>
      </c>
      <c r="G236" s="21">
        <v>-9.7000000000000003E-3</v>
      </c>
    </row>
    <row r="237" spans="1:7" x14ac:dyDescent="0.35">
      <c r="A237" s="22" t="s">
        <v>543</v>
      </c>
      <c r="B237">
        <v>776.66</v>
      </c>
      <c r="C237">
        <v>796.17</v>
      </c>
      <c r="D237">
        <v>797.49</v>
      </c>
      <c r="E237">
        <v>749.97</v>
      </c>
      <c r="F237" t="s">
        <v>544</v>
      </c>
      <c r="G237" s="21">
        <v>-1.6400000000000001E-2</v>
      </c>
    </row>
    <row r="238" spans="1:7" x14ac:dyDescent="0.35">
      <c r="A238" s="22">
        <v>44169</v>
      </c>
      <c r="B238">
        <v>789.6</v>
      </c>
      <c r="C238">
        <v>762.99</v>
      </c>
      <c r="D238">
        <v>790.95</v>
      </c>
      <c r="E238">
        <v>753.85</v>
      </c>
      <c r="F238" t="s">
        <v>545</v>
      </c>
      <c r="G238" s="21">
        <v>4.1799999999999997E-2</v>
      </c>
    </row>
    <row r="239" spans="1:7" x14ac:dyDescent="0.35">
      <c r="A239" s="22">
        <v>43955</v>
      </c>
      <c r="B239">
        <v>757.94</v>
      </c>
      <c r="C239">
        <v>716.22</v>
      </c>
      <c r="D239">
        <v>765.87</v>
      </c>
      <c r="E239">
        <v>715.39</v>
      </c>
      <c r="F239" t="s">
        <v>546</v>
      </c>
      <c r="G239" s="21">
        <v>0.08</v>
      </c>
    </row>
    <row r="240" spans="1:7" x14ac:dyDescent="0.35">
      <c r="A240" s="22" t="s">
        <v>547</v>
      </c>
      <c r="B240">
        <v>701.8</v>
      </c>
      <c r="C240">
        <v>663.91</v>
      </c>
      <c r="D240">
        <v>701.8</v>
      </c>
      <c r="E240">
        <v>649.1</v>
      </c>
      <c r="F240" t="s">
        <v>548</v>
      </c>
      <c r="G240" s="21">
        <v>8.2000000000000007E-3</v>
      </c>
    </row>
    <row r="241" spans="1:7" x14ac:dyDescent="0.35">
      <c r="A241" s="22" t="s">
        <v>549</v>
      </c>
      <c r="B241">
        <v>696.06</v>
      </c>
      <c r="C241">
        <v>694.77</v>
      </c>
      <c r="D241">
        <v>703.22</v>
      </c>
      <c r="E241">
        <v>652.27</v>
      </c>
      <c r="F241" t="s">
        <v>550</v>
      </c>
      <c r="G241" s="21">
        <v>-1.9300000000000001E-2</v>
      </c>
    </row>
    <row r="242" spans="1:7" x14ac:dyDescent="0.35">
      <c r="A242" s="22" t="s">
        <v>551</v>
      </c>
      <c r="B242">
        <v>709.73</v>
      </c>
      <c r="C242">
        <v>758.28</v>
      </c>
      <c r="D242">
        <v>758.59</v>
      </c>
      <c r="E242">
        <v>709.73</v>
      </c>
      <c r="F242" t="s">
        <v>552</v>
      </c>
      <c r="G242" s="21">
        <v>-6.83E-2</v>
      </c>
    </row>
    <row r="243" spans="1:7" x14ac:dyDescent="0.35">
      <c r="A243" s="22">
        <v>44046</v>
      </c>
      <c r="B243">
        <v>761.78</v>
      </c>
      <c r="C243">
        <v>875.8</v>
      </c>
      <c r="D243">
        <v>875.8</v>
      </c>
      <c r="E243">
        <v>723.42</v>
      </c>
      <c r="F243" t="s">
        <v>405</v>
      </c>
      <c r="G243" s="21">
        <v>-0.14549999999999999</v>
      </c>
    </row>
    <row r="244" spans="1:7" x14ac:dyDescent="0.35">
      <c r="A244" s="22">
        <v>43833</v>
      </c>
      <c r="B244">
        <v>891.44</v>
      </c>
      <c r="C244">
        <v>878.43</v>
      </c>
      <c r="D244">
        <v>898.43</v>
      </c>
      <c r="E244">
        <v>877.31</v>
      </c>
      <c r="F244" t="s">
        <v>553</v>
      </c>
      <c r="G244" s="21">
        <v>1.0500000000000001E-2</v>
      </c>
    </row>
    <row r="245" spans="1:7" x14ac:dyDescent="0.35">
      <c r="A245" s="22" t="s">
        <v>554</v>
      </c>
      <c r="B245">
        <v>882.19</v>
      </c>
      <c r="C245">
        <v>917.49</v>
      </c>
      <c r="D245">
        <v>917.49</v>
      </c>
      <c r="E245">
        <v>872.46</v>
      </c>
      <c r="F245" t="s">
        <v>555</v>
      </c>
      <c r="G245" s="21">
        <v>-5.45E-2</v>
      </c>
    </row>
    <row r="246" spans="1:7" x14ac:dyDescent="0.35">
      <c r="A246" s="22" t="s">
        <v>556</v>
      </c>
      <c r="B246">
        <v>933.09</v>
      </c>
      <c r="C246">
        <v>938.52</v>
      </c>
      <c r="D246">
        <v>940.53</v>
      </c>
      <c r="E246">
        <v>925.86</v>
      </c>
      <c r="F246" t="s">
        <v>557</v>
      </c>
      <c r="G246" s="21">
        <v>-4.7000000000000002E-3</v>
      </c>
    </row>
    <row r="247" spans="1:7" x14ac:dyDescent="0.35">
      <c r="A247" s="22">
        <v>44076</v>
      </c>
      <c r="B247">
        <v>937.45</v>
      </c>
      <c r="C247">
        <v>934.38</v>
      </c>
      <c r="D247">
        <v>943.11</v>
      </c>
      <c r="E247">
        <v>926.61</v>
      </c>
      <c r="F247" t="s">
        <v>558</v>
      </c>
      <c r="G247" s="21">
        <v>-3.5000000000000001E-3</v>
      </c>
    </row>
    <row r="248" spans="1:7" x14ac:dyDescent="0.35">
      <c r="A248" s="22">
        <v>43863</v>
      </c>
      <c r="B248">
        <v>940.75</v>
      </c>
      <c r="C248">
        <v>916.6</v>
      </c>
      <c r="D248">
        <v>943.48</v>
      </c>
      <c r="E248">
        <v>891.85</v>
      </c>
      <c r="F248" t="s">
        <v>559</v>
      </c>
      <c r="G248" s="21">
        <v>4.4000000000000003E-3</v>
      </c>
    </row>
    <row r="249" spans="1:7" x14ac:dyDescent="0.35">
      <c r="A249" s="22" t="s">
        <v>560</v>
      </c>
      <c r="B249">
        <v>936.62</v>
      </c>
      <c r="C249">
        <v>975.15</v>
      </c>
      <c r="D249">
        <v>977.72</v>
      </c>
      <c r="E249">
        <v>936.62</v>
      </c>
      <c r="F249" t="s">
        <v>561</v>
      </c>
      <c r="G249" s="21">
        <v>-5.5300000000000002E-2</v>
      </c>
    </row>
    <row r="250" spans="1:7" x14ac:dyDescent="0.35">
      <c r="A250" s="22" t="s">
        <v>562</v>
      </c>
      <c r="B250">
        <v>991.46</v>
      </c>
      <c r="C250">
        <v>978.23</v>
      </c>
      <c r="D250">
        <v>991.46</v>
      </c>
      <c r="E250">
        <v>975.93</v>
      </c>
      <c r="F250" t="s">
        <v>563</v>
      </c>
      <c r="G250" s="21">
        <v>1.2800000000000001E-2</v>
      </c>
    </row>
    <row r="251" spans="1:7" x14ac:dyDescent="0.35">
      <c r="A251" s="22">
        <v>44166</v>
      </c>
      <c r="B251">
        <v>978.96</v>
      </c>
      <c r="C251">
        <v>966.89</v>
      </c>
      <c r="D251">
        <v>980.02</v>
      </c>
      <c r="E251">
        <v>964.79</v>
      </c>
      <c r="F251" t="s">
        <v>564</v>
      </c>
      <c r="G251" s="21">
        <v>1.0800000000000001E-2</v>
      </c>
    </row>
    <row r="252" spans="1:7" x14ac:dyDescent="0.35">
      <c r="A252" s="22">
        <v>43952</v>
      </c>
      <c r="B252">
        <v>968.54</v>
      </c>
      <c r="C252">
        <v>962.79</v>
      </c>
      <c r="D252">
        <v>969.71</v>
      </c>
      <c r="E252">
        <v>945.28</v>
      </c>
      <c r="F252" t="s">
        <v>565</v>
      </c>
      <c r="G252" s="21">
        <v>3.5000000000000001E-3</v>
      </c>
    </row>
    <row r="253" spans="1:7" x14ac:dyDescent="0.35">
      <c r="A253" s="22" t="s">
        <v>566</v>
      </c>
      <c r="B253">
        <v>965.14</v>
      </c>
      <c r="C253">
        <v>962.89</v>
      </c>
      <c r="D253">
        <v>970.88</v>
      </c>
      <c r="E253">
        <v>958.22</v>
      </c>
      <c r="F253" t="s">
        <v>567</v>
      </c>
      <c r="G253" s="21">
        <v>1.6999999999999999E-3</v>
      </c>
    </row>
    <row r="254" spans="1:7" x14ac:dyDescent="0.35">
      <c r="A254" s="22" t="s">
        <v>568</v>
      </c>
      <c r="B254">
        <v>963.51</v>
      </c>
      <c r="C254">
        <v>959.55</v>
      </c>
      <c r="D254">
        <v>963.51</v>
      </c>
      <c r="E254">
        <v>953.29</v>
      </c>
      <c r="F254" t="s">
        <v>569</v>
      </c>
      <c r="G254" s="21">
        <v>7.4000000000000003E-3</v>
      </c>
    </row>
    <row r="255" spans="1:7" x14ac:dyDescent="0.35">
      <c r="A255" s="22" t="s">
        <v>570</v>
      </c>
      <c r="B255">
        <v>956.41</v>
      </c>
      <c r="C255">
        <v>966</v>
      </c>
      <c r="D255">
        <v>966</v>
      </c>
      <c r="E255">
        <v>946.74</v>
      </c>
      <c r="F255" t="s">
        <v>550</v>
      </c>
      <c r="G255" s="21">
        <v>-1.01E-2</v>
      </c>
    </row>
    <row r="256" spans="1:7" x14ac:dyDescent="0.35">
      <c r="A256" s="22">
        <v>43689</v>
      </c>
      <c r="B256">
        <v>966.18</v>
      </c>
      <c r="C256">
        <v>963.91</v>
      </c>
      <c r="D256">
        <v>971.84</v>
      </c>
      <c r="E256">
        <v>954.56</v>
      </c>
      <c r="F256" t="s">
        <v>331</v>
      </c>
      <c r="G256" s="21">
        <v>2.7000000000000001E-3</v>
      </c>
    </row>
    <row r="257" spans="1:7" x14ac:dyDescent="0.35">
      <c r="A257" s="22">
        <v>43477</v>
      </c>
      <c r="B257">
        <v>963.56</v>
      </c>
      <c r="C257">
        <v>971.42</v>
      </c>
      <c r="D257">
        <v>972.91</v>
      </c>
      <c r="E257">
        <v>950.13</v>
      </c>
      <c r="F257" t="s">
        <v>571</v>
      </c>
      <c r="G257" s="21">
        <v>-7.4000000000000003E-3</v>
      </c>
    </row>
    <row r="258" spans="1:7" x14ac:dyDescent="0.35">
      <c r="A258" s="22" t="s">
        <v>572</v>
      </c>
      <c r="B258">
        <v>970.75</v>
      </c>
      <c r="C258">
        <v>977.85</v>
      </c>
      <c r="D258">
        <v>982.76</v>
      </c>
      <c r="E258">
        <v>967.68</v>
      </c>
      <c r="F258" t="s">
        <v>573</v>
      </c>
      <c r="G258" s="21">
        <v>-7.1999999999999998E-3</v>
      </c>
    </row>
    <row r="259" spans="1:7" x14ac:dyDescent="0.35">
      <c r="A259" s="22" t="s">
        <v>574</v>
      </c>
      <c r="B259">
        <v>977.78</v>
      </c>
      <c r="C259" s="3">
        <v>1010.03</v>
      </c>
      <c r="D259" s="3">
        <v>1012.09</v>
      </c>
      <c r="E259">
        <v>971.03</v>
      </c>
      <c r="F259" t="s">
        <v>575</v>
      </c>
      <c r="G259" s="21">
        <v>-3.1899999999999998E-2</v>
      </c>
    </row>
    <row r="260" spans="1:7" x14ac:dyDescent="0.35">
      <c r="A260" s="22">
        <v>43749</v>
      </c>
      <c r="B260" s="3">
        <v>1010.03</v>
      </c>
      <c r="C260" s="3">
        <v>1023.32</v>
      </c>
      <c r="D260" s="3">
        <v>1024.77</v>
      </c>
      <c r="E260" s="3">
        <v>1005.1</v>
      </c>
      <c r="F260" t="s">
        <v>576</v>
      </c>
      <c r="G260" s="21">
        <v>-1.2200000000000001E-2</v>
      </c>
    </row>
    <row r="261" spans="1:7" x14ac:dyDescent="0.35">
      <c r="A261" s="22">
        <v>43535</v>
      </c>
      <c r="B261" s="3">
        <v>1022.49</v>
      </c>
      <c r="C261" s="3">
        <v>1019</v>
      </c>
      <c r="D261" s="3">
        <v>1028.97</v>
      </c>
      <c r="E261" s="3">
        <v>1015.86</v>
      </c>
      <c r="F261" t="s">
        <v>577</v>
      </c>
      <c r="G261" s="21">
        <v>6.7999999999999996E-3</v>
      </c>
    </row>
    <row r="262" spans="1:7" x14ac:dyDescent="0.35">
      <c r="A262" s="22" t="s">
        <v>578</v>
      </c>
      <c r="B262" s="3">
        <v>1015.59</v>
      </c>
      <c r="C262">
        <v>998.27</v>
      </c>
      <c r="D262" s="3">
        <v>1015.88</v>
      </c>
      <c r="E262">
        <v>994.86</v>
      </c>
      <c r="F262" t="s">
        <v>575</v>
      </c>
      <c r="G262" s="21">
        <v>1.9099999999999999E-2</v>
      </c>
    </row>
    <row r="263" spans="1:7" x14ac:dyDescent="0.35">
      <c r="A263" s="22" t="s">
        <v>579</v>
      </c>
      <c r="B263">
        <v>996.57</v>
      </c>
      <c r="C263">
        <v>988.18</v>
      </c>
      <c r="D263">
        <v>996.67</v>
      </c>
      <c r="E263">
        <v>983.52</v>
      </c>
      <c r="F263" t="s">
        <v>580</v>
      </c>
      <c r="G263" s="21">
        <v>7.4999999999999997E-3</v>
      </c>
    </row>
    <row r="264" spans="1:7" x14ac:dyDescent="0.35">
      <c r="A264" s="22" t="s">
        <v>581</v>
      </c>
      <c r="B264">
        <v>989.2</v>
      </c>
      <c r="C264">
        <v>994.61</v>
      </c>
      <c r="D264">
        <v>997.41</v>
      </c>
      <c r="E264">
        <v>988.41</v>
      </c>
      <c r="F264" t="s">
        <v>582</v>
      </c>
      <c r="G264" s="21">
        <v>-2.7000000000000001E-3</v>
      </c>
    </row>
    <row r="265" spans="1:7" x14ac:dyDescent="0.35">
      <c r="A265" s="22">
        <v>43626</v>
      </c>
      <c r="B265">
        <v>991.84</v>
      </c>
      <c r="C265">
        <v>989.45</v>
      </c>
      <c r="D265">
        <v>992</v>
      </c>
      <c r="E265">
        <v>981.89</v>
      </c>
      <c r="F265" t="s">
        <v>583</v>
      </c>
      <c r="G265" s="21">
        <v>4.3E-3</v>
      </c>
    </row>
    <row r="266" spans="1:7" x14ac:dyDescent="0.35">
      <c r="A266" s="22" t="s">
        <v>584</v>
      </c>
      <c r="B266">
        <v>987.59</v>
      </c>
      <c r="C266">
        <v>999.92</v>
      </c>
      <c r="D266" s="3">
        <v>1004.17</v>
      </c>
      <c r="E266">
        <v>983.35</v>
      </c>
      <c r="F266" t="s">
        <v>585</v>
      </c>
      <c r="G266" s="21">
        <v>-1.03E-2</v>
      </c>
    </row>
    <row r="267" spans="1:7" x14ac:dyDescent="0.35">
      <c r="A267" s="22" t="s">
        <v>586</v>
      </c>
      <c r="B267">
        <v>997.84</v>
      </c>
      <c r="C267">
        <v>991.75</v>
      </c>
      <c r="D267">
        <v>998.34</v>
      </c>
      <c r="E267">
        <v>983.06</v>
      </c>
      <c r="F267" t="s">
        <v>587</v>
      </c>
      <c r="G267" s="21">
        <v>7.6E-3</v>
      </c>
    </row>
    <row r="268" spans="1:7" x14ac:dyDescent="0.35">
      <c r="A268" s="22" t="s">
        <v>588</v>
      </c>
      <c r="B268">
        <v>990.36</v>
      </c>
      <c r="C268">
        <v>987.07</v>
      </c>
      <c r="D268">
        <v>998.56</v>
      </c>
      <c r="E268">
        <v>986.72</v>
      </c>
      <c r="F268" t="s">
        <v>589</v>
      </c>
      <c r="G268" s="21">
        <v>3.2000000000000002E-3</v>
      </c>
    </row>
    <row r="269" spans="1:7" x14ac:dyDescent="0.35">
      <c r="A269" s="22">
        <v>43686</v>
      </c>
      <c r="B269">
        <v>987.22</v>
      </c>
      <c r="C269">
        <v>974.53</v>
      </c>
      <c r="D269">
        <v>987.22</v>
      </c>
      <c r="E269">
        <v>967.14</v>
      </c>
      <c r="F269" t="s">
        <v>590</v>
      </c>
      <c r="G269" s="21">
        <v>1.35E-2</v>
      </c>
    </row>
    <row r="270" spans="1:7" x14ac:dyDescent="0.35">
      <c r="A270" s="22">
        <v>43474</v>
      </c>
      <c r="B270">
        <v>974.08</v>
      </c>
      <c r="C270">
        <v>984.79</v>
      </c>
      <c r="D270">
        <v>985.21</v>
      </c>
      <c r="E270">
        <v>973.37</v>
      </c>
      <c r="F270" t="s">
        <v>591</v>
      </c>
      <c r="G270" s="21">
        <v>-1.01E-2</v>
      </c>
    </row>
    <row r="271" spans="1:7" x14ac:dyDescent="0.35">
      <c r="A271" s="22" t="s">
        <v>592</v>
      </c>
      <c r="B271">
        <v>984.06</v>
      </c>
      <c r="C271">
        <v>983.8</v>
      </c>
      <c r="D271">
        <v>988.49</v>
      </c>
      <c r="E271">
        <v>973.34</v>
      </c>
      <c r="F271" t="s">
        <v>593</v>
      </c>
      <c r="G271" s="21">
        <v>-8.5000000000000006E-3</v>
      </c>
    </row>
    <row r="272" spans="1:7" x14ac:dyDescent="0.35">
      <c r="A272" s="22" t="s">
        <v>594</v>
      </c>
      <c r="B272">
        <v>992.45</v>
      </c>
      <c r="C272">
        <v>984.04</v>
      </c>
      <c r="D272">
        <v>998.67</v>
      </c>
      <c r="E272">
        <v>979.17</v>
      </c>
      <c r="F272" t="s">
        <v>595</v>
      </c>
      <c r="G272" s="21">
        <v>1.2699999999999999E-2</v>
      </c>
    </row>
    <row r="273" spans="1:7" x14ac:dyDescent="0.35">
      <c r="A273" s="22">
        <v>43777</v>
      </c>
      <c r="B273">
        <v>980</v>
      </c>
      <c r="C273">
        <v>975.38</v>
      </c>
      <c r="D273">
        <v>985.61</v>
      </c>
      <c r="E273">
        <v>955.76</v>
      </c>
      <c r="F273" t="s">
        <v>596</v>
      </c>
      <c r="G273" s="21">
        <v>5.7999999999999996E-3</v>
      </c>
    </row>
    <row r="274" spans="1:7" x14ac:dyDescent="0.35">
      <c r="A274" s="22">
        <v>43563</v>
      </c>
      <c r="B274">
        <v>974.34</v>
      </c>
      <c r="C274">
        <v>988.6</v>
      </c>
      <c r="D274">
        <v>988.99</v>
      </c>
      <c r="E274">
        <v>958.39</v>
      </c>
      <c r="F274" t="s">
        <v>597</v>
      </c>
      <c r="G274" s="21">
        <v>-1.6899999999999998E-2</v>
      </c>
    </row>
    <row r="275" spans="1:7" x14ac:dyDescent="0.35">
      <c r="A275" s="22" t="s">
        <v>598</v>
      </c>
      <c r="B275">
        <v>991.1</v>
      </c>
      <c r="C275">
        <v>994.23</v>
      </c>
      <c r="D275" s="3">
        <v>1002.77</v>
      </c>
      <c r="E275">
        <v>982.64</v>
      </c>
      <c r="F275" t="s">
        <v>599</v>
      </c>
      <c r="G275" s="21">
        <v>-2.3E-3</v>
      </c>
    </row>
    <row r="276" spans="1:7" x14ac:dyDescent="0.35">
      <c r="A276" s="22" t="s">
        <v>600</v>
      </c>
      <c r="B276">
        <v>993.35</v>
      </c>
      <c r="C276">
        <v>981.17</v>
      </c>
      <c r="D276">
        <v>998.52</v>
      </c>
      <c r="E276">
        <v>980.08</v>
      </c>
      <c r="F276" t="s">
        <v>601</v>
      </c>
      <c r="G276" s="21">
        <v>1.12E-2</v>
      </c>
    </row>
    <row r="277" spans="1:7" x14ac:dyDescent="0.35">
      <c r="A277" s="22" t="s">
        <v>602</v>
      </c>
      <c r="B277">
        <v>982.34</v>
      </c>
      <c r="C277">
        <v>975.57</v>
      </c>
      <c r="D277">
        <v>986.12</v>
      </c>
      <c r="E277">
        <v>970.93</v>
      </c>
      <c r="F277" t="s">
        <v>603</v>
      </c>
      <c r="G277" s="21">
        <v>7.1000000000000004E-3</v>
      </c>
    </row>
    <row r="278" spans="1:7" x14ac:dyDescent="0.35">
      <c r="A278" s="22">
        <v>43653</v>
      </c>
      <c r="B278">
        <v>975.4</v>
      </c>
      <c r="C278">
        <v>972.83</v>
      </c>
      <c r="D278">
        <v>982.1</v>
      </c>
      <c r="E278">
        <v>963.05</v>
      </c>
      <c r="F278" t="s">
        <v>604</v>
      </c>
      <c r="G278" s="21">
        <v>1E-4</v>
      </c>
    </row>
    <row r="279" spans="1:7" x14ac:dyDescent="0.35">
      <c r="A279" s="22" t="s">
        <v>605</v>
      </c>
      <c r="B279">
        <v>975.34</v>
      </c>
      <c r="C279">
        <v>958.92</v>
      </c>
      <c r="D279">
        <v>975.34</v>
      </c>
      <c r="E279">
        <v>956.91</v>
      </c>
      <c r="F279" t="s">
        <v>606</v>
      </c>
      <c r="G279" s="21">
        <v>2.6700000000000002E-2</v>
      </c>
    </row>
    <row r="280" spans="1:7" x14ac:dyDescent="0.35">
      <c r="A280" s="22" t="s">
        <v>607</v>
      </c>
      <c r="B280">
        <v>949.94</v>
      </c>
      <c r="C280">
        <v>960.29</v>
      </c>
      <c r="D280">
        <v>967.11</v>
      </c>
      <c r="E280">
        <v>939.12</v>
      </c>
      <c r="F280" t="s">
        <v>608</v>
      </c>
      <c r="G280" s="21">
        <v>-9.7000000000000003E-3</v>
      </c>
    </row>
    <row r="281" spans="1:7" x14ac:dyDescent="0.35">
      <c r="A281" s="22" t="s">
        <v>609</v>
      </c>
      <c r="B281">
        <v>959.2</v>
      </c>
      <c r="C281">
        <v>953.97</v>
      </c>
      <c r="D281">
        <v>964.52</v>
      </c>
      <c r="E281">
        <v>938.95</v>
      </c>
      <c r="F281" t="s">
        <v>610</v>
      </c>
      <c r="G281" s="21">
        <v>5.8999999999999999E-3</v>
      </c>
    </row>
    <row r="282" spans="1:7" x14ac:dyDescent="0.35">
      <c r="A282" s="22">
        <v>43714</v>
      </c>
      <c r="B282">
        <v>953.61</v>
      </c>
      <c r="C282">
        <v>963.78</v>
      </c>
      <c r="D282">
        <v>966.9</v>
      </c>
      <c r="E282">
        <v>946.29</v>
      </c>
      <c r="F282" t="s">
        <v>611</v>
      </c>
      <c r="G282" s="21">
        <v>-4.8999999999999998E-3</v>
      </c>
    </row>
    <row r="283" spans="1:7" x14ac:dyDescent="0.35">
      <c r="A283" s="22">
        <v>43502</v>
      </c>
      <c r="B283">
        <v>958.28</v>
      </c>
      <c r="C283">
        <v>953.58</v>
      </c>
      <c r="D283">
        <v>958.39</v>
      </c>
      <c r="E283">
        <v>939.35</v>
      </c>
      <c r="F283" t="s">
        <v>612</v>
      </c>
      <c r="G283" s="21">
        <v>-1.6999999999999999E-3</v>
      </c>
    </row>
    <row r="284" spans="1:7" x14ac:dyDescent="0.35">
      <c r="A284" s="22" t="s">
        <v>613</v>
      </c>
      <c r="B284">
        <v>959.88</v>
      </c>
      <c r="C284">
        <v>970.73</v>
      </c>
      <c r="D284">
        <v>978.8</v>
      </c>
      <c r="E284">
        <v>959.88</v>
      </c>
      <c r="F284" t="s">
        <v>614</v>
      </c>
      <c r="G284" s="21">
        <v>-1.0500000000000001E-2</v>
      </c>
    </row>
    <row r="285" spans="1:7" x14ac:dyDescent="0.35">
      <c r="A285" s="22" t="s">
        <v>615</v>
      </c>
      <c r="B285">
        <v>970.03</v>
      </c>
      <c r="C285">
        <v>975.95</v>
      </c>
      <c r="D285">
        <v>992.84</v>
      </c>
      <c r="E285">
        <v>970.03</v>
      </c>
      <c r="F285" t="s">
        <v>616</v>
      </c>
      <c r="G285" s="21">
        <v>-6.6E-3</v>
      </c>
    </row>
    <row r="286" spans="1:7" x14ac:dyDescent="0.35">
      <c r="A286" s="22">
        <v>43804</v>
      </c>
      <c r="B286">
        <v>976.48</v>
      </c>
      <c r="C286">
        <v>952.11</v>
      </c>
      <c r="D286">
        <v>981.22</v>
      </c>
      <c r="E286">
        <v>951.76</v>
      </c>
      <c r="F286" t="s">
        <v>617</v>
      </c>
      <c r="G286" s="21">
        <v>2.5100000000000001E-2</v>
      </c>
    </row>
    <row r="287" spans="1:7" x14ac:dyDescent="0.35">
      <c r="A287" s="22">
        <v>43590</v>
      </c>
      <c r="B287">
        <v>952.55</v>
      </c>
      <c r="C287">
        <v>964.37</v>
      </c>
      <c r="D287">
        <v>965.61</v>
      </c>
      <c r="E287">
        <v>944.91</v>
      </c>
      <c r="F287" t="s">
        <v>618</v>
      </c>
      <c r="G287" s="21">
        <v>-2.2200000000000001E-2</v>
      </c>
    </row>
    <row r="288" spans="1:7" x14ac:dyDescent="0.35">
      <c r="A288" s="22" t="s">
        <v>619</v>
      </c>
      <c r="B288">
        <v>974.14</v>
      </c>
      <c r="C288">
        <v>978.81</v>
      </c>
      <c r="D288">
        <v>979.93</v>
      </c>
      <c r="E288">
        <v>971.75</v>
      </c>
      <c r="F288" t="s">
        <v>620</v>
      </c>
      <c r="G288" s="21">
        <v>-5.5999999999999999E-3</v>
      </c>
    </row>
    <row r="289" spans="1:7" x14ac:dyDescent="0.35">
      <c r="A289" s="22" t="s">
        <v>621</v>
      </c>
      <c r="B289">
        <v>979.64</v>
      </c>
      <c r="C289">
        <v>963.78</v>
      </c>
      <c r="D289">
        <v>979.64</v>
      </c>
      <c r="E289">
        <v>959.33</v>
      </c>
      <c r="F289" t="s">
        <v>622</v>
      </c>
      <c r="G289" s="21">
        <v>1.3899999999999999E-2</v>
      </c>
    </row>
    <row r="290" spans="1:7" x14ac:dyDescent="0.35">
      <c r="A290" s="22" t="s">
        <v>623</v>
      </c>
      <c r="B290">
        <v>966.21</v>
      </c>
      <c r="C290">
        <v>970.87</v>
      </c>
      <c r="D290">
        <v>980.71</v>
      </c>
      <c r="E290">
        <v>962.05</v>
      </c>
      <c r="F290" t="s">
        <v>624</v>
      </c>
      <c r="G290" s="21">
        <v>-1.7000000000000001E-2</v>
      </c>
    </row>
    <row r="291" spans="1:7" x14ac:dyDescent="0.35">
      <c r="A291" s="22">
        <v>43650</v>
      </c>
      <c r="B291">
        <v>982.9</v>
      </c>
      <c r="C291">
        <v>989.26</v>
      </c>
      <c r="D291" s="3">
        <v>1000.02</v>
      </c>
      <c r="E291">
        <v>976.83</v>
      </c>
      <c r="F291" t="s">
        <v>625</v>
      </c>
      <c r="G291" s="21">
        <v>-6.4000000000000003E-3</v>
      </c>
    </row>
    <row r="292" spans="1:7" x14ac:dyDescent="0.35">
      <c r="A292" s="22" t="s">
        <v>626</v>
      </c>
      <c r="B292">
        <v>989.26</v>
      </c>
      <c r="C292">
        <v>980.76</v>
      </c>
      <c r="D292">
        <v>996.41</v>
      </c>
      <c r="E292">
        <v>980.3</v>
      </c>
      <c r="F292" t="s">
        <v>627</v>
      </c>
      <c r="G292" s="21">
        <v>8.6999999999999994E-3</v>
      </c>
    </row>
    <row r="293" spans="1:7" x14ac:dyDescent="0.35">
      <c r="A293" s="22" t="s">
        <v>628</v>
      </c>
      <c r="B293">
        <v>980.76</v>
      </c>
      <c r="C293">
        <v>976.53</v>
      </c>
      <c r="D293">
        <v>988.24</v>
      </c>
      <c r="E293">
        <v>964.76</v>
      </c>
      <c r="F293" t="s">
        <v>629</v>
      </c>
      <c r="G293" s="21">
        <v>-8.0000000000000002E-3</v>
      </c>
    </row>
    <row r="294" spans="1:7" x14ac:dyDescent="0.35">
      <c r="A294" s="22" t="s">
        <v>630</v>
      </c>
      <c r="B294">
        <v>988.71</v>
      </c>
      <c r="C294" s="3">
        <v>1004.12</v>
      </c>
      <c r="D294" s="3">
        <v>1014.51</v>
      </c>
      <c r="E294">
        <v>981.3</v>
      </c>
      <c r="F294" t="s">
        <v>331</v>
      </c>
      <c r="G294" s="21">
        <v>-1.5299999999999999E-2</v>
      </c>
    </row>
    <row r="295" spans="1:7" x14ac:dyDescent="0.35">
      <c r="A295" s="22">
        <v>43741</v>
      </c>
      <c r="B295" s="3">
        <v>1004.12</v>
      </c>
      <c r="C295">
        <v>982.94</v>
      </c>
      <c r="D295" s="3">
        <v>1011.39</v>
      </c>
      <c r="E295">
        <v>981.34</v>
      </c>
      <c r="F295" t="s">
        <v>559</v>
      </c>
      <c r="G295" s="21">
        <v>1.9199999999999998E-2</v>
      </c>
    </row>
    <row r="296" spans="1:7" x14ac:dyDescent="0.35">
      <c r="A296" s="22">
        <v>43527</v>
      </c>
      <c r="B296">
        <v>985.25</v>
      </c>
      <c r="C296">
        <v>983.5</v>
      </c>
      <c r="D296" s="3">
        <v>1004.55</v>
      </c>
      <c r="E296">
        <v>983.33</v>
      </c>
      <c r="F296" t="s">
        <v>631</v>
      </c>
      <c r="G296" s="21">
        <v>5.7000000000000002E-3</v>
      </c>
    </row>
    <row r="297" spans="1:7" x14ac:dyDescent="0.35">
      <c r="A297" s="22" t="s">
        <v>632</v>
      </c>
      <c r="B297">
        <v>979.63</v>
      </c>
      <c r="C297">
        <v>996.06</v>
      </c>
      <c r="D297">
        <v>999.9</v>
      </c>
      <c r="E297">
        <v>965.47</v>
      </c>
      <c r="F297" t="s">
        <v>633</v>
      </c>
      <c r="G297" s="21">
        <v>-9.4000000000000004E-3</v>
      </c>
    </row>
    <row r="298" spans="1:7" x14ac:dyDescent="0.35">
      <c r="A298" s="22" t="s">
        <v>634</v>
      </c>
      <c r="B298">
        <v>988.91</v>
      </c>
      <c r="C298">
        <v>954.85</v>
      </c>
      <c r="D298">
        <v>993.16</v>
      </c>
      <c r="E298">
        <v>953.32</v>
      </c>
      <c r="F298" t="s">
        <v>635</v>
      </c>
      <c r="G298" s="21">
        <v>0.04</v>
      </c>
    </row>
    <row r="299" spans="1:7" x14ac:dyDescent="0.35">
      <c r="A299" s="22">
        <v>43740</v>
      </c>
      <c r="B299">
        <v>950.89</v>
      </c>
      <c r="C299">
        <v>916.21</v>
      </c>
      <c r="D299">
        <v>955.4</v>
      </c>
      <c r="E299">
        <v>916.07</v>
      </c>
      <c r="F299" t="s">
        <v>636</v>
      </c>
      <c r="G299" s="21">
        <v>4.65E-2</v>
      </c>
    </row>
    <row r="300" spans="1:7" x14ac:dyDescent="0.35">
      <c r="A300" s="22" t="s">
        <v>637</v>
      </c>
      <c r="B300">
        <v>908.67</v>
      </c>
      <c r="C300">
        <v>912.53</v>
      </c>
      <c r="D300">
        <v>920.36</v>
      </c>
      <c r="E300">
        <v>907.09</v>
      </c>
      <c r="F300" t="s">
        <v>638</v>
      </c>
      <c r="G300" s="21">
        <v>-2.0000000000000001E-4</v>
      </c>
    </row>
    <row r="301" spans="1:7" x14ac:dyDescent="0.35">
      <c r="A301" s="22" t="s">
        <v>639</v>
      </c>
      <c r="B301">
        <v>908.88</v>
      </c>
      <c r="C301">
        <v>905.25</v>
      </c>
      <c r="D301">
        <v>913.37</v>
      </c>
      <c r="E301">
        <v>903.09</v>
      </c>
      <c r="F301" t="s">
        <v>640</v>
      </c>
      <c r="G301" s="21">
        <v>7.3000000000000001E-3</v>
      </c>
    </row>
    <row r="302" spans="1:7" x14ac:dyDescent="0.35">
      <c r="A302" s="22" t="s">
        <v>641</v>
      </c>
      <c r="B302">
        <v>902.3</v>
      </c>
      <c r="C302">
        <v>903.83</v>
      </c>
      <c r="D302">
        <v>912.48</v>
      </c>
      <c r="E302">
        <v>897.18</v>
      </c>
      <c r="F302" t="s">
        <v>642</v>
      </c>
      <c r="G302" s="21">
        <v>-5.0000000000000001E-4</v>
      </c>
    </row>
    <row r="303" spans="1:7" x14ac:dyDescent="0.35">
      <c r="A303" s="22">
        <v>43617</v>
      </c>
      <c r="B303">
        <v>902.71</v>
      </c>
      <c r="C303">
        <v>890.47</v>
      </c>
      <c r="D303">
        <v>904.37</v>
      </c>
      <c r="E303">
        <v>883.67</v>
      </c>
      <c r="F303" t="s">
        <v>643</v>
      </c>
      <c r="G303" s="21">
        <v>2.4799999999999999E-2</v>
      </c>
    </row>
    <row r="304" spans="1:7" x14ac:dyDescent="0.35">
      <c r="A304" s="22" t="s">
        <v>644</v>
      </c>
      <c r="B304">
        <v>880.9</v>
      </c>
      <c r="C304">
        <v>900.1</v>
      </c>
      <c r="D304">
        <v>900.1</v>
      </c>
      <c r="E304">
        <v>861.85</v>
      </c>
      <c r="F304" t="s">
        <v>645</v>
      </c>
      <c r="G304" s="21">
        <v>-1.2999999999999999E-2</v>
      </c>
    </row>
    <row r="305" spans="1:7" x14ac:dyDescent="0.35">
      <c r="A305" s="22" t="s">
        <v>646</v>
      </c>
      <c r="B305">
        <v>892.54</v>
      </c>
      <c r="C305">
        <v>910.86</v>
      </c>
      <c r="D305">
        <v>916.41</v>
      </c>
      <c r="E305">
        <v>882.17</v>
      </c>
      <c r="F305" t="s">
        <v>647</v>
      </c>
      <c r="G305" s="21">
        <v>-2.1600000000000001E-2</v>
      </c>
    </row>
    <row r="306" spans="1:7" x14ac:dyDescent="0.35">
      <c r="A306" s="22" t="s">
        <v>648</v>
      </c>
      <c r="B306">
        <v>912.26</v>
      </c>
      <c r="C306">
        <v>948.09</v>
      </c>
      <c r="D306">
        <v>948.09</v>
      </c>
      <c r="E306">
        <v>907.88</v>
      </c>
      <c r="F306" t="s">
        <v>649</v>
      </c>
      <c r="G306" s="21">
        <v>-4.1799999999999997E-2</v>
      </c>
    </row>
    <row r="307" spans="1:7" x14ac:dyDescent="0.35">
      <c r="A307" s="22">
        <v>43355</v>
      </c>
      <c r="B307">
        <v>952.04</v>
      </c>
      <c r="C307">
        <v>955.06</v>
      </c>
      <c r="D307">
        <v>966.83</v>
      </c>
      <c r="E307">
        <v>949.34</v>
      </c>
      <c r="F307" t="s">
        <v>650</v>
      </c>
      <c r="G307" s="21">
        <v>-6.7999999999999996E-3</v>
      </c>
    </row>
    <row r="308" spans="1:7" x14ac:dyDescent="0.35">
      <c r="A308" s="22">
        <v>43143</v>
      </c>
      <c r="B308">
        <v>958.59</v>
      </c>
      <c r="C308">
        <v>937.7</v>
      </c>
      <c r="D308">
        <v>962.39</v>
      </c>
      <c r="E308">
        <v>937.1</v>
      </c>
      <c r="F308" t="s">
        <v>651</v>
      </c>
      <c r="G308" s="21">
        <v>3.4599999999999999E-2</v>
      </c>
    </row>
    <row r="309" spans="1:7" x14ac:dyDescent="0.35">
      <c r="A309" s="22" t="s">
        <v>652</v>
      </c>
      <c r="B309">
        <v>926.54</v>
      </c>
      <c r="C309">
        <v>915.67</v>
      </c>
      <c r="D309">
        <v>937.75</v>
      </c>
      <c r="E309">
        <v>914.43</v>
      </c>
      <c r="F309" t="s">
        <v>653</v>
      </c>
      <c r="G309" s="21">
        <v>9.2999999999999992E-3</v>
      </c>
    </row>
    <row r="310" spans="1:7" x14ac:dyDescent="0.35">
      <c r="A310" s="22" t="s">
        <v>654</v>
      </c>
      <c r="B310">
        <v>917.97</v>
      </c>
      <c r="C310">
        <v>902.65</v>
      </c>
      <c r="D310">
        <v>926.15</v>
      </c>
      <c r="E310">
        <v>900.61</v>
      </c>
      <c r="F310" t="s">
        <v>655</v>
      </c>
      <c r="G310" s="21">
        <v>2.1999999999999999E-2</v>
      </c>
    </row>
    <row r="311" spans="1:7" x14ac:dyDescent="0.35">
      <c r="A311" s="22">
        <v>43415</v>
      </c>
      <c r="B311">
        <v>898.19</v>
      </c>
      <c r="C311">
        <v>909.36</v>
      </c>
      <c r="D311">
        <v>918.99</v>
      </c>
      <c r="E311">
        <v>892.5</v>
      </c>
      <c r="F311" t="s">
        <v>656</v>
      </c>
      <c r="G311" s="21">
        <v>-1.7600000000000001E-2</v>
      </c>
    </row>
    <row r="312" spans="1:7" x14ac:dyDescent="0.35">
      <c r="A312" s="22">
        <v>43201</v>
      </c>
      <c r="B312">
        <v>914.29</v>
      </c>
      <c r="C312">
        <v>920.87</v>
      </c>
      <c r="D312">
        <v>932.86</v>
      </c>
      <c r="E312">
        <v>914.29</v>
      </c>
      <c r="F312" t="s">
        <v>657</v>
      </c>
      <c r="G312" s="21">
        <v>-1.14E-2</v>
      </c>
    </row>
    <row r="313" spans="1:7" x14ac:dyDescent="0.35">
      <c r="A313" s="22" t="s">
        <v>658</v>
      </c>
      <c r="B313">
        <v>924.86</v>
      </c>
      <c r="C313">
        <v>895.05</v>
      </c>
      <c r="D313">
        <v>927.62</v>
      </c>
      <c r="E313">
        <v>880.85</v>
      </c>
      <c r="F313" t="s">
        <v>659</v>
      </c>
      <c r="G313" s="21">
        <v>2.6700000000000002E-2</v>
      </c>
    </row>
    <row r="314" spans="1:7" x14ac:dyDescent="0.35">
      <c r="A314" s="22" t="s">
        <v>660</v>
      </c>
      <c r="B314">
        <v>900.82</v>
      </c>
      <c r="C314">
        <v>958.36</v>
      </c>
      <c r="D314">
        <v>963.79</v>
      </c>
      <c r="E314">
        <v>885.34</v>
      </c>
      <c r="F314" t="s">
        <v>661</v>
      </c>
      <c r="G314" s="21">
        <v>-0.06</v>
      </c>
    </row>
    <row r="315" spans="1:7" x14ac:dyDescent="0.35">
      <c r="A315" s="22" t="s">
        <v>662</v>
      </c>
      <c r="B315">
        <v>958.36</v>
      </c>
      <c r="C315">
        <v>968.8</v>
      </c>
      <c r="D315">
        <v>975.27</v>
      </c>
      <c r="E315">
        <v>945.83</v>
      </c>
      <c r="F315" t="s">
        <v>663</v>
      </c>
      <c r="G315" s="21">
        <v>-1.21E-2</v>
      </c>
    </row>
    <row r="316" spans="1:7" x14ac:dyDescent="0.35">
      <c r="A316" s="22">
        <v>43291</v>
      </c>
      <c r="B316">
        <v>970.08</v>
      </c>
      <c r="C316" s="3">
        <v>1003.31</v>
      </c>
      <c r="D316" s="3">
        <v>1006.13</v>
      </c>
      <c r="E316">
        <v>933.35</v>
      </c>
      <c r="F316" t="s">
        <v>664</v>
      </c>
      <c r="G316" s="21">
        <v>-3.7999999999999999E-2</v>
      </c>
    </row>
    <row r="317" spans="1:7" x14ac:dyDescent="0.35">
      <c r="A317" s="22" t="s">
        <v>665</v>
      </c>
      <c r="B317" s="3">
        <v>1008.39</v>
      </c>
      <c r="C317" s="3">
        <v>1019.49</v>
      </c>
      <c r="D317" s="3">
        <v>1024.68</v>
      </c>
      <c r="E317" s="3">
        <v>1008.39</v>
      </c>
      <c r="F317" t="s">
        <v>666</v>
      </c>
      <c r="G317" s="21">
        <v>-8.6E-3</v>
      </c>
    </row>
    <row r="318" spans="1:7" x14ac:dyDescent="0.35">
      <c r="A318" s="22" t="s">
        <v>667</v>
      </c>
      <c r="B318" s="3">
        <v>1017.13</v>
      </c>
      <c r="C318" s="3">
        <v>1007.52</v>
      </c>
      <c r="D318" s="3">
        <v>1020.84</v>
      </c>
      <c r="E318" s="3">
        <v>1007.44</v>
      </c>
      <c r="F318" t="s">
        <v>576</v>
      </c>
      <c r="G318" s="21">
        <v>1.41E-2</v>
      </c>
    </row>
    <row r="319" spans="1:7" x14ac:dyDescent="0.35">
      <c r="A319" s="22" t="s">
        <v>668</v>
      </c>
      <c r="B319" s="3">
        <v>1002.97</v>
      </c>
      <c r="C319">
        <v>990.65</v>
      </c>
      <c r="D319" s="3">
        <v>1009.1</v>
      </c>
      <c r="E319">
        <v>981.89</v>
      </c>
      <c r="F319" t="s">
        <v>669</v>
      </c>
      <c r="G319" s="21">
        <v>1.17E-2</v>
      </c>
    </row>
    <row r="320" spans="1:7" x14ac:dyDescent="0.35">
      <c r="A320" s="22">
        <v>43352</v>
      </c>
      <c r="B320">
        <v>991.34</v>
      </c>
      <c r="C320">
        <v>969.74</v>
      </c>
      <c r="D320">
        <v>995.55</v>
      </c>
      <c r="E320">
        <v>967.92</v>
      </c>
      <c r="F320" t="s">
        <v>670</v>
      </c>
      <c r="G320" s="21">
        <v>2.3199999999999998E-2</v>
      </c>
    </row>
    <row r="321" spans="1:7" x14ac:dyDescent="0.35">
      <c r="A321" s="22">
        <v>43140</v>
      </c>
      <c r="B321">
        <v>968.9</v>
      </c>
      <c r="C321">
        <v>990.79</v>
      </c>
      <c r="D321">
        <v>992.18</v>
      </c>
      <c r="E321">
        <v>955.5</v>
      </c>
      <c r="F321" t="s">
        <v>671</v>
      </c>
      <c r="G321" s="21">
        <v>-2.0899999999999998E-2</v>
      </c>
    </row>
    <row r="322" spans="1:7" x14ac:dyDescent="0.35">
      <c r="A322" s="22" t="s">
        <v>672</v>
      </c>
      <c r="B322">
        <v>989.54</v>
      </c>
      <c r="C322">
        <v>990.19</v>
      </c>
      <c r="D322" s="3">
        <v>1003.06</v>
      </c>
      <c r="E322">
        <v>983.43</v>
      </c>
      <c r="F322" t="s">
        <v>673</v>
      </c>
      <c r="G322" s="21">
        <v>2.5000000000000001E-3</v>
      </c>
    </row>
    <row r="323" spans="1:7" x14ac:dyDescent="0.35">
      <c r="A323" s="22" t="s">
        <v>674</v>
      </c>
      <c r="B323">
        <v>987.05</v>
      </c>
      <c r="C323">
        <v>970.81</v>
      </c>
      <c r="D323">
        <v>989.45</v>
      </c>
      <c r="E323">
        <v>966.46</v>
      </c>
      <c r="F323" t="s">
        <v>675</v>
      </c>
      <c r="G323" s="21">
        <v>1.8800000000000001E-2</v>
      </c>
    </row>
    <row r="324" spans="1:7" x14ac:dyDescent="0.35">
      <c r="A324" s="22">
        <v>43442</v>
      </c>
      <c r="B324">
        <v>968.88</v>
      </c>
      <c r="C324">
        <v>966.46</v>
      </c>
      <c r="D324">
        <v>982</v>
      </c>
      <c r="E324">
        <v>947.09</v>
      </c>
      <c r="F324" t="s">
        <v>676</v>
      </c>
      <c r="G324" s="21">
        <v>4.0000000000000002E-4</v>
      </c>
    </row>
    <row r="325" spans="1:7" x14ac:dyDescent="0.35">
      <c r="A325" s="22">
        <v>43228</v>
      </c>
      <c r="B325">
        <v>968.47</v>
      </c>
      <c r="C325">
        <v>960.12</v>
      </c>
      <c r="D325">
        <v>972.52</v>
      </c>
      <c r="E325">
        <v>953.71</v>
      </c>
      <c r="F325" t="s">
        <v>677</v>
      </c>
      <c r="G325" s="21">
        <v>9.1999999999999998E-3</v>
      </c>
    </row>
    <row r="326" spans="1:7" x14ac:dyDescent="0.35">
      <c r="A326" s="22" t="s">
        <v>678</v>
      </c>
      <c r="B326">
        <v>959.6</v>
      </c>
      <c r="C326">
        <v>940.76</v>
      </c>
      <c r="D326">
        <v>966.1</v>
      </c>
      <c r="E326">
        <v>937.69</v>
      </c>
      <c r="F326" t="s">
        <v>571</v>
      </c>
      <c r="G326" s="21">
        <v>2.5700000000000001E-2</v>
      </c>
    </row>
    <row r="327" spans="1:7" x14ac:dyDescent="0.35">
      <c r="A327" s="22" t="s">
        <v>679</v>
      </c>
      <c r="B327">
        <v>935.52</v>
      </c>
      <c r="C327">
        <v>931.52</v>
      </c>
      <c r="D327">
        <v>949.14</v>
      </c>
      <c r="E327">
        <v>920.99</v>
      </c>
      <c r="F327" t="s">
        <v>651</v>
      </c>
      <c r="G327" s="21">
        <v>2.3E-3</v>
      </c>
    </row>
    <row r="328" spans="1:7" x14ac:dyDescent="0.35">
      <c r="A328" s="22" t="s">
        <v>680</v>
      </c>
      <c r="B328">
        <v>933.39</v>
      </c>
      <c r="C328">
        <v>914.22</v>
      </c>
      <c r="D328">
        <v>947.07</v>
      </c>
      <c r="E328">
        <v>902.02</v>
      </c>
      <c r="F328" t="s">
        <v>681</v>
      </c>
      <c r="G328" s="21">
        <v>2.5999999999999999E-2</v>
      </c>
    </row>
    <row r="329" spans="1:7" x14ac:dyDescent="0.35">
      <c r="A329" s="22">
        <v>43319</v>
      </c>
      <c r="B329">
        <v>909.72</v>
      </c>
      <c r="C329">
        <v>922.72</v>
      </c>
      <c r="D329">
        <v>929.5</v>
      </c>
      <c r="E329">
        <v>884.75</v>
      </c>
      <c r="F329" t="s">
        <v>682</v>
      </c>
      <c r="G329" s="21">
        <v>-8.5000000000000006E-3</v>
      </c>
    </row>
    <row r="330" spans="1:7" x14ac:dyDescent="0.35">
      <c r="A330" s="22">
        <v>43107</v>
      </c>
      <c r="B330">
        <v>917.51</v>
      </c>
      <c r="C330">
        <v>955.18</v>
      </c>
      <c r="D330">
        <v>956.78</v>
      </c>
      <c r="E330">
        <v>884.99</v>
      </c>
      <c r="F330" t="s">
        <v>683</v>
      </c>
      <c r="G330" s="21">
        <v>-4.4999999999999998E-2</v>
      </c>
    </row>
    <row r="331" spans="1:7" x14ac:dyDescent="0.35">
      <c r="A331" s="22" t="s">
        <v>684</v>
      </c>
      <c r="B331">
        <v>960.78</v>
      </c>
      <c r="C331">
        <v>997.34</v>
      </c>
      <c r="D331">
        <v>997.34</v>
      </c>
      <c r="E331">
        <v>950.48</v>
      </c>
      <c r="F331" t="s">
        <v>685</v>
      </c>
      <c r="G331" s="21">
        <v>-2.2800000000000001E-2</v>
      </c>
    </row>
    <row r="332" spans="1:7" x14ac:dyDescent="0.35">
      <c r="A332" s="22" t="s">
        <v>686</v>
      </c>
      <c r="B332">
        <v>983.17</v>
      </c>
      <c r="C332" s="3">
        <v>1016.51</v>
      </c>
      <c r="D332" s="3">
        <v>1018.98</v>
      </c>
      <c r="E332">
        <v>941.57</v>
      </c>
      <c r="F332" t="s">
        <v>687</v>
      </c>
      <c r="G332" s="21">
        <v>-3.2800000000000003E-2</v>
      </c>
    </row>
    <row r="333" spans="1:7" x14ac:dyDescent="0.35">
      <c r="A333" s="22">
        <v>43379</v>
      </c>
      <c r="B333" s="3">
        <v>1016.51</v>
      </c>
      <c r="C333" s="3">
        <v>1033.55</v>
      </c>
      <c r="D333" s="3">
        <v>1045.5999999999999</v>
      </c>
      <c r="E333" s="3">
        <v>1005.1</v>
      </c>
      <c r="F333" t="s">
        <v>688</v>
      </c>
      <c r="G333" s="21">
        <v>-2.1700000000000001E-2</v>
      </c>
    </row>
    <row r="334" spans="1:7" x14ac:dyDescent="0.35">
      <c r="A334" s="22">
        <v>43165</v>
      </c>
      <c r="B334" s="3">
        <v>1039.01</v>
      </c>
      <c r="C334">
        <v>994.48</v>
      </c>
      <c r="D334" s="3">
        <v>1043.71</v>
      </c>
      <c r="E334">
        <v>992.01</v>
      </c>
      <c r="F334" t="s">
        <v>689</v>
      </c>
      <c r="G334" s="21">
        <v>4.65E-2</v>
      </c>
    </row>
    <row r="335" spans="1:7" x14ac:dyDescent="0.35">
      <c r="A335" s="22" t="s">
        <v>690</v>
      </c>
      <c r="B335">
        <v>992.87</v>
      </c>
      <c r="C335">
        <v>938.86</v>
      </c>
      <c r="D335">
        <v>995.06</v>
      </c>
      <c r="E335">
        <v>916</v>
      </c>
      <c r="F335" t="s">
        <v>691</v>
      </c>
      <c r="G335" s="21">
        <v>3.0099999999999998E-2</v>
      </c>
    </row>
    <row r="336" spans="1:7" x14ac:dyDescent="0.35">
      <c r="A336" s="22" t="s">
        <v>692</v>
      </c>
      <c r="B336">
        <v>963.9</v>
      </c>
      <c r="C336" s="3">
        <v>1043.82</v>
      </c>
      <c r="D336" s="3">
        <v>1043.82</v>
      </c>
      <c r="E336">
        <v>963.9</v>
      </c>
      <c r="F336" t="s">
        <v>693</v>
      </c>
      <c r="G336" s="21">
        <v>-7.3700000000000002E-2</v>
      </c>
    </row>
    <row r="337" spans="1:7" x14ac:dyDescent="0.35">
      <c r="A337" s="22" t="s">
        <v>694</v>
      </c>
      <c r="B337" s="3">
        <v>1040.54</v>
      </c>
      <c r="C337" s="3">
        <v>1051.69</v>
      </c>
      <c r="D337" s="3">
        <v>1084.2</v>
      </c>
      <c r="E337" s="3">
        <v>1013.57</v>
      </c>
      <c r="F337" t="s">
        <v>695</v>
      </c>
      <c r="G337" s="21">
        <v>-4.1000000000000003E-3</v>
      </c>
    </row>
    <row r="338" spans="1:7" x14ac:dyDescent="0.35">
      <c r="A338" s="22">
        <v>43256</v>
      </c>
      <c r="B338" s="3">
        <v>1044.8499999999999</v>
      </c>
      <c r="C338" s="3">
        <v>1034.6400000000001</v>
      </c>
      <c r="D338" s="3">
        <v>1072.28</v>
      </c>
      <c r="E338" s="3">
        <v>1014.3</v>
      </c>
      <c r="F338" t="s">
        <v>696</v>
      </c>
      <c r="G338" s="21">
        <v>1.7600000000000001E-2</v>
      </c>
    </row>
    <row r="339" spans="1:7" x14ac:dyDescent="0.35">
      <c r="A339" s="22" t="s">
        <v>697</v>
      </c>
      <c r="B339" s="3">
        <v>1026.8</v>
      </c>
      <c r="C339" s="3">
        <v>1053.26</v>
      </c>
      <c r="D339" s="3">
        <v>1053.52</v>
      </c>
      <c r="E339" s="3">
        <v>1003.79</v>
      </c>
      <c r="F339" t="s">
        <v>698</v>
      </c>
      <c r="G339" s="21">
        <v>-2.23E-2</v>
      </c>
    </row>
    <row r="340" spans="1:7" x14ac:dyDescent="0.35">
      <c r="A340" s="22" t="s">
        <v>699</v>
      </c>
      <c r="B340" s="3">
        <v>1050.26</v>
      </c>
      <c r="C340" s="3">
        <v>1124.33</v>
      </c>
      <c r="D340" s="3">
        <v>1127.24</v>
      </c>
      <c r="E340" s="3">
        <v>1031.8900000000001</v>
      </c>
      <c r="F340" t="s">
        <v>700</v>
      </c>
      <c r="G340" s="21">
        <v>-6.2199999999999998E-2</v>
      </c>
    </row>
    <row r="341" spans="1:7" x14ac:dyDescent="0.35">
      <c r="A341" s="22" t="s">
        <v>701</v>
      </c>
      <c r="B341" s="3">
        <v>1119.8599999999999</v>
      </c>
      <c r="C341" s="3">
        <v>1156.54</v>
      </c>
      <c r="D341" s="3">
        <v>1160.32</v>
      </c>
      <c r="E341" s="3">
        <v>1078.01</v>
      </c>
      <c r="F341" t="s">
        <v>702</v>
      </c>
      <c r="G341" s="21">
        <v>-3.2199999999999999E-2</v>
      </c>
    </row>
    <row r="342" spans="1:7" x14ac:dyDescent="0.35">
      <c r="A342" s="22">
        <v>43316</v>
      </c>
      <c r="B342" s="3">
        <v>1157.1400000000001</v>
      </c>
      <c r="C342" s="3">
        <v>1202.44</v>
      </c>
      <c r="D342" s="3">
        <v>1211.3399999999999</v>
      </c>
      <c r="E342" s="3">
        <v>1153.6400000000001</v>
      </c>
      <c r="F342" t="s">
        <v>631</v>
      </c>
      <c r="G342" s="21">
        <v>-3.5700000000000003E-2</v>
      </c>
    </row>
    <row r="343" spans="1:7" x14ac:dyDescent="0.35">
      <c r="A343" s="22">
        <v>43104</v>
      </c>
      <c r="B343" s="3">
        <v>1199.96</v>
      </c>
      <c r="C343" s="3">
        <v>1180.26</v>
      </c>
      <c r="D343" s="3">
        <v>1202.5899999999999</v>
      </c>
      <c r="E343" s="3">
        <v>1179.73</v>
      </c>
      <c r="F343" t="s">
        <v>703</v>
      </c>
      <c r="G343" s="21">
        <v>2.1700000000000001E-2</v>
      </c>
    </row>
    <row r="344" spans="1:7" x14ac:dyDescent="0.35">
      <c r="A344" s="22" t="s">
        <v>704</v>
      </c>
      <c r="B344" s="3">
        <v>1174.46</v>
      </c>
      <c r="C344" s="3">
        <v>1150.51</v>
      </c>
      <c r="D344" s="3">
        <v>1187.42</v>
      </c>
      <c r="E344" s="3">
        <v>1150.51</v>
      </c>
      <c r="F344" t="s">
        <v>571</v>
      </c>
      <c r="G344" s="21">
        <v>1.8100000000000002E-2</v>
      </c>
    </row>
    <row r="345" spans="1:7" x14ac:dyDescent="0.35">
      <c r="A345" s="22" t="s">
        <v>705</v>
      </c>
      <c r="B345" s="3">
        <v>1153.5899999999999</v>
      </c>
      <c r="C345" s="3">
        <v>1158.1600000000001</v>
      </c>
      <c r="D345" s="3">
        <v>1180.44</v>
      </c>
      <c r="E345" s="3">
        <v>1138.53</v>
      </c>
      <c r="F345" t="s">
        <v>486</v>
      </c>
      <c r="G345" s="21">
        <v>3.0000000000000001E-3</v>
      </c>
    </row>
    <row r="346" spans="1:7" x14ac:dyDescent="0.35">
      <c r="A346" s="22">
        <v>43407</v>
      </c>
      <c r="B346" s="3">
        <v>1150.19</v>
      </c>
      <c r="C346" s="3">
        <v>1135.3699999999999</v>
      </c>
      <c r="D346" s="3">
        <v>1152.52</v>
      </c>
      <c r="E346" s="3">
        <v>1118.49</v>
      </c>
      <c r="F346" t="s">
        <v>666</v>
      </c>
      <c r="G346" s="21">
        <v>2.3800000000000002E-2</v>
      </c>
    </row>
    <row r="347" spans="1:7" x14ac:dyDescent="0.35">
      <c r="A347" s="22">
        <v>43193</v>
      </c>
      <c r="B347" s="3">
        <v>1123.4100000000001</v>
      </c>
      <c r="C347" s="3">
        <v>1121.21</v>
      </c>
      <c r="D347" s="3">
        <v>1135.02</v>
      </c>
      <c r="E347" s="3">
        <v>1091.67</v>
      </c>
      <c r="F347" t="s">
        <v>252</v>
      </c>
      <c r="G347" s="21">
        <v>2E-3</v>
      </c>
    </row>
    <row r="348" spans="1:7" x14ac:dyDescent="0.35">
      <c r="A348" s="22" t="s">
        <v>706</v>
      </c>
      <c r="B348" s="3">
        <v>1121.21</v>
      </c>
      <c r="C348" s="3">
        <v>1115.9000000000001</v>
      </c>
      <c r="D348" s="3">
        <v>1129.8900000000001</v>
      </c>
      <c r="E348" s="3">
        <v>1103.1600000000001</v>
      </c>
      <c r="F348" t="s">
        <v>553</v>
      </c>
      <c r="G348" s="21">
        <v>1.66E-2</v>
      </c>
    </row>
    <row r="349" spans="1:7" x14ac:dyDescent="0.35">
      <c r="A349" s="22" t="s">
        <v>707</v>
      </c>
      <c r="B349" s="3">
        <v>1102.8499999999999</v>
      </c>
      <c r="C349" s="3">
        <v>1073.33</v>
      </c>
      <c r="D349" s="3">
        <v>1102.8499999999999</v>
      </c>
      <c r="E349" s="3">
        <v>1070.43</v>
      </c>
      <c r="F349" t="s">
        <v>708</v>
      </c>
      <c r="G349" s="21">
        <v>4.07E-2</v>
      </c>
    </row>
    <row r="350" spans="1:7" x14ac:dyDescent="0.35">
      <c r="A350" s="22">
        <v>43406</v>
      </c>
      <c r="B350" s="3">
        <v>1059.73</v>
      </c>
      <c r="C350" s="3">
        <v>1011.64</v>
      </c>
      <c r="D350" s="3">
        <v>1060.48</v>
      </c>
      <c r="E350" s="3">
        <v>1011.64</v>
      </c>
      <c r="F350" t="s">
        <v>709</v>
      </c>
      <c r="G350" s="21">
        <v>5.5599999999999997E-2</v>
      </c>
    </row>
    <row r="351" spans="1:7" x14ac:dyDescent="0.35">
      <c r="A351" s="22">
        <v>43192</v>
      </c>
      <c r="B351" s="3">
        <v>1003.94</v>
      </c>
      <c r="C351" s="3">
        <v>1089.6199999999999</v>
      </c>
      <c r="D351" s="3">
        <v>1090.8800000000001</v>
      </c>
      <c r="E351">
        <v>973.78</v>
      </c>
      <c r="F351" t="s">
        <v>710</v>
      </c>
      <c r="G351" s="21">
        <v>-9.1499999999999998E-2</v>
      </c>
    </row>
    <row r="352" spans="1:7" x14ac:dyDescent="0.35">
      <c r="A352" s="22" t="s">
        <v>711</v>
      </c>
      <c r="B352" s="3">
        <v>1105.04</v>
      </c>
      <c r="C352" s="3">
        <v>1121.78</v>
      </c>
      <c r="D352" s="3">
        <v>1130.0999999999999</v>
      </c>
      <c r="E352" s="3">
        <v>1090.25</v>
      </c>
      <c r="F352" t="s">
        <v>710</v>
      </c>
      <c r="G352" s="21">
        <v>-9.4999999999999998E-3</v>
      </c>
    </row>
    <row r="353" spans="1:7" x14ac:dyDescent="0.35">
      <c r="A353" s="22" t="s">
        <v>712</v>
      </c>
      <c r="B353" s="3">
        <v>1115.6400000000001</v>
      </c>
      <c r="C353" s="3">
        <v>1066.8599999999999</v>
      </c>
      <c r="D353" s="3">
        <v>1123.83</v>
      </c>
      <c r="E353" s="3">
        <v>1066.6099999999999</v>
      </c>
      <c r="F353" t="s">
        <v>575</v>
      </c>
      <c r="G353" s="21">
        <v>5.04E-2</v>
      </c>
    </row>
    <row r="354" spans="1:7" x14ac:dyDescent="0.35">
      <c r="A354" s="22" t="s">
        <v>713</v>
      </c>
      <c r="B354" s="3">
        <v>1062.07</v>
      </c>
      <c r="C354" s="3">
        <v>1049.9100000000001</v>
      </c>
      <c r="D354" s="3">
        <v>1067.21</v>
      </c>
      <c r="E354" s="3">
        <v>1020.01</v>
      </c>
      <c r="F354" t="s">
        <v>714</v>
      </c>
      <c r="G354" s="21">
        <v>1.14E-2</v>
      </c>
    </row>
    <row r="355" spans="1:7" x14ac:dyDescent="0.35">
      <c r="A355" s="22">
        <v>43282</v>
      </c>
      <c r="B355" s="3">
        <v>1050.1099999999999</v>
      </c>
      <c r="C355" s="3">
        <v>1011.36</v>
      </c>
      <c r="D355" s="3">
        <v>1057.8800000000001</v>
      </c>
      <c r="E355" s="3">
        <v>1004.89</v>
      </c>
      <c r="F355" t="s">
        <v>715</v>
      </c>
      <c r="G355" s="21">
        <v>3.6999999999999998E-2</v>
      </c>
    </row>
    <row r="356" spans="1:7" x14ac:dyDescent="0.35">
      <c r="A356" s="22" t="s">
        <v>716</v>
      </c>
      <c r="B356" s="3">
        <v>1012.65</v>
      </c>
      <c r="C356">
        <v>986.05</v>
      </c>
      <c r="D356" s="3">
        <v>1020.6</v>
      </c>
      <c r="E356">
        <v>984.34</v>
      </c>
      <c r="F356" t="s">
        <v>717</v>
      </c>
      <c r="G356" s="21">
        <v>2.8899999999999999E-2</v>
      </c>
    </row>
    <row r="357" spans="1:7" x14ac:dyDescent="0.35">
      <c r="A357" s="22" t="s">
        <v>718</v>
      </c>
      <c r="B357">
        <v>984.24</v>
      </c>
      <c r="C357">
        <v>954.28</v>
      </c>
      <c r="D357">
        <v>990.1</v>
      </c>
      <c r="E357">
        <v>952.41</v>
      </c>
      <c r="F357" t="s">
        <v>719</v>
      </c>
      <c r="G357" s="21">
        <v>3.3500000000000002E-2</v>
      </c>
    </row>
    <row r="358" spans="1:7" x14ac:dyDescent="0.35">
      <c r="A358" s="22" t="s">
        <v>720</v>
      </c>
      <c r="B358">
        <v>952.32</v>
      </c>
      <c r="C358">
        <v>945.9</v>
      </c>
      <c r="D358">
        <v>963.01</v>
      </c>
      <c r="E358">
        <v>945.12</v>
      </c>
      <c r="F358" t="s">
        <v>553</v>
      </c>
      <c r="G358" s="21">
        <v>1.83E-2</v>
      </c>
    </row>
    <row r="359" spans="1:7" x14ac:dyDescent="0.35">
      <c r="A359" s="22">
        <v>43020</v>
      </c>
      <c r="B359">
        <v>935.16</v>
      </c>
      <c r="C359">
        <v>930.17</v>
      </c>
      <c r="D359">
        <v>939.57</v>
      </c>
      <c r="E359">
        <v>895.73</v>
      </c>
      <c r="F359" t="s">
        <v>721</v>
      </c>
      <c r="G359" s="21">
        <v>-5.3E-3</v>
      </c>
    </row>
    <row r="360" spans="1:7" x14ac:dyDescent="0.35">
      <c r="A360" s="22">
        <v>42806</v>
      </c>
      <c r="B360">
        <v>940.16</v>
      </c>
      <c r="C360">
        <v>962.47</v>
      </c>
      <c r="D360">
        <v>974.8</v>
      </c>
      <c r="E360">
        <v>930.29</v>
      </c>
      <c r="F360" t="s">
        <v>331</v>
      </c>
      <c r="G360" s="21">
        <v>-2.1000000000000001E-2</v>
      </c>
    </row>
    <row r="361" spans="1:7" x14ac:dyDescent="0.35">
      <c r="A361" s="22" t="s">
        <v>722</v>
      </c>
      <c r="B361">
        <v>960.33</v>
      </c>
      <c r="C361">
        <v>933.38</v>
      </c>
      <c r="D361">
        <v>960.33</v>
      </c>
      <c r="E361">
        <v>931.29</v>
      </c>
      <c r="F361" t="s">
        <v>723</v>
      </c>
      <c r="G361" s="21">
        <v>2.6499999999999999E-2</v>
      </c>
    </row>
    <row r="362" spans="1:7" x14ac:dyDescent="0.35">
      <c r="A362" s="22" t="s">
        <v>724</v>
      </c>
      <c r="B362">
        <v>935.57</v>
      </c>
      <c r="C362">
        <v>890.34</v>
      </c>
      <c r="D362">
        <v>943.15</v>
      </c>
      <c r="E362">
        <v>889.55</v>
      </c>
      <c r="F362" t="s">
        <v>575</v>
      </c>
      <c r="G362" s="21">
        <v>5.04E-2</v>
      </c>
    </row>
    <row r="363" spans="1:7" x14ac:dyDescent="0.35">
      <c r="A363" s="22">
        <v>43080</v>
      </c>
      <c r="B363">
        <v>890.69</v>
      </c>
      <c r="C363">
        <v>871.7</v>
      </c>
      <c r="D363">
        <v>898.11</v>
      </c>
      <c r="E363">
        <v>871.7</v>
      </c>
      <c r="F363" t="s">
        <v>553</v>
      </c>
      <c r="G363" s="21">
        <v>2.5899999999999999E-2</v>
      </c>
    </row>
    <row r="364" spans="1:7" x14ac:dyDescent="0.35">
      <c r="A364" s="22">
        <v>42866</v>
      </c>
      <c r="B364">
        <v>868.21</v>
      </c>
      <c r="C364">
        <v>846.12</v>
      </c>
      <c r="D364">
        <v>869.37</v>
      </c>
      <c r="E364">
        <v>843.76</v>
      </c>
      <c r="F364" t="s">
        <v>524</v>
      </c>
      <c r="G364" s="21">
        <v>2.9000000000000001E-2</v>
      </c>
    </row>
    <row r="365" spans="1:7" x14ac:dyDescent="0.35">
      <c r="A365" s="22" t="s">
        <v>725</v>
      </c>
      <c r="B365">
        <v>843.73</v>
      </c>
      <c r="C365">
        <v>842.92</v>
      </c>
      <c r="D365">
        <v>849.53</v>
      </c>
      <c r="E365">
        <v>831.58</v>
      </c>
      <c r="F365" t="s">
        <v>726</v>
      </c>
      <c r="G365" s="21">
        <v>4.0000000000000001E-3</v>
      </c>
    </row>
    <row r="366" spans="1:7" x14ac:dyDescent="0.35">
      <c r="A366" s="22" t="s">
        <v>727</v>
      </c>
      <c r="B366">
        <v>840.37</v>
      </c>
      <c r="C366">
        <v>826.25</v>
      </c>
      <c r="D366">
        <v>840.37</v>
      </c>
      <c r="E366">
        <v>814.92</v>
      </c>
      <c r="F366" t="s">
        <v>728</v>
      </c>
      <c r="G366" s="21">
        <v>1.6400000000000001E-2</v>
      </c>
    </row>
    <row r="367" spans="1:7" x14ac:dyDescent="0.35">
      <c r="A367" s="22" t="s">
        <v>729</v>
      </c>
      <c r="B367">
        <v>826.84</v>
      </c>
      <c r="C367">
        <v>821.54</v>
      </c>
      <c r="D367">
        <v>833.57</v>
      </c>
      <c r="E367">
        <v>819.43</v>
      </c>
      <c r="F367" t="s">
        <v>730</v>
      </c>
      <c r="G367" s="21">
        <v>7.1999999999999998E-3</v>
      </c>
    </row>
    <row r="368" spans="1:7" x14ac:dyDescent="0.35">
      <c r="A368" s="22">
        <v>42957</v>
      </c>
      <c r="B368">
        <v>820.95</v>
      </c>
      <c r="C368">
        <v>809.61</v>
      </c>
      <c r="D368">
        <v>820.95</v>
      </c>
      <c r="E368">
        <v>806.3</v>
      </c>
      <c r="F368" t="s">
        <v>731</v>
      </c>
      <c r="G368" s="21">
        <v>1.6299999999999999E-2</v>
      </c>
    </row>
    <row r="369" spans="1:7" x14ac:dyDescent="0.35">
      <c r="A369" s="22">
        <v>42745</v>
      </c>
      <c r="B369">
        <v>807.8</v>
      </c>
      <c r="C369">
        <v>805.29</v>
      </c>
      <c r="D369">
        <v>810.54</v>
      </c>
      <c r="E369">
        <v>795.05</v>
      </c>
      <c r="F369" t="s">
        <v>732</v>
      </c>
      <c r="G369" s="21">
        <v>4.1999999999999997E-3</v>
      </c>
    </row>
    <row r="370" spans="1:7" x14ac:dyDescent="0.35">
      <c r="A370" s="22" t="s">
        <v>733</v>
      </c>
      <c r="B370">
        <v>804.42</v>
      </c>
      <c r="C370">
        <v>806.9</v>
      </c>
      <c r="D370">
        <v>810.35</v>
      </c>
      <c r="E370">
        <v>801.66</v>
      </c>
      <c r="F370" t="s">
        <v>734</v>
      </c>
      <c r="G370" s="21">
        <v>-3.3999999999999998E-3</v>
      </c>
    </row>
    <row r="371" spans="1:7" x14ac:dyDescent="0.35">
      <c r="A371" s="22" t="s">
        <v>735</v>
      </c>
      <c r="B371">
        <v>807.13</v>
      </c>
      <c r="C371">
        <v>808.51</v>
      </c>
      <c r="D371">
        <v>810.13</v>
      </c>
      <c r="E371">
        <v>802.6</v>
      </c>
      <c r="F371" t="s">
        <v>736</v>
      </c>
      <c r="G371" s="21">
        <v>1.6000000000000001E-3</v>
      </c>
    </row>
    <row r="372" spans="1:7" x14ac:dyDescent="0.35">
      <c r="A372" s="22">
        <v>43017</v>
      </c>
      <c r="B372">
        <v>805.82</v>
      </c>
      <c r="C372">
        <v>801.2</v>
      </c>
      <c r="D372">
        <v>807.29</v>
      </c>
      <c r="E372">
        <v>794.88</v>
      </c>
      <c r="F372" t="s">
        <v>737</v>
      </c>
      <c r="G372" s="21">
        <v>5.7999999999999996E-3</v>
      </c>
    </row>
    <row r="373" spans="1:7" x14ac:dyDescent="0.35">
      <c r="A373" s="22">
        <v>42803</v>
      </c>
      <c r="B373">
        <v>801.2</v>
      </c>
      <c r="C373">
        <v>790.26</v>
      </c>
      <c r="D373">
        <v>802.9</v>
      </c>
      <c r="E373">
        <v>787.8</v>
      </c>
      <c r="F373" t="s">
        <v>738</v>
      </c>
      <c r="G373" s="21">
        <v>1.5800000000000002E-2</v>
      </c>
    </row>
    <row r="374" spans="1:7" x14ac:dyDescent="0.35">
      <c r="A374" s="22" t="s">
        <v>739</v>
      </c>
      <c r="B374">
        <v>788.73</v>
      </c>
      <c r="C374">
        <v>771.81</v>
      </c>
      <c r="D374">
        <v>789.19</v>
      </c>
      <c r="E374">
        <v>770.51</v>
      </c>
      <c r="F374" t="s">
        <v>565</v>
      </c>
      <c r="G374" s="21">
        <v>2.2200000000000001E-2</v>
      </c>
    </row>
    <row r="375" spans="1:7" x14ac:dyDescent="0.35">
      <c r="A375" s="22" t="s">
        <v>740</v>
      </c>
      <c r="B375">
        <v>771.63</v>
      </c>
      <c r="C375">
        <v>767.42</v>
      </c>
      <c r="D375">
        <v>771.65</v>
      </c>
      <c r="E375">
        <v>759.01</v>
      </c>
      <c r="F375" t="s">
        <v>741</v>
      </c>
      <c r="G375" s="21">
        <v>3.5000000000000001E-3</v>
      </c>
    </row>
    <row r="376" spans="1:7" x14ac:dyDescent="0.35">
      <c r="A376" s="22" t="s">
        <v>742</v>
      </c>
      <c r="B376">
        <v>768.97</v>
      </c>
      <c r="C376">
        <v>770.65</v>
      </c>
      <c r="D376">
        <v>776.83</v>
      </c>
      <c r="E376">
        <v>762.46</v>
      </c>
      <c r="F376" t="s">
        <v>743</v>
      </c>
      <c r="G376" s="21">
        <v>-4.0000000000000001E-3</v>
      </c>
    </row>
    <row r="377" spans="1:7" x14ac:dyDescent="0.35">
      <c r="A377" s="22">
        <v>42894</v>
      </c>
      <c r="B377">
        <v>772.08</v>
      </c>
      <c r="C377">
        <v>789.41</v>
      </c>
      <c r="D377">
        <v>796.62</v>
      </c>
      <c r="E377">
        <v>769.14</v>
      </c>
      <c r="F377" t="s">
        <v>744</v>
      </c>
      <c r="G377" s="21">
        <v>-2.1000000000000001E-2</v>
      </c>
    </row>
    <row r="378" spans="1:7" x14ac:dyDescent="0.35">
      <c r="A378" s="22" t="s">
        <v>745</v>
      </c>
      <c r="B378">
        <v>788.68</v>
      </c>
      <c r="C378">
        <v>777.54</v>
      </c>
      <c r="D378">
        <v>790.82</v>
      </c>
      <c r="E378">
        <v>776.72</v>
      </c>
      <c r="F378" t="s">
        <v>553</v>
      </c>
      <c r="G378" s="21">
        <v>1.49E-2</v>
      </c>
    </row>
    <row r="379" spans="1:7" x14ac:dyDescent="0.35">
      <c r="A379" s="22" t="s">
        <v>746</v>
      </c>
      <c r="B379">
        <v>777.09</v>
      </c>
      <c r="C379">
        <v>759.97</v>
      </c>
      <c r="D379">
        <v>777.09</v>
      </c>
      <c r="E379">
        <v>753.82</v>
      </c>
      <c r="F379" t="s">
        <v>747</v>
      </c>
      <c r="G379" s="21">
        <v>0.02</v>
      </c>
    </row>
    <row r="380" spans="1:7" x14ac:dyDescent="0.35">
      <c r="A380" s="22" t="s">
        <v>748</v>
      </c>
      <c r="B380">
        <v>761.86</v>
      </c>
      <c r="C380">
        <v>777.7</v>
      </c>
      <c r="D380">
        <v>778.3</v>
      </c>
      <c r="E380">
        <v>761.86</v>
      </c>
      <c r="F380" t="s">
        <v>559</v>
      </c>
      <c r="G380" s="21">
        <v>-2.0199999999999999E-2</v>
      </c>
    </row>
    <row r="381" spans="1:7" x14ac:dyDescent="0.35">
      <c r="A381" s="22">
        <v>42985</v>
      </c>
      <c r="B381">
        <v>777.6</v>
      </c>
      <c r="C381">
        <v>775.85</v>
      </c>
      <c r="D381">
        <v>780.65</v>
      </c>
      <c r="E381">
        <v>761.57</v>
      </c>
      <c r="F381" t="s">
        <v>577</v>
      </c>
      <c r="G381" s="21">
        <v>2.3999999999999998E-3</v>
      </c>
    </row>
    <row r="382" spans="1:7" x14ac:dyDescent="0.35">
      <c r="A382" s="22">
        <v>42773</v>
      </c>
      <c r="B382">
        <v>775.73</v>
      </c>
      <c r="C382">
        <v>777.2</v>
      </c>
      <c r="D382">
        <v>783.81</v>
      </c>
      <c r="E382">
        <v>772.9</v>
      </c>
      <c r="F382" t="s">
        <v>576</v>
      </c>
      <c r="G382" s="21">
        <v>-1E-3</v>
      </c>
    </row>
    <row r="383" spans="1:7" x14ac:dyDescent="0.35">
      <c r="A383" s="22" t="s">
        <v>749</v>
      </c>
      <c r="B383">
        <v>776.47</v>
      </c>
      <c r="C383">
        <v>770.5</v>
      </c>
      <c r="D383">
        <v>776.5</v>
      </c>
      <c r="E383">
        <v>762.78</v>
      </c>
      <c r="F383" t="s">
        <v>565</v>
      </c>
      <c r="G383" s="21">
        <v>9.7000000000000003E-3</v>
      </c>
    </row>
    <row r="384" spans="1:7" x14ac:dyDescent="0.35">
      <c r="A384" s="22" t="s">
        <v>750</v>
      </c>
      <c r="B384">
        <v>769.01</v>
      </c>
      <c r="C384">
        <v>763.75</v>
      </c>
      <c r="D384">
        <v>769.99</v>
      </c>
      <c r="E384">
        <v>758.9</v>
      </c>
      <c r="F384" t="s">
        <v>569</v>
      </c>
      <c r="G384" s="21">
        <v>1.0200000000000001E-2</v>
      </c>
    </row>
    <row r="385" spans="1:7" x14ac:dyDescent="0.35">
      <c r="A385" s="22">
        <v>43045</v>
      </c>
      <c r="B385">
        <v>761.24</v>
      </c>
      <c r="C385">
        <v>751.33</v>
      </c>
      <c r="D385">
        <v>762.98</v>
      </c>
      <c r="E385">
        <v>749</v>
      </c>
      <c r="F385" t="s">
        <v>721</v>
      </c>
      <c r="G385" s="21">
        <v>1.54E-2</v>
      </c>
    </row>
    <row r="386" spans="1:7" x14ac:dyDescent="0.35">
      <c r="A386" s="22">
        <v>42831</v>
      </c>
      <c r="B386">
        <v>749.72</v>
      </c>
      <c r="C386">
        <v>739.13</v>
      </c>
      <c r="D386">
        <v>754.92</v>
      </c>
      <c r="E386">
        <v>738.35</v>
      </c>
      <c r="F386" t="s">
        <v>555</v>
      </c>
      <c r="G386" s="21">
        <v>1.4800000000000001E-2</v>
      </c>
    </row>
    <row r="387" spans="1:7" x14ac:dyDescent="0.35">
      <c r="A387" s="22" t="s">
        <v>751</v>
      </c>
      <c r="B387">
        <v>738.81</v>
      </c>
      <c r="C387">
        <v>746.08</v>
      </c>
      <c r="D387">
        <v>748.06</v>
      </c>
      <c r="E387">
        <v>735.39</v>
      </c>
      <c r="F387" t="s">
        <v>555</v>
      </c>
      <c r="G387" s="21">
        <v>-6.1999999999999998E-3</v>
      </c>
    </row>
    <row r="388" spans="1:7" x14ac:dyDescent="0.35">
      <c r="A388" s="22" t="s">
        <v>752</v>
      </c>
      <c r="B388">
        <v>743.41</v>
      </c>
      <c r="C388">
        <v>738.63</v>
      </c>
      <c r="D388">
        <v>746.87</v>
      </c>
      <c r="E388">
        <v>737.3</v>
      </c>
      <c r="F388" t="s">
        <v>569</v>
      </c>
      <c r="G388" s="21">
        <v>1.3100000000000001E-2</v>
      </c>
    </row>
    <row r="389" spans="1:7" x14ac:dyDescent="0.35">
      <c r="A389" s="22" t="s">
        <v>753</v>
      </c>
      <c r="B389">
        <v>733.82</v>
      </c>
      <c r="C389">
        <v>725.25</v>
      </c>
      <c r="D389">
        <v>733.82</v>
      </c>
      <c r="E389">
        <v>722.81</v>
      </c>
      <c r="F389" t="s">
        <v>331</v>
      </c>
      <c r="G389" s="21">
        <v>1.1599999999999999E-2</v>
      </c>
    </row>
    <row r="390" spans="1:7" x14ac:dyDescent="0.35">
      <c r="A390" s="22">
        <v>42921</v>
      </c>
      <c r="B390">
        <v>725.37</v>
      </c>
      <c r="C390">
        <v>720.61</v>
      </c>
      <c r="D390">
        <v>727.52</v>
      </c>
      <c r="E390">
        <v>716.95</v>
      </c>
      <c r="F390" t="s">
        <v>553</v>
      </c>
      <c r="G390" s="21">
        <v>7.4999999999999997E-3</v>
      </c>
    </row>
    <row r="391" spans="1:7" x14ac:dyDescent="0.35">
      <c r="A391" s="22" t="s">
        <v>754</v>
      </c>
      <c r="B391">
        <v>720</v>
      </c>
      <c r="C391">
        <v>718.7</v>
      </c>
      <c r="D391">
        <v>723.22</v>
      </c>
      <c r="E391">
        <v>716.66</v>
      </c>
      <c r="F391" t="s">
        <v>755</v>
      </c>
      <c r="G391" s="21">
        <v>3.2000000000000002E-3</v>
      </c>
    </row>
    <row r="392" spans="1:7" x14ac:dyDescent="0.35">
      <c r="A392" s="22" t="s">
        <v>756</v>
      </c>
      <c r="B392">
        <v>717.73</v>
      </c>
      <c r="C392">
        <v>711.6</v>
      </c>
      <c r="D392">
        <v>718.54</v>
      </c>
      <c r="E392">
        <v>706.04</v>
      </c>
      <c r="F392" t="s">
        <v>757</v>
      </c>
      <c r="G392" s="21">
        <v>7.4999999999999997E-3</v>
      </c>
    </row>
    <row r="393" spans="1:7" x14ac:dyDescent="0.35">
      <c r="A393" s="22" t="s">
        <v>758</v>
      </c>
      <c r="B393">
        <v>712.41</v>
      </c>
      <c r="C393">
        <v>718.93</v>
      </c>
      <c r="D393">
        <v>721.78</v>
      </c>
      <c r="E393">
        <v>705.55</v>
      </c>
      <c r="F393" t="s">
        <v>759</v>
      </c>
      <c r="G393" s="21">
        <v>-8.3999999999999995E-3</v>
      </c>
    </row>
    <row r="394" spans="1:7" x14ac:dyDescent="0.35">
      <c r="A394" s="22">
        <v>42982</v>
      </c>
      <c r="B394">
        <v>718.45</v>
      </c>
      <c r="C394">
        <v>728.71</v>
      </c>
      <c r="D394">
        <v>732.87</v>
      </c>
      <c r="E394">
        <v>714.13</v>
      </c>
      <c r="F394" t="s">
        <v>760</v>
      </c>
      <c r="G394" s="21">
        <v>-1.3100000000000001E-2</v>
      </c>
    </row>
    <row r="395" spans="1:7" x14ac:dyDescent="0.35">
      <c r="A395" s="22">
        <v>42770</v>
      </c>
      <c r="B395">
        <v>727.95</v>
      </c>
      <c r="C395">
        <v>723.02</v>
      </c>
      <c r="D395">
        <v>727.95</v>
      </c>
      <c r="E395">
        <v>720.28</v>
      </c>
      <c r="F395" t="s">
        <v>761</v>
      </c>
      <c r="G395" s="21">
        <v>7.7999999999999996E-3</v>
      </c>
    </row>
    <row r="396" spans="1:7" x14ac:dyDescent="0.35">
      <c r="A396" s="22" t="s">
        <v>762</v>
      </c>
      <c r="B396">
        <v>722.31</v>
      </c>
      <c r="C396">
        <v>723.23</v>
      </c>
      <c r="D396">
        <v>726.67</v>
      </c>
      <c r="E396">
        <v>718.37</v>
      </c>
      <c r="F396" t="s">
        <v>555</v>
      </c>
      <c r="G396" s="21">
        <v>2.0000000000000001E-4</v>
      </c>
    </row>
    <row r="397" spans="1:7" x14ac:dyDescent="0.35">
      <c r="A397" s="22" t="s">
        <v>763</v>
      </c>
      <c r="B397">
        <v>722.14</v>
      </c>
      <c r="C397">
        <v>711.44</v>
      </c>
      <c r="D397">
        <v>724.36</v>
      </c>
      <c r="E397">
        <v>711.44</v>
      </c>
      <c r="F397" t="s">
        <v>565</v>
      </c>
      <c r="G397" s="21">
        <v>1.6299999999999999E-2</v>
      </c>
    </row>
    <row r="398" spans="1:7" x14ac:dyDescent="0.35">
      <c r="A398" s="22">
        <v>43072</v>
      </c>
      <c r="B398">
        <v>710.54</v>
      </c>
      <c r="C398">
        <v>711.93</v>
      </c>
      <c r="D398">
        <v>717.1</v>
      </c>
      <c r="E398">
        <v>707.63</v>
      </c>
      <c r="F398" t="s">
        <v>764</v>
      </c>
      <c r="G398" s="21">
        <v>-2.3E-3</v>
      </c>
    </row>
    <row r="399" spans="1:7" x14ac:dyDescent="0.35">
      <c r="A399" s="22">
        <v>42858</v>
      </c>
      <c r="B399">
        <v>712.21</v>
      </c>
      <c r="C399">
        <v>714.61</v>
      </c>
      <c r="D399">
        <v>718.78</v>
      </c>
      <c r="E399">
        <v>712.21</v>
      </c>
      <c r="F399" t="s">
        <v>765</v>
      </c>
      <c r="G399" s="21">
        <v>-5.9999999999999995E-4</v>
      </c>
    </row>
    <row r="400" spans="1:7" x14ac:dyDescent="0.35">
      <c r="A400" s="22" t="s">
        <v>766</v>
      </c>
      <c r="B400">
        <v>712.62</v>
      </c>
      <c r="C400">
        <v>711.7</v>
      </c>
      <c r="D400">
        <v>719.14</v>
      </c>
      <c r="E400">
        <v>705.79</v>
      </c>
      <c r="F400" t="s">
        <v>767</v>
      </c>
      <c r="G400" s="21">
        <v>-2.5999999999999999E-3</v>
      </c>
    </row>
    <row r="401" spans="1:7" x14ac:dyDescent="0.35">
      <c r="A401" s="22" t="s">
        <v>768</v>
      </c>
      <c r="B401">
        <v>714.47</v>
      </c>
      <c r="C401">
        <v>705.72</v>
      </c>
      <c r="D401">
        <v>719.58</v>
      </c>
      <c r="E401">
        <v>704.41</v>
      </c>
      <c r="F401" t="s">
        <v>553</v>
      </c>
      <c r="G401" s="21">
        <v>9.4000000000000004E-3</v>
      </c>
    </row>
    <row r="402" spans="1:7" x14ac:dyDescent="0.35">
      <c r="A402" s="22">
        <v>43071</v>
      </c>
      <c r="B402">
        <v>707.83</v>
      </c>
      <c r="C402">
        <v>704.61</v>
      </c>
      <c r="D402">
        <v>717.57</v>
      </c>
      <c r="E402">
        <v>703.58</v>
      </c>
      <c r="F402" t="s">
        <v>769</v>
      </c>
      <c r="G402" s="21">
        <v>5.7999999999999996E-3</v>
      </c>
    </row>
    <row r="403" spans="1:7" x14ac:dyDescent="0.35">
      <c r="A403" s="22">
        <v>42857</v>
      </c>
      <c r="B403">
        <v>703.78</v>
      </c>
      <c r="C403">
        <v>702.02</v>
      </c>
      <c r="D403">
        <v>704.08</v>
      </c>
      <c r="E403">
        <v>696.92</v>
      </c>
      <c r="F403" t="s">
        <v>770</v>
      </c>
      <c r="G403" s="21">
        <v>4.8999999999999998E-3</v>
      </c>
    </row>
    <row r="404" spans="1:7" x14ac:dyDescent="0.35">
      <c r="A404" s="22" t="s">
        <v>771</v>
      </c>
      <c r="B404">
        <v>700.35</v>
      </c>
      <c r="C404">
        <v>699.8</v>
      </c>
      <c r="D404">
        <v>708.1</v>
      </c>
      <c r="E404">
        <v>697.71</v>
      </c>
      <c r="F404" t="s">
        <v>772</v>
      </c>
      <c r="G404" s="21">
        <v>4.4000000000000003E-3</v>
      </c>
    </row>
    <row r="405" spans="1:7" x14ac:dyDescent="0.35">
      <c r="A405" s="22" t="s">
        <v>773</v>
      </c>
      <c r="B405">
        <v>697.28</v>
      </c>
      <c r="C405">
        <v>687.83</v>
      </c>
      <c r="D405">
        <v>697.28</v>
      </c>
      <c r="E405">
        <v>686.46</v>
      </c>
      <c r="F405" t="s">
        <v>774</v>
      </c>
      <c r="G405" s="21">
        <v>1.61E-2</v>
      </c>
    </row>
    <row r="406" spans="1:7" x14ac:dyDescent="0.35">
      <c r="A406" s="22" t="s">
        <v>775</v>
      </c>
      <c r="B406">
        <v>686.26</v>
      </c>
      <c r="C406">
        <v>684.62</v>
      </c>
      <c r="D406">
        <v>688.42</v>
      </c>
      <c r="E406">
        <v>677.85</v>
      </c>
      <c r="F406" t="s">
        <v>776</v>
      </c>
      <c r="G406" s="21">
        <v>1.8E-3</v>
      </c>
    </row>
    <row r="407" spans="1:7" x14ac:dyDescent="0.35">
      <c r="A407" s="22">
        <v>42948</v>
      </c>
      <c r="B407">
        <v>685.06</v>
      </c>
      <c r="C407">
        <v>681.74</v>
      </c>
      <c r="D407">
        <v>688.99</v>
      </c>
      <c r="E407">
        <v>680.76</v>
      </c>
      <c r="F407" t="s">
        <v>777</v>
      </c>
      <c r="G407" s="21">
        <v>7.7000000000000002E-3</v>
      </c>
    </row>
    <row r="408" spans="1:7" x14ac:dyDescent="0.35">
      <c r="A408" s="22">
        <v>42736</v>
      </c>
      <c r="B408">
        <v>679.8</v>
      </c>
      <c r="C408">
        <v>665.92</v>
      </c>
      <c r="D408">
        <v>683.76</v>
      </c>
      <c r="E408">
        <v>665.43</v>
      </c>
      <c r="F408" t="s">
        <v>778</v>
      </c>
      <c r="G408" s="21">
        <v>2.2499999999999999E-2</v>
      </c>
    </row>
    <row r="409" spans="1:7" x14ac:dyDescent="0.35">
      <c r="A409" s="22" t="s">
        <v>779</v>
      </c>
      <c r="B409">
        <v>664.87</v>
      </c>
      <c r="C409">
        <v>665.67</v>
      </c>
      <c r="D409">
        <v>666.64</v>
      </c>
      <c r="E409">
        <v>661.41</v>
      </c>
      <c r="F409" t="s">
        <v>780</v>
      </c>
      <c r="G409" s="21">
        <v>8.0000000000000004E-4</v>
      </c>
    </row>
    <row r="410" spans="1:7" x14ac:dyDescent="0.35">
      <c r="A410" s="22" t="s">
        <v>781</v>
      </c>
      <c r="B410">
        <v>664.37</v>
      </c>
      <c r="C410">
        <v>673.98</v>
      </c>
      <c r="D410">
        <v>679.9</v>
      </c>
      <c r="E410">
        <v>657.4</v>
      </c>
      <c r="F410" t="s">
        <v>782</v>
      </c>
      <c r="G410" s="21">
        <v>-1.6E-2</v>
      </c>
    </row>
    <row r="411" spans="1:7" x14ac:dyDescent="0.35">
      <c r="A411" s="22">
        <v>42686</v>
      </c>
      <c r="B411">
        <v>675.16</v>
      </c>
      <c r="C411">
        <v>663.7</v>
      </c>
      <c r="D411">
        <v>675.19</v>
      </c>
      <c r="E411">
        <v>654.34</v>
      </c>
      <c r="F411" t="s">
        <v>783</v>
      </c>
      <c r="G411" s="21">
        <v>1.8200000000000001E-2</v>
      </c>
    </row>
    <row r="412" spans="1:7" x14ac:dyDescent="0.35">
      <c r="A412" s="22">
        <v>42472</v>
      </c>
      <c r="B412">
        <v>663.07</v>
      </c>
      <c r="C412">
        <v>663.06</v>
      </c>
      <c r="D412">
        <v>664.46</v>
      </c>
      <c r="E412">
        <v>647.33000000000004</v>
      </c>
      <c r="F412" t="s">
        <v>784</v>
      </c>
      <c r="G412" s="21">
        <v>-3.0999999999999999E-3</v>
      </c>
    </row>
    <row r="413" spans="1:7" x14ac:dyDescent="0.35">
      <c r="A413" s="22" t="s">
        <v>785</v>
      </c>
      <c r="B413">
        <v>665.14</v>
      </c>
      <c r="C413">
        <v>672.38</v>
      </c>
      <c r="D413">
        <v>673.18</v>
      </c>
      <c r="E413">
        <v>654.99</v>
      </c>
      <c r="F413" t="s">
        <v>786</v>
      </c>
      <c r="G413" s="21">
        <v>-1.5900000000000001E-2</v>
      </c>
    </row>
    <row r="414" spans="1:7" x14ac:dyDescent="0.35">
      <c r="A414" s="22" t="s">
        <v>787</v>
      </c>
      <c r="B414">
        <v>675.87</v>
      </c>
      <c r="C414">
        <v>673.2</v>
      </c>
      <c r="D414">
        <v>684.12</v>
      </c>
      <c r="E414">
        <v>671.48</v>
      </c>
      <c r="F414" t="s">
        <v>788</v>
      </c>
      <c r="G414" s="21">
        <v>3.8999999999999998E-3</v>
      </c>
    </row>
    <row r="415" spans="1:7" x14ac:dyDescent="0.35">
      <c r="A415" s="22" t="s">
        <v>789</v>
      </c>
      <c r="B415">
        <v>673.25</v>
      </c>
      <c r="C415">
        <v>677.13</v>
      </c>
      <c r="D415">
        <v>679.96</v>
      </c>
      <c r="E415">
        <v>669.18</v>
      </c>
      <c r="F415" t="s">
        <v>790</v>
      </c>
      <c r="G415" s="21">
        <v>-8.8000000000000005E-3</v>
      </c>
    </row>
    <row r="416" spans="1:7" x14ac:dyDescent="0.35">
      <c r="A416" s="22">
        <v>42532</v>
      </c>
      <c r="B416">
        <v>679.2</v>
      </c>
      <c r="C416">
        <v>667.12</v>
      </c>
      <c r="D416">
        <v>679.56</v>
      </c>
      <c r="E416">
        <v>656.68</v>
      </c>
      <c r="F416" t="s">
        <v>791</v>
      </c>
      <c r="G416" s="21">
        <v>1.8700000000000001E-2</v>
      </c>
    </row>
    <row r="417" spans="1:7" x14ac:dyDescent="0.35">
      <c r="A417" s="22" t="s">
        <v>792</v>
      </c>
      <c r="B417">
        <v>666.73</v>
      </c>
      <c r="C417">
        <v>682.11</v>
      </c>
      <c r="D417">
        <v>683.34</v>
      </c>
      <c r="E417">
        <v>661.86</v>
      </c>
      <c r="F417" t="s">
        <v>793</v>
      </c>
      <c r="G417" s="21">
        <v>-2.2700000000000001E-2</v>
      </c>
    </row>
    <row r="418" spans="1:7" x14ac:dyDescent="0.35">
      <c r="A418" s="22" t="s">
        <v>794</v>
      </c>
      <c r="B418">
        <v>682.25</v>
      </c>
      <c r="C418">
        <v>683.14</v>
      </c>
      <c r="D418">
        <v>684.51</v>
      </c>
      <c r="E418">
        <v>670.6</v>
      </c>
      <c r="F418" t="s">
        <v>795</v>
      </c>
      <c r="G418" s="21">
        <v>-3.8E-3</v>
      </c>
    </row>
    <row r="419" spans="1:7" x14ac:dyDescent="0.35">
      <c r="A419" s="22" t="s">
        <v>796</v>
      </c>
      <c r="B419">
        <v>684.83</v>
      </c>
      <c r="C419">
        <v>687.18</v>
      </c>
      <c r="D419">
        <v>690.86</v>
      </c>
      <c r="E419">
        <v>678.13</v>
      </c>
      <c r="F419" t="s">
        <v>797</v>
      </c>
      <c r="G419" s="21">
        <v>-3.2000000000000002E-3</v>
      </c>
    </row>
    <row r="420" spans="1:7" x14ac:dyDescent="0.35">
      <c r="A420" s="22">
        <v>42623</v>
      </c>
      <c r="B420">
        <v>687</v>
      </c>
      <c r="C420">
        <v>684.05</v>
      </c>
      <c r="D420">
        <v>690.62</v>
      </c>
      <c r="E420">
        <v>669.2</v>
      </c>
      <c r="F420" t="s">
        <v>798</v>
      </c>
      <c r="G420" s="21">
        <v>4.4999999999999997E-3</v>
      </c>
    </row>
    <row r="421" spans="1:7" x14ac:dyDescent="0.35">
      <c r="A421" s="22">
        <v>42410</v>
      </c>
      <c r="B421">
        <v>683.95</v>
      </c>
      <c r="C421">
        <v>687.68</v>
      </c>
      <c r="D421">
        <v>690.93</v>
      </c>
      <c r="E421">
        <v>680.24</v>
      </c>
      <c r="F421" t="s">
        <v>799</v>
      </c>
      <c r="G421" s="21">
        <v>-2.5999999999999999E-3</v>
      </c>
    </row>
    <row r="422" spans="1:7" x14ac:dyDescent="0.35">
      <c r="A422" s="22" t="s">
        <v>800</v>
      </c>
      <c r="B422">
        <v>685.73</v>
      </c>
      <c r="C422">
        <v>673.21</v>
      </c>
      <c r="D422">
        <v>692.17</v>
      </c>
      <c r="E422">
        <v>671.51</v>
      </c>
      <c r="F422" t="s">
        <v>801</v>
      </c>
      <c r="G422" s="21">
        <v>1.7299999999999999E-2</v>
      </c>
    </row>
    <row r="423" spans="1:7" x14ac:dyDescent="0.35">
      <c r="A423" s="22" t="s">
        <v>802</v>
      </c>
      <c r="B423">
        <v>674.09</v>
      </c>
      <c r="C423">
        <v>651.30999999999995</v>
      </c>
      <c r="D423">
        <v>675.36</v>
      </c>
      <c r="E423">
        <v>651.30999999999995</v>
      </c>
      <c r="F423" t="s">
        <v>803</v>
      </c>
      <c r="G423" s="21">
        <v>3.5000000000000003E-2</v>
      </c>
    </row>
    <row r="424" spans="1:7" x14ac:dyDescent="0.35">
      <c r="A424" s="22">
        <v>42683</v>
      </c>
      <c r="B424">
        <v>651.30999999999995</v>
      </c>
      <c r="C424">
        <v>665.77</v>
      </c>
      <c r="D424">
        <v>666.04</v>
      </c>
      <c r="E424">
        <v>651.30999999999995</v>
      </c>
      <c r="F424" t="s">
        <v>804</v>
      </c>
      <c r="G424" s="21">
        <v>-2.3300000000000001E-2</v>
      </c>
    </row>
    <row r="425" spans="1:7" x14ac:dyDescent="0.35">
      <c r="A425" s="22">
        <v>42469</v>
      </c>
      <c r="B425">
        <v>666.88</v>
      </c>
      <c r="C425">
        <v>669.3</v>
      </c>
      <c r="D425">
        <v>672.39</v>
      </c>
      <c r="E425">
        <v>656.22</v>
      </c>
      <c r="F425" t="s">
        <v>805</v>
      </c>
      <c r="G425" s="21">
        <v>-3.5000000000000001E-3</v>
      </c>
    </row>
    <row r="426" spans="1:7" x14ac:dyDescent="0.35">
      <c r="A426" s="22" t="s">
        <v>806</v>
      </c>
      <c r="B426">
        <v>669.19</v>
      </c>
      <c r="C426">
        <v>670.71</v>
      </c>
      <c r="D426">
        <v>679.62</v>
      </c>
      <c r="E426">
        <v>664.77</v>
      </c>
      <c r="F426" t="s">
        <v>807</v>
      </c>
      <c r="G426" s="21">
        <v>2.2000000000000001E-3</v>
      </c>
    </row>
    <row r="427" spans="1:7" x14ac:dyDescent="0.35">
      <c r="A427" s="22" t="s">
        <v>808</v>
      </c>
      <c r="B427">
        <v>667.75</v>
      </c>
      <c r="C427">
        <v>662.87</v>
      </c>
      <c r="D427">
        <v>668.84</v>
      </c>
      <c r="E427">
        <v>652.88</v>
      </c>
      <c r="F427" t="s">
        <v>809</v>
      </c>
      <c r="G427" s="21">
        <v>8.3000000000000001E-3</v>
      </c>
    </row>
    <row r="428" spans="1:7" x14ac:dyDescent="0.35">
      <c r="A428" s="22" t="s">
        <v>810</v>
      </c>
      <c r="B428">
        <v>662.28</v>
      </c>
      <c r="C428">
        <v>654.05999999999995</v>
      </c>
      <c r="D428">
        <v>666.93</v>
      </c>
      <c r="E428">
        <v>653.64</v>
      </c>
      <c r="F428" t="s">
        <v>811</v>
      </c>
      <c r="G428" s="21">
        <v>0.01</v>
      </c>
    </row>
    <row r="429" spans="1:7" x14ac:dyDescent="0.35">
      <c r="A429" s="22">
        <v>42559</v>
      </c>
      <c r="B429">
        <v>655.71</v>
      </c>
      <c r="C429">
        <v>627.39</v>
      </c>
      <c r="D429">
        <v>668.52</v>
      </c>
      <c r="E429">
        <v>622.14</v>
      </c>
      <c r="F429" t="s">
        <v>812</v>
      </c>
      <c r="G429" s="21">
        <v>4.5100000000000001E-2</v>
      </c>
    </row>
    <row r="430" spans="1:7" x14ac:dyDescent="0.35">
      <c r="A430" s="22" t="s">
        <v>813</v>
      </c>
      <c r="B430">
        <v>627.39</v>
      </c>
      <c r="C430">
        <v>655.38</v>
      </c>
      <c r="D430">
        <v>655.38</v>
      </c>
      <c r="E430">
        <v>622.49</v>
      </c>
      <c r="F430" t="s">
        <v>814</v>
      </c>
      <c r="G430" s="21">
        <v>-3.8100000000000002E-2</v>
      </c>
    </row>
    <row r="431" spans="1:7" x14ac:dyDescent="0.35">
      <c r="A431" s="22" t="s">
        <v>815</v>
      </c>
      <c r="B431">
        <v>652.23</v>
      </c>
      <c r="C431">
        <v>651.33000000000004</v>
      </c>
      <c r="D431">
        <v>657.88</v>
      </c>
      <c r="E431">
        <v>642.91</v>
      </c>
      <c r="F431" t="s">
        <v>816</v>
      </c>
      <c r="G431" s="21">
        <v>3.5999999999999999E-3</v>
      </c>
    </row>
    <row r="432" spans="1:7" x14ac:dyDescent="0.35">
      <c r="A432" s="22" t="s">
        <v>817</v>
      </c>
      <c r="B432">
        <v>649.87</v>
      </c>
      <c r="C432">
        <v>664.12</v>
      </c>
      <c r="D432">
        <v>677.35</v>
      </c>
      <c r="E432">
        <v>640.26</v>
      </c>
      <c r="F432" t="s">
        <v>818</v>
      </c>
      <c r="G432" s="21">
        <v>-2.2100000000000002E-2</v>
      </c>
    </row>
    <row r="433" spans="1:7" x14ac:dyDescent="0.35">
      <c r="A433" s="22">
        <v>42650</v>
      </c>
      <c r="B433">
        <v>664.56</v>
      </c>
      <c r="C433">
        <v>658.92</v>
      </c>
      <c r="D433">
        <v>681.75</v>
      </c>
      <c r="E433">
        <v>648.77</v>
      </c>
      <c r="F433" t="s">
        <v>819</v>
      </c>
      <c r="G433" s="21">
        <v>8.8999999999999999E-3</v>
      </c>
    </row>
    <row r="434" spans="1:7" x14ac:dyDescent="0.35">
      <c r="A434" s="22">
        <v>42436</v>
      </c>
      <c r="B434">
        <v>658.68</v>
      </c>
      <c r="C434">
        <v>643.11</v>
      </c>
      <c r="D434">
        <v>665.53</v>
      </c>
      <c r="E434">
        <v>641.96</v>
      </c>
      <c r="F434" t="s">
        <v>820</v>
      </c>
      <c r="G434" s="21">
        <v>2.87E-2</v>
      </c>
    </row>
    <row r="435" spans="1:7" x14ac:dyDescent="0.35">
      <c r="A435" s="22" t="s">
        <v>821</v>
      </c>
      <c r="B435">
        <v>640.29999999999995</v>
      </c>
      <c r="C435">
        <v>616.19000000000005</v>
      </c>
      <c r="D435">
        <v>643.54999999999995</v>
      </c>
      <c r="E435">
        <v>608.26</v>
      </c>
      <c r="F435" t="s">
        <v>822</v>
      </c>
      <c r="G435" s="21">
        <v>3.15E-2</v>
      </c>
    </row>
    <row r="436" spans="1:7" x14ac:dyDescent="0.35">
      <c r="A436" s="22" t="s">
        <v>823</v>
      </c>
      <c r="B436">
        <v>620.77</v>
      </c>
      <c r="C436">
        <v>622.04</v>
      </c>
      <c r="D436">
        <v>632.6</v>
      </c>
      <c r="E436">
        <v>597.67999999999995</v>
      </c>
      <c r="F436" t="s">
        <v>824</v>
      </c>
      <c r="G436" s="21">
        <v>2.5000000000000001E-3</v>
      </c>
    </row>
    <row r="437" spans="1:7" x14ac:dyDescent="0.35">
      <c r="A437" s="22">
        <v>42710</v>
      </c>
      <c r="B437">
        <v>619.25</v>
      </c>
      <c r="C437">
        <v>626.26</v>
      </c>
      <c r="D437">
        <v>630.21</v>
      </c>
      <c r="E437">
        <v>618.16</v>
      </c>
      <c r="F437" t="s">
        <v>825</v>
      </c>
      <c r="G437" s="21">
        <v>-1.6799999999999999E-2</v>
      </c>
    </row>
    <row r="438" spans="1:7" x14ac:dyDescent="0.35">
      <c r="A438" s="22">
        <v>42496</v>
      </c>
      <c r="B438">
        <v>629.84</v>
      </c>
      <c r="C438">
        <v>621.09</v>
      </c>
      <c r="D438">
        <v>633.47</v>
      </c>
      <c r="E438">
        <v>616.98</v>
      </c>
      <c r="F438" t="s">
        <v>826</v>
      </c>
      <c r="G438" s="21">
        <v>1.2800000000000001E-2</v>
      </c>
    </row>
    <row r="439" spans="1:7" x14ac:dyDescent="0.35">
      <c r="A439" s="22" t="s">
        <v>827</v>
      </c>
      <c r="B439">
        <v>621.88</v>
      </c>
      <c r="C439">
        <v>609.98</v>
      </c>
      <c r="D439">
        <v>625.19000000000005</v>
      </c>
      <c r="E439">
        <v>608.46</v>
      </c>
      <c r="F439" t="s">
        <v>828</v>
      </c>
      <c r="G439" s="21">
        <v>2.2599999999999999E-2</v>
      </c>
    </row>
    <row r="440" spans="1:7" x14ac:dyDescent="0.35">
      <c r="A440" s="22" t="s">
        <v>829</v>
      </c>
      <c r="B440">
        <v>608.11</v>
      </c>
      <c r="C440">
        <v>616.11</v>
      </c>
      <c r="D440">
        <v>616.83000000000004</v>
      </c>
      <c r="E440">
        <v>603.23</v>
      </c>
      <c r="F440" t="s">
        <v>830</v>
      </c>
      <c r="G440" s="21">
        <v>-1.09E-2</v>
      </c>
    </row>
    <row r="441" spans="1:7" x14ac:dyDescent="0.35">
      <c r="A441" s="22" t="s">
        <v>831</v>
      </c>
      <c r="B441">
        <v>614.80999999999995</v>
      </c>
      <c r="C441">
        <v>610.13</v>
      </c>
      <c r="D441">
        <v>627.80999999999995</v>
      </c>
      <c r="E441">
        <v>608.49</v>
      </c>
      <c r="F441" t="s">
        <v>832</v>
      </c>
      <c r="G441" s="21">
        <v>6.4999999999999997E-3</v>
      </c>
    </row>
    <row r="442" spans="1:7" x14ac:dyDescent="0.35">
      <c r="A442" s="22">
        <v>42587</v>
      </c>
      <c r="B442">
        <v>610.82000000000005</v>
      </c>
      <c r="C442">
        <v>610.91999999999996</v>
      </c>
      <c r="D442">
        <v>617.55999999999995</v>
      </c>
      <c r="E442">
        <v>597.74</v>
      </c>
      <c r="F442" t="s">
        <v>833</v>
      </c>
      <c r="G442" s="21">
        <v>7.1000000000000004E-3</v>
      </c>
    </row>
    <row r="443" spans="1:7" x14ac:dyDescent="0.35">
      <c r="A443" s="22">
        <v>42374</v>
      </c>
      <c r="B443">
        <v>606.52</v>
      </c>
      <c r="C443">
        <v>595.95000000000005</v>
      </c>
      <c r="D443">
        <v>608.94000000000005</v>
      </c>
      <c r="E443">
        <v>592.42999999999995</v>
      </c>
      <c r="F443" t="s">
        <v>834</v>
      </c>
      <c r="G443" s="21">
        <v>1.3599999999999999E-2</v>
      </c>
    </row>
    <row r="444" spans="1:7" x14ac:dyDescent="0.35">
      <c r="A444" s="22" t="s">
        <v>835</v>
      </c>
      <c r="B444">
        <v>598.37</v>
      </c>
      <c r="C444">
        <v>597.91</v>
      </c>
      <c r="D444">
        <v>601.79</v>
      </c>
      <c r="E444">
        <v>589.97</v>
      </c>
      <c r="F444" t="s">
        <v>836</v>
      </c>
      <c r="G444" s="21">
        <v>9.9000000000000008E-3</v>
      </c>
    </row>
    <row r="445" spans="1:7" x14ac:dyDescent="0.35">
      <c r="A445" s="22" t="s">
        <v>837</v>
      </c>
      <c r="B445">
        <v>592.48</v>
      </c>
      <c r="C445">
        <v>578.32000000000005</v>
      </c>
      <c r="D445">
        <v>592.48</v>
      </c>
      <c r="E445">
        <v>565.29999999999995</v>
      </c>
      <c r="F445" t="s">
        <v>838</v>
      </c>
      <c r="G445" s="21">
        <v>2.18E-2</v>
      </c>
    </row>
    <row r="446" spans="1:7" x14ac:dyDescent="0.35">
      <c r="A446" s="22">
        <v>42647</v>
      </c>
      <c r="B446">
        <v>579.86</v>
      </c>
      <c r="C446">
        <v>575.11</v>
      </c>
      <c r="D446">
        <v>586.36</v>
      </c>
      <c r="E446">
        <v>575.01</v>
      </c>
      <c r="F446" t="s">
        <v>839</v>
      </c>
      <c r="G446" s="21">
        <v>1.3100000000000001E-2</v>
      </c>
    </row>
    <row r="447" spans="1:7" x14ac:dyDescent="0.35">
      <c r="A447" s="22">
        <v>42433</v>
      </c>
      <c r="B447">
        <v>572.34</v>
      </c>
      <c r="C447">
        <v>557.55999999999995</v>
      </c>
      <c r="D447">
        <v>574.46</v>
      </c>
      <c r="E447">
        <v>554.29999999999995</v>
      </c>
      <c r="F447" t="s">
        <v>840</v>
      </c>
      <c r="G447" s="21">
        <v>2.4899999999999999E-2</v>
      </c>
    </row>
    <row r="448" spans="1:7" x14ac:dyDescent="0.35">
      <c r="A448" s="22" t="s">
        <v>841</v>
      </c>
      <c r="B448">
        <v>558.42999999999995</v>
      </c>
      <c r="C448">
        <v>573.69000000000005</v>
      </c>
      <c r="D448">
        <v>576.07000000000005</v>
      </c>
      <c r="E448">
        <v>557.96</v>
      </c>
      <c r="F448" t="s">
        <v>842</v>
      </c>
      <c r="G448" s="21">
        <v>-2.3900000000000001E-2</v>
      </c>
    </row>
    <row r="449" spans="1:7" x14ac:dyDescent="0.35">
      <c r="A449" s="22" t="s">
        <v>843</v>
      </c>
      <c r="B449">
        <v>572.08000000000004</v>
      </c>
      <c r="C449">
        <v>577.65</v>
      </c>
      <c r="D449">
        <v>580.83000000000004</v>
      </c>
      <c r="E449">
        <v>564.88</v>
      </c>
      <c r="F449" t="s">
        <v>844</v>
      </c>
      <c r="G449" s="21">
        <v>-6.4999999999999997E-3</v>
      </c>
    </row>
    <row r="450" spans="1:7" x14ac:dyDescent="0.35">
      <c r="A450" s="22" t="s">
        <v>845</v>
      </c>
      <c r="B450">
        <v>575.82000000000005</v>
      </c>
      <c r="C450">
        <v>579.61</v>
      </c>
      <c r="D450">
        <v>583.53</v>
      </c>
      <c r="E450">
        <v>572.59</v>
      </c>
      <c r="F450" t="s">
        <v>846</v>
      </c>
      <c r="G450" s="21">
        <v>-2.5000000000000001E-3</v>
      </c>
    </row>
    <row r="451" spans="1:7" x14ac:dyDescent="0.35">
      <c r="A451" s="22">
        <v>42524</v>
      </c>
      <c r="B451">
        <v>577.26</v>
      </c>
      <c r="C451">
        <v>575.76</v>
      </c>
      <c r="D451">
        <v>580.95000000000005</v>
      </c>
      <c r="E451">
        <v>571.48</v>
      </c>
      <c r="F451" t="s">
        <v>847</v>
      </c>
      <c r="G451" s="21">
        <v>6.3E-3</v>
      </c>
    </row>
    <row r="452" spans="1:7" x14ac:dyDescent="0.35">
      <c r="A452" s="22" t="s">
        <v>848</v>
      </c>
      <c r="B452">
        <v>573.65</v>
      </c>
      <c r="C452">
        <v>565.61</v>
      </c>
      <c r="D452">
        <v>576.02</v>
      </c>
      <c r="E452">
        <v>559.37</v>
      </c>
      <c r="F452" t="s">
        <v>849</v>
      </c>
      <c r="G452" s="21">
        <v>1.3299999999999999E-2</v>
      </c>
    </row>
    <row r="453" spans="1:7" x14ac:dyDescent="0.35">
      <c r="A453" s="22" t="s">
        <v>850</v>
      </c>
      <c r="B453">
        <v>566.11</v>
      </c>
      <c r="C453">
        <v>555.30999999999995</v>
      </c>
      <c r="D453">
        <v>573.63</v>
      </c>
      <c r="E453">
        <v>555.30999999999995</v>
      </c>
      <c r="F453" t="s">
        <v>851</v>
      </c>
      <c r="G453" s="21">
        <v>2.18E-2</v>
      </c>
    </row>
    <row r="454" spans="1:7" x14ac:dyDescent="0.35">
      <c r="A454" s="22" t="s">
        <v>852</v>
      </c>
      <c r="B454">
        <v>554.03</v>
      </c>
      <c r="C454">
        <v>540.13</v>
      </c>
      <c r="D454">
        <v>555.16</v>
      </c>
      <c r="E454">
        <v>537.80999999999995</v>
      </c>
      <c r="F454" t="s">
        <v>853</v>
      </c>
      <c r="G454" s="21">
        <v>1.7000000000000001E-2</v>
      </c>
    </row>
    <row r="455" spans="1:7" x14ac:dyDescent="0.35">
      <c r="A455" s="22" t="s">
        <v>854</v>
      </c>
      <c r="B455">
        <v>544.75</v>
      </c>
      <c r="C455">
        <v>545.27</v>
      </c>
      <c r="D455">
        <v>548.58000000000004</v>
      </c>
      <c r="E455">
        <v>530.23</v>
      </c>
      <c r="F455" t="s">
        <v>855</v>
      </c>
      <c r="G455" s="21">
        <v>-8.9999999999999998E-4</v>
      </c>
    </row>
    <row r="456" spans="1:7" x14ac:dyDescent="0.35">
      <c r="A456" s="22" t="s">
        <v>856</v>
      </c>
      <c r="B456">
        <v>545.25</v>
      </c>
      <c r="C456">
        <v>522.24</v>
      </c>
      <c r="D456">
        <v>545.71</v>
      </c>
      <c r="E456">
        <v>522.24</v>
      </c>
      <c r="F456" t="s">
        <v>857</v>
      </c>
      <c r="G456" s="21">
        <v>4.41E-2</v>
      </c>
    </row>
    <row r="457" spans="1:7" x14ac:dyDescent="0.35">
      <c r="A457" s="22" t="s">
        <v>858</v>
      </c>
      <c r="B457">
        <v>522.24</v>
      </c>
      <c r="C457">
        <v>532.54</v>
      </c>
      <c r="D457">
        <v>536.57000000000005</v>
      </c>
      <c r="E457">
        <v>513.82000000000005</v>
      </c>
      <c r="F457" t="s">
        <v>859</v>
      </c>
      <c r="G457" s="21">
        <v>-3.8300000000000001E-2</v>
      </c>
    </row>
    <row r="458" spans="1:7" x14ac:dyDescent="0.35">
      <c r="A458" s="22">
        <v>42644</v>
      </c>
      <c r="B458">
        <v>543.04</v>
      </c>
      <c r="C458">
        <v>559.04999999999995</v>
      </c>
      <c r="D458">
        <v>566.02</v>
      </c>
      <c r="E458">
        <v>543.04</v>
      </c>
      <c r="F458" t="s">
        <v>860</v>
      </c>
      <c r="G458" s="21">
        <v>-3.04E-2</v>
      </c>
    </row>
    <row r="459" spans="1:7" x14ac:dyDescent="0.35">
      <c r="A459" s="22">
        <v>42430</v>
      </c>
      <c r="B459">
        <v>560.04999999999995</v>
      </c>
      <c r="C459">
        <v>579.03</v>
      </c>
      <c r="D459">
        <v>579.97</v>
      </c>
      <c r="E459">
        <v>556.36</v>
      </c>
      <c r="F459" t="s">
        <v>861</v>
      </c>
      <c r="G459" s="21">
        <v>-3.2800000000000003E-2</v>
      </c>
    </row>
    <row r="460" spans="1:7" x14ac:dyDescent="0.35">
      <c r="A460" s="22" t="s">
        <v>862</v>
      </c>
      <c r="B460">
        <v>579.03</v>
      </c>
      <c r="C460">
        <v>570.57000000000005</v>
      </c>
      <c r="D460">
        <v>580.82000000000005</v>
      </c>
      <c r="E460">
        <v>566.49</v>
      </c>
      <c r="F460" t="s">
        <v>863</v>
      </c>
      <c r="G460" s="21">
        <v>0.02</v>
      </c>
    </row>
    <row r="461" spans="1:7" x14ac:dyDescent="0.35">
      <c r="A461" s="22" t="s">
        <v>864</v>
      </c>
      <c r="B461">
        <v>567.66999999999996</v>
      </c>
      <c r="C461">
        <v>570.45000000000005</v>
      </c>
      <c r="D461">
        <v>571.28</v>
      </c>
      <c r="E461">
        <v>562.29999999999995</v>
      </c>
      <c r="F461" t="s">
        <v>865</v>
      </c>
      <c r="G461" s="21">
        <v>-8.9999999999999998E-4</v>
      </c>
    </row>
    <row r="462" spans="1:7" x14ac:dyDescent="0.35">
      <c r="A462" s="22" t="s">
        <v>866</v>
      </c>
      <c r="B462">
        <v>568.17999999999995</v>
      </c>
      <c r="C462">
        <v>564.14</v>
      </c>
      <c r="D462">
        <v>579.17999999999995</v>
      </c>
      <c r="E462">
        <v>560.99</v>
      </c>
      <c r="F462" t="s">
        <v>801</v>
      </c>
      <c r="G462" s="21">
        <v>8.3999999999999995E-3</v>
      </c>
    </row>
    <row r="463" spans="1:7" x14ac:dyDescent="0.35">
      <c r="A463" s="22">
        <v>42167</v>
      </c>
      <c r="B463">
        <v>563.42999999999995</v>
      </c>
      <c r="C463">
        <v>570.12</v>
      </c>
      <c r="D463">
        <v>576.63</v>
      </c>
      <c r="E463">
        <v>556.91999999999996</v>
      </c>
      <c r="F463" t="s">
        <v>867</v>
      </c>
      <c r="G463" s="21">
        <v>-1.43E-2</v>
      </c>
    </row>
    <row r="464" spans="1:7" x14ac:dyDescent="0.35">
      <c r="A464" s="22" t="s">
        <v>868</v>
      </c>
      <c r="B464">
        <v>571.62</v>
      </c>
      <c r="C464">
        <v>581.39</v>
      </c>
      <c r="D464">
        <v>581.65</v>
      </c>
      <c r="E464">
        <v>567.95000000000005</v>
      </c>
      <c r="F464" t="s">
        <v>869</v>
      </c>
      <c r="G464" s="21">
        <v>-1.9300000000000001E-2</v>
      </c>
    </row>
    <row r="465" spans="1:7" x14ac:dyDescent="0.35">
      <c r="A465" s="22" t="s">
        <v>870</v>
      </c>
      <c r="B465">
        <v>582.86</v>
      </c>
      <c r="C465">
        <v>605.89</v>
      </c>
      <c r="D465">
        <v>607.69000000000005</v>
      </c>
      <c r="E465">
        <v>582.86</v>
      </c>
      <c r="F465" t="s">
        <v>871</v>
      </c>
      <c r="G465" s="21">
        <v>-3.5700000000000003E-2</v>
      </c>
    </row>
    <row r="466" spans="1:7" x14ac:dyDescent="0.35">
      <c r="A466" s="22" t="s">
        <v>872</v>
      </c>
      <c r="B466">
        <v>604.46</v>
      </c>
      <c r="C466">
        <v>609.77</v>
      </c>
      <c r="D466">
        <v>611.91999999999996</v>
      </c>
      <c r="E466">
        <v>600.84</v>
      </c>
      <c r="F466" t="s">
        <v>873</v>
      </c>
      <c r="G466" s="21">
        <v>-1.11E-2</v>
      </c>
    </row>
    <row r="467" spans="1:7" x14ac:dyDescent="0.35">
      <c r="A467" s="22">
        <v>42227</v>
      </c>
      <c r="B467">
        <v>611.27</v>
      </c>
      <c r="C467">
        <v>612.29</v>
      </c>
      <c r="D467">
        <v>613.79</v>
      </c>
      <c r="E467">
        <v>595.86</v>
      </c>
      <c r="F467" t="s">
        <v>874</v>
      </c>
      <c r="G467" s="21">
        <v>-1.8E-3</v>
      </c>
    </row>
    <row r="468" spans="1:7" x14ac:dyDescent="0.35">
      <c r="A468" s="22">
        <v>42015</v>
      </c>
      <c r="B468">
        <v>612.36</v>
      </c>
      <c r="C468">
        <v>607.92999999999995</v>
      </c>
      <c r="D468">
        <v>617.92999999999995</v>
      </c>
      <c r="E468">
        <v>600.46</v>
      </c>
      <c r="F468" t="s">
        <v>875</v>
      </c>
      <c r="G468" s="21">
        <v>8.2000000000000007E-3</v>
      </c>
    </row>
    <row r="469" spans="1:7" x14ac:dyDescent="0.35">
      <c r="A469" s="22" t="s">
        <v>876</v>
      </c>
      <c r="B469">
        <v>607.37</v>
      </c>
      <c r="C469">
        <v>604.41</v>
      </c>
      <c r="D469">
        <v>608.01</v>
      </c>
      <c r="E469">
        <v>595.62</v>
      </c>
      <c r="F469" t="s">
        <v>877</v>
      </c>
      <c r="G469" s="21">
        <v>9.4000000000000004E-3</v>
      </c>
    </row>
    <row r="470" spans="1:7" x14ac:dyDescent="0.35">
      <c r="A470" s="22" t="s">
        <v>878</v>
      </c>
      <c r="B470">
        <v>601.74</v>
      </c>
      <c r="C470">
        <v>593.87</v>
      </c>
      <c r="D470">
        <v>602.54999999999995</v>
      </c>
      <c r="E470">
        <v>588.26</v>
      </c>
      <c r="F470" t="s">
        <v>879</v>
      </c>
      <c r="G470" s="21">
        <v>1.47E-2</v>
      </c>
    </row>
    <row r="471" spans="1:7" x14ac:dyDescent="0.35">
      <c r="A471" s="22">
        <v>42318</v>
      </c>
      <c r="B471">
        <v>593.02</v>
      </c>
      <c r="C471">
        <v>587.72</v>
      </c>
      <c r="D471">
        <v>599.74</v>
      </c>
      <c r="E471">
        <v>587.25</v>
      </c>
      <c r="F471" t="s">
        <v>880</v>
      </c>
      <c r="G471" s="21">
        <v>8.5000000000000006E-3</v>
      </c>
    </row>
    <row r="472" spans="1:7" x14ac:dyDescent="0.35">
      <c r="A472" s="22">
        <v>42104</v>
      </c>
      <c r="B472">
        <v>588.02</v>
      </c>
      <c r="C472">
        <v>564.58000000000004</v>
      </c>
      <c r="D472">
        <v>593.02</v>
      </c>
      <c r="E472">
        <v>563.95000000000005</v>
      </c>
      <c r="F472" t="s">
        <v>881</v>
      </c>
      <c r="G472" s="21">
        <v>4.5699999999999998E-2</v>
      </c>
    </row>
    <row r="473" spans="1:7" x14ac:dyDescent="0.35">
      <c r="A473" s="22" t="s">
        <v>882</v>
      </c>
      <c r="B473">
        <v>562.30999999999995</v>
      </c>
      <c r="C473">
        <v>571.29</v>
      </c>
      <c r="D473">
        <v>572.15</v>
      </c>
      <c r="E473">
        <v>557.65</v>
      </c>
      <c r="F473" t="s">
        <v>883</v>
      </c>
      <c r="G473" s="21">
        <v>-1.41E-2</v>
      </c>
    </row>
    <row r="474" spans="1:7" x14ac:dyDescent="0.35">
      <c r="A474" s="22" t="s">
        <v>884</v>
      </c>
      <c r="B474">
        <v>570.38</v>
      </c>
      <c r="C474">
        <v>566.74</v>
      </c>
      <c r="D474">
        <v>575.36</v>
      </c>
      <c r="E474">
        <v>565.16</v>
      </c>
      <c r="F474" t="s">
        <v>885</v>
      </c>
      <c r="G474" s="21">
        <v>7.3000000000000001E-3</v>
      </c>
    </row>
    <row r="475" spans="1:7" x14ac:dyDescent="0.35">
      <c r="A475" s="22" t="s">
        <v>886</v>
      </c>
      <c r="B475">
        <v>566.25</v>
      </c>
      <c r="C475">
        <v>569.21</v>
      </c>
      <c r="D475">
        <v>572.25</v>
      </c>
      <c r="E475">
        <v>561.1</v>
      </c>
      <c r="F475" t="s">
        <v>887</v>
      </c>
      <c r="G475" s="21">
        <v>-8.9999999999999998E-4</v>
      </c>
    </row>
    <row r="476" spans="1:7" x14ac:dyDescent="0.35">
      <c r="A476" s="22">
        <v>42164</v>
      </c>
      <c r="B476">
        <v>566.74</v>
      </c>
      <c r="C476">
        <v>557.07000000000005</v>
      </c>
      <c r="D476">
        <v>576.13</v>
      </c>
      <c r="E476">
        <v>554.34</v>
      </c>
      <c r="F476" t="s">
        <v>888</v>
      </c>
      <c r="G476" s="21">
        <v>1.78E-2</v>
      </c>
    </row>
    <row r="477" spans="1:7" x14ac:dyDescent="0.35">
      <c r="A477" s="22" t="s">
        <v>889</v>
      </c>
      <c r="B477">
        <v>556.80999999999995</v>
      </c>
      <c r="C477">
        <v>573.1</v>
      </c>
      <c r="D477">
        <v>573.1</v>
      </c>
      <c r="E477">
        <v>551.47</v>
      </c>
      <c r="F477" t="s">
        <v>890</v>
      </c>
      <c r="G477" s="21">
        <v>-2.46E-2</v>
      </c>
    </row>
    <row r="478" spans="1:7" x14ac:dyDescent="0.35">
      <c r="A478" s="22" t="s">
        <v>891</v>
      </c>
      <c r="B478">
        <v>570.87</v>
      </c>
      <c r="C478">
        <v>550.48</v>
      </c>
      <c r="D478">
        <v>570.87</v>
      </c>
      <c r="E478">
        <v>511.13</v>
      </c>
      <c r="F478" t="s">
        <v>892</v>
      </c>
      <c r="G478" s="21">
        <v>2.6200000000000001E-2</v>
      </c>
    </row>
    <row r="479" spans="1:7" x14ac:dyDescent="0.35">
      <c r="A479" s="22" t="s">
        <v>893</v>
      </c>
      <c r="B479">
        <v>556.29999999999995</v>
      </c>
      <c r="C479">
        <v>588.66999999999996</v>
      </c>
      <c r="D479">
        <v>591.20000000000005</v>
      </c>
      <c r="E479">
        <v>542.30999999999995</v>
      </c>
      <c r="F479" t="s">
        <v>894</v>
      </c>
      <c r="G479" s="21">
        <v>-5.5599999999999997E-2</v>
      </c>
    </row>
    <row r="480" spans="1:7" x14ac:dyDescent="0.35">
      <c r="A480" s="22">
        <v>42255</v>
      </c>
      <c r="B480">
        <v>589.03</v>
      </c>
      <c r="C480">
        <v>603.82000000000005</v>
      </c>
      <c r="D480">
        <v>619.69000000000005</v>
      </c>
      <c r="E480">
        <v>585.97</v>
      </c>
      <c r="F480" t="s">
        <v>895</v>
      </c>
      <c r="G480" s="21">
        <v>-2.4400000000000002E-2</v>
      </c>
    </row>
    <row r="481" spans="1:7" x14ac:dyDescent="0.35">
      <c r="A481" s="22">
        <v>42043</v>
      </c>
      <c r="B481">
        <v>603.76</v>
      </c>
      <c r="C481">
        <v>617.12</v>
      </c>
      <c r="D481">
        <v>617.12</v>
      </c>
      <c r="E481">
        <v>597.75</v>
      </c>
      <c r="F481" t="s">
        <v>896</v>
      </c>
      <c r="G481" s="21">
        <v>-2.7900000000000001E-2</v>
      </c>
    </row>
    <row r="482" spans="1:7" x14ac:dyDescent="0.35">
      <c r="A482" s="22" t="s">
        <v>897</v>
      </c>
      <c r="B482">
        <v>621.05999999999995</v>
      </c>
      <c r="C482">
        <v>629.67999999999995</v>
      </c>
      <c r="D482">
        <v>639.54</v>
      </c>
      <c r="E482">
        <v>621.05999999999995</v>
      </c>
      <c r="F482" t="s">
        <v>898</v>
      </c>
      <c r="G482" s="21">
        <v>-1.6199999999999999E-2</v>
      </c>
    </row>
    <row r="483" spans="1:7" x14ac:dyDescent="0.35">
      <c r="A483" s="22" t="s">
        <v>899</v>
      </c>
      <c r="B483">
        <v>631.26</v>
      </c>
      <c r="C483">
        <v>624.84</v>
      </c>
      <c r="D483">
        <v>637.91</v>
      </c>
      <c r="E483">
        <v>613.58000000000004</v>
      </c>
      <c r="F483" t="s">
        <v>900</v>
      </c>
      <c r="G483" s="21">
        <v>4.1999999999999997E-3</v>
      </c>
    </row>
    <row r="484" spans="1:7" x14ac:dyDescent="0.35">
      <c r="A484" s="22">
        <v>42345</v>
      </c>
      <c r="B484">
        <v>628.63</v>
      </c>
      <c r="C484">
        <v>631.55999999999995</v>
      </c>
      <c r="D484">
        <v>641.05999999999995</v>
      </c>
      <c r="E484">
        <v>622.57000000000005</v>
      </c>
      <c r="F484" t="s">
        <v>901</v>
      </c>
      <c r="G484" s="21">
        <v>2.2000000000000001E-3</v>
      </c>
    </row>
    <row r="485" spans="1:7" x14ac:dyDescent="0.35">
      <c r="A485" s="22">
        <v>42131</v>
      </c>
      <c r="B485">
        <v>627.28</v>
      </c>
      <c r="C485">
        <v>618.75</v>
      </c>
      <c r="D485">
        <v>634.13</v>
      </c>
      <c r="E485">
        <v>613.34</v>
      </c>
      <c r="F485" t="s">
        <v>902</v>
      </c>
      <c r="G485" s="21">
        <v>1.7600000000000001E-2</v>
      </c>
    </row>
    <row r="486" spans="1:7" x14ac:dyDescent="0.35">
      <c r="A486" s="22" t="s">
        <v>903</v>
      </c>
      <c r="B486">
        <v>616.42999999999995</v>
      </c>
      <c r="C486">
        <v>580.16</v>
      </c>
      <c r="D486">
        <v>617.96</v>
      </c>
      <c r="E486">
        <v>579.61</v>
      </c>
      <c r="F486" t="s">
        <v>904</v>
      </c>
      <c r="G486" s="21">
        <v>5.96E-2</v>
      </c>
    </row>
    <row r="487" spans="1:7" x14ac:dyDescent="0.35">
      <c r="A487" s="22" t="s">
        <v>905</v>
      </c>
      <c r="B487">
        <v>581.75</v>
      </c>
      <c r="C487">
        <v>588.33000000000004</v>
      </c>
      <c r="D487">
        <v>595.11</v>
      </c>
      <c r="E487">
        <v>581.75</v>
      </c>
      <c r="F487" t="s">
        <v>906</v>
      </c>
      <c r="G487" s="21">
        <v>-5.0000000000000001E-3</v>
      </c>
    </row>
    <row r="488" spans="1:7" x14ac:dyDescent="0.35">
      <c r="A488" s="22" t="s">
        <v>907</v>
      </c>
      <c r="B488">
        <v>584.70000000000005</v>
      </c>
      <c r="C488">
        <v>583.51</v>
      </c>
      <c r="D488">
        <v>589.33000000000004</v>
      </c>
      <c r="E488">
        <v>575.88</v>
      </c>
      <c r="F488" t="s">
        <v>908</v>
      </c>
      <c r="G488" s="21">
        <v>3.3999999999999998E-3</v>
      </c>
    </row>
    <row r="489" spans="1:7" x14ac:dyDescent="0.35">
      <c r="A489" s="22">
        <v>42191</v>
      </c>
      <c r="B489">
        <v>582.73</v>
      </c>
      <c r="C489">
        <v>580.74</v>
      </c>
      <c r="D489">
        <v>585.51</v>
      </c>
      <c r="E489">
        <v>569.59</v>
      </c>
      <c r="F489" t="s">
        <v>909</v>
      </c>
      <c r="G489" s="21">
        <v>8.0999999999999996E-3</v>
      </c>
    </row>
    <row r="490" spans="1:7" x14ac:dyDescent="0.35">
      <c r="A490" s="22" t="s">
        <v>910</v>
      </c>
      <c r="B490">
        <v>578.07000000000005</v>
      </c>
      <c r="C490">
        <v>571.15</v>
      </c>
      <c r="D490">
        <v>581.24</v>
      </c>
      <c r="E490">
        <v>567.80999999999995</v>
      </c>
      <c r="F490" t="s">
        <v>911</v>
      </c>
      <c r="G490" s="21">
        <v>1.49E-2</v>
      </c>
    </row>
    <row r="491" spans="1:7" x14ac:dyDescent="0.35">
      <c r="A491" s="22" t="s">
        <v>912</v>
      </c>
      <c r="B491">
        <v>569.55999999999995</v>
      </c>
      <c r="C491">
        <v>560.79999999999995</v>
      </c>
      <c r="D491">
        <v>577.03</v>
      </c>
      <c r="E491">
        <v>558.5</v>
      </c>
      <c r="F491" t="s">
        <v>913</v>
      </c>
      <c r="G491" s="21">
        <v>1.38E-2</v>
      </c>
    </row>
    <row r="492" spans="1:7" x14ac:dyDescent="0.35">
      <c r="A492" s="22" t="s">
        <v>914</v>
      </c>
      <c r="B492">
        <v>561.82000000000005</v>
      </c>
      <c r="C492">
        <v>535.82000000000005</v>
      </c>
      <c r="D492">
        <v>561.82000000000005</v>
      </c>
      <c r="E492">
        <v>528.9</v>
      </c>
      <c r="F492" t="s">
        <v>915</v>
      </c>
      <c r="G492" s="21">
        <v>4.5400000000000003E-2</v>
      </c>
    </row>
    <row r="493" spans="1:7" x14ac:dyDescent="0.35">
      <c r="A493" s="22">
        <v>42282</v>
      </c>
      <c r="B493">
        <v>537.44000000000005</v>
      </c>
      <c r="C493">
        <v>554.5</v>
      </c>
      <c r="D493">
        <v>556.20000000000005</v>
      </c>
      <c r="E493">
        <v>537.44000000000005</v>
      </c>
      <c r="F493" t="s">
        <v>916</v>
      </c>
      <c r="G493" s="21">
        <v>-3.0800000000000001E-2</v>
      </c>
    </row>
    <row r="494" spans="1:7" x14ac:dyDescent="0.35">
      <c r="A494" s="22">
        <v>42068</v>
      </c>
      <c r="B494">
        <v>554.51</v>
      </c>
      <c r="C494">
        <v>560.62</v>
      </c>
      <c r="D494">
        <v>563.36</v>
      </c>
      <c r="E494">
        <v>539.04</v>
      </c>
      <c r="F494" t="s">
        <v>917</v>
      </c>
      <c r="G494" s="21">
        <v>-1.4E-2</v>
      </c>
    </row>
    <row r="495" spans="1:7" x14ac:dyDescent="0.35">
      <c r="A495" s="22" t="s">
        <v>918</v>
      </c>
      <c r="B495">
        <v>562.4</v>
      </c>
      <c r="C495">
        <v>567.77</v>
      </c>
      <c r="D495">
        <v>568.47</v>
      </c>
      <c r="E495">
        <v>562.4</v>
      </c>
      <c r="F495" t="s">
        <v>919</v>
      </c>
      <c r="G495" s="21">
        <v>-6.0000000000000001E-3</v>
      </c>
    </row>
    <row r="496" spans="1:7" x14ac:dyDescent="0.35">
      <c r="A496" s="22" t="s">
        <v>920</v>
      </c>
      <c r="B496">
        <v>565.77</v>
      </c>
      <c r="C496">
        <v>568.52</v>
      </c>
      <c r="D496">
        <v>568.83000000000004</v>
      </c>
      <c r="E496">
        <v>557.57000000000005</v>
      </c>
      <c r="F496" t="s">
        <v>921</v>
      </c>
      <c r="G496" s="21">
        <v>-4.4999999999999997E-3</v>
      </c>
    </row>
    <row r="497" spans="1:7" x14ac:dyDescent="0.35">
      <c r="A497" s="22">
        <v>42342</v>
      </c>
      <c r="B497">
        <v>568.32000000000005</v>
      </c>
      <c r="C497">
        <v>556.35</v>
      </c>
      <c r="D497">
        <v>572.76</v>
      </c>
      <c r="E497">
        <v>555.97</v>
      </c>
      <c r="F497" t="s">
        <v>922</v>
      </c>
      <c r="G497" s="21">
        <v>2.58E-2</v>
      </c>
    </row>
    <row r="498" spans="1:7" x14ac:dyDescent="0.35">
      <c r="A498" s="22">
        <v>42128</v>
      </c>
      <c r="B498">
        <v>554.03</v>
      </c>
      <c r="C498">
        <v>548.11</v>
      </c>
      <c r="D498">
        <v>557.65</v>
      </c>
      <c r="E498">
        <v>540.79</v>
      </c>
      <c r="F498" t="s">
        <v>923</v>
      </c>
      <c r="G498" s="21">
        <v>1.1299999999999999E-2</v>
      </c>
    </row>
    <row r="499" spans="1:7" x14ac:dyDescent="0.35">
      <c r="A499" s="22" t="s">
        <v>924</v>
      </c>
      <c r="B499">
        <v>547.85</v>
      </c>
      <c r="C499">
        <v>551.75</v>
      </c>
      <c r="D499">
        <v>554.26</v>
      </c>
      <c r="E499">
        <v>536.87</v>
      </c>
      <c r="F499" t="s">
        <v>925</v>
      </c>
      <c r="G499" s="21">
        <v>-6.4999999999999997E-3</v>
      </c>
    </row>
    <row r="500" spans="1:7" x14ac:dyDescent="0.35">
      <c r="A500" s="22" t="s">
        <v>926</v>
      </c>
      <c r="B500">
        <v>551.41999999999996</v>
      </c>
      <c r="C500">
        <v>576.64</v>
      </c>
      <c r="D500">
        <v>579.39</v>
      </c>
      <c r="E500">
        <v>549.65</v>
      </c>
      <c r="F500" t="s">
        <v>927</v>
      </c>
      <c r="G500" s="21">
        <v>-4.1700000000000001E-2</v>
      </c>
    </row>
    <row r="501" spans="1:7" x14ac:dyDescent="0.35">
      <c r="A501" s="22" t="s">
        <v>928</v>
      </c>
      <c r="B501">
        <v>575.44000000000005</v>
      </c>
      <c r="C501">
        <v>583.26</v>
      </c>
      <c r="D501">
        <v>586.19000000000005</v>
      </c>
      <c r="E501">
        <v>571.91999999999996</v>
      </c>
      <c r="F501" t="s">
        <v>929</v>
      </c>
      <c r="G501" s="21">
        <v>-1.8200000000000001E-2</v>
      </c>
    </row>
    <row r="502" spans="1:7" x14ac:dyDescent="0.35">
      <c r="A502" s="22">
        <v>42219</v>
      </c>
      <c r="B502">
        <v>586.1</v>
      </c>
      <c r="C502">
        <v>594.08000000000004</v>
      </c>
      <c r="D502">
        <v>596.32000000000005</v>
      </c>
      <c r="E502">
        <v>585.48</v>
      </c>
      <c r="F502" t="s">
        <v>930</v>
      </c>
      <c r="G502" s="21">
        <v>-1.32E-2</v>
      </c>
    </row>
    <row r="503" spans="1:7" x14ac:dyDescent="0.35">
      <c r="A503" s="22">
        <v>42007</v>
      </c>
      <c r="B503">
        <v>593.97</v>
      </c>
      <c r="C503">
        <v>591.75</v>
      </c>
      <c r="D503">
        <v>602.4</v>
      </c>
      <c r="E503">
        <v>588.59</v>
      </c>
      <c r="F503" t="s">
        <v>931</v>
      </c>
      <c r="G503" s="21">
        <v>2.3999999999999998E-3</v>
      </c>
    </row>
    <row r="504" spans="1:7" x14ac:dyDescent="0.35">
      <c r="A504" s="22" t="s">
        <v>932</v>
      </c>
      <c r="B504">
        <v>592.57000000000005</v>
      </c>
      <c r="C504">
        <v>590.17999999999995</v>
      </c>
      <c r="D504">
        <v>601.54999999999995</v>
      </c>
      <c r="E504">
        <v>589.74</v>
      </c>
      <c r="F504" t="s">
        <v>933</v>
      </c>
      <c r="G504" s="21">
        <v>9.1000000000000004E-3</v>
      </c>
    </row>
    <row r="505" spans="1:7" x14ac:dyDescent="0.35">
      <c r="A505" s="22" t="s">
        <v>934</v>
      </c>
      <c r="B505">
        <v>587.24</v>
      </c>
      <c r="C505">
        <v>587.24</v>
      </c>
      <c r="D505">
        <v>587.24</v>
      </c>
      <c r="E505">
        <v>587.24</v>
      </c>
      <c r="G505" s="21">
        <v>0</v>
      </c>
    </row>
    <row r="506" spans="1:7" x14ac:dyDescent="0.35">
      <c r="A506" s="22">
        <v>42218</v>
      </c>
      <c r="B506">
        <v>587.24</v>
      </c>
      <c r="C506">
        <v>574.05999999999995</v>
      </c>
      <c r="D506">
        <v>589.02</v>
      </c>
      <c r="E506">
        <v>572.79</v>
      </c>
      <c r="F506" t="s">
        <v>935</v>
      </c>
      <c r="G506" s="21">
        <v>2.2800000000000001E-2</v>
      </c>
    </row>
    <row r="507" spans="1:7" x14ac:dyDescent="0.35">
      <c r="A507" s="22">
        <v>42006</v>
      </c>
      <c r="B507">
        <v>574.13</v>
      </c>
      <c r="C507">
        <v>576.07000000000005</v>
      </c>
      <c r="D507">
        <v>579.73</v>
      </c>
      <c r="E507">
        <v>553.21</v>
      </c>
      <c r="F507" t="s">
        <v>936</v>
      </c>
      <c r="G507" s="21">
        <v>-3.3999999999999998E-3</v>
      </c>
    </row>
    <row r="508" spans="1:7" x14ac:dyDescent="0.35">
      <c r="A508" s="22" t="s">
        <v>937</v>
      </c>
      <c r="B508">
        <v>576.07000000000005</v>
      </c>
      <c r="C508">
        <v>584.89</v>
      </c>
      <c r="D508">
        <v>586.76</v>
      </c>
      <c r="E508">
        <v>574.46</v>
      </c>
      <c r="F508" t="s">
        <v>938</v>
      </c>
      <c r="G508" s="21">
        <v>-1.0800000000000001E-2</v>
      </c>
    </row>
    <row r="509" spans="1:7" x14ac:dyDescent="0.35">
      <c r="A509" s="22" t="s">
        <v>939</v>
      </c>
      <c r="B509">
        <v>582.38</v>
      </c>
      <c r="C509">
        <v>576.5</v>
      </c>
      <c r="D509">
        <v>583.57000000000005</v>
      </c>
      <c r="E509">
        <v>567.82000000000005</v>
      </c>
      <c r="F509" t="s">
        <v>940</v>
      </c>
      <c r="G509" s="21">
        <v>1.32E-2</v>
      </c>
    </row>
    <row r="510" spans="1:7" x14ac:dyDescent="0.35">
      <c r="A510" s="22">
        <v>42309</v>
      </c>
      <c r="B510">
        <v>574.80999999999995</v>
      </c>
      <c r="C510">
        <v>575.86</v>
      </c>
      <c r="D510">
        <v>582.21</v>
      </c>
      <c r="E510">
        <v>571.66999999999996</v>
      </c>
      <c r="F510" t="s">
        <v>941</v>
      </c>
      <c r="G510" s="21">
        <v>8.8999999999999999E-3</v>
      </c>
    </row>
    <row r="511" spans="1:7" x14ac:dyDescent="0.35">
      <c r="A511" s="22">
        <v>42095</v>
      </c>
      <c r="B511">
        <v>569.73</v>
      </c>
      <c r="C511">
        <v>545.42999999999995</v>
      </c>
      <c r="D511">
        <v>570.52</v>
      </c>
      <c r="E511">
        <v>538.82000000000005</v>
      </c>
      <c r="F511" t="s">
        <v>777</v>
      </c>
      <c r="G511" s="21">
        <v>4.4200000000000003E-2</v>
      </c>
    </row>
    <row r="512" spans="1:7" x14ac:dyDescent="0.35">
      <c r="A512" s="22" t="s">
        <v>942</v>
      </c>
      <c r="B512">
        <v>545.63</v>
      </c>
      <c r="C512">
        <v>533.37</v>
      </c>
      <c r="D512">
        <v>546.62</v>
      </c>
      <c r="E512">
        <v>526.61</v>
      </c>
      <c r="F512" t="s">
        <v>943</v>
      </c>
      <c r="G512" s="21">
        <v>2.3E-2</v>
      </c>
    </row>
    <row r="513" spans="1:7" x14ac:dyDescent="0.35">
      <c r="A513" s="22" t="s">
        <v>944</v>
      </c>
      <c r="B513">
        <v>533.37</v>
      </c>
      <c r="C513">
        <v>527.28</v>
      </c>
      <c r="D513">
        <v>543.22</v>
      </c>
      <c r="E513">
        <v>527.28</v>
      </c>
      <c r="F513" t="s">
        <v>945</v>
      </c>
      <c r="G513" s="21">
        <v>1.9699999999999999E-2</v>
      </c>
    </row>
    <row r="514" spans="1:7" x14ac:dyDescent="0.35">
      <c r="A514" s="22" t="s">
        <v>946</v>
      </c>
      <c r="B514">
        <v>523.09</v>
      </c>
      <c r="C514">
        <v>550.79999999999995</v>
      </c>
      <c r="D514">
        <v>554.35</v>
      </c>
      <c r="E514">
        <v>513.05999999999995</v>
      </c>
      <c r="F514" t="s">
        <v>947</v>
      </c>
      <c r="G514" s="21">
        <v>-5.57E-2</v>
      </c>
    </row>
    <row r="515" spans="1:7" x14ac:dyDescent="0.35">
      <c r="A515" s="22">
        <v>41832</v>
      </c>
      <c r="B515">
        <v>553.92999999999995</v>
      </c>
      <c r="C515">
        <v>577.44000000000005</v>
      </c>
      <c r="D515">
        <v>577.44000000000005</v>
      </c>
      <c r="E515">
        <v>544.78</v>
      </c>
      <c r="F515" t="s">
        <v>948</v>
      </c>
      <c r="G515" s="21">
        <v>-4.2900000000000001E-2</v>
      </c>
    </row>
    <row r="516" spans="1:7" x14ac:dyDescent="0.35">
      <c r="A516" s="22" t="s">
        <v>949</v>
      </c>
      <c r="B516">
        <v>578.76</v>
      </c>
      <c r="C516">
        <v>566.22</v>
      </c>
      <c r="D516">
        <v>582.41999999999996</v>
      </c>
      <c r="E516">
        <v>565.09</v>
      </c>
      <c r="F516" t="s">
        <v>950</v>
      </c>
      <c r="G516" s="21">
        <v>2.1499999999999998E-2</v>
      </c>
    </row>
    <row r="517" spans="1:7" x14ac:dyDescent="0.35">
      <c r="A517" s="22" t="s">
        <v>951</v>
      </c>
      <c r="B517">
        <v>566.58000000000004</v>
      </c>
      <c r="C517">
        <v>585.08000000000004</v>
      </c>
      <c r="D517">
        <v>588.41999999999996</v>
      </c>
      <c r="E517">
        <v>565.1</v>
      </c>
      <c r="F517" t="s">
        <v>952</v>
      </c>
      <c r="G517" s="21">
        <v>-3.6499999999999998E-2</v>
      </c>
    </row>
    <row r="518" spans="1:7" x14ac:dyDescent="0.35">
      <c r="A518" s="22" t="s">
        <v>953</v>
      </c>
      <c r="B518">
        <v>588.03</v>
      </c>
      <c r="C518">
        <v>602.4</v>
      </c>
      <c r="D518">
        <v>604.63</v>
      </c>
      <c r="E518">
        <v>588.03</v>
      </c>
      <c r="F518" t="s">
        <v>954</v>
      </c>
      <c r="G518" s="21">
        <v>-2.0500000000000001E-2</v>
      </c>
    </row>
    <row r="519" spans="1:7" x14ac:dyDescent="0.35">
      <c r="A519" s="22">
        <v>41893</v>
      </c>
      <c r="B519">
        <v>600.36</v>
      </c>
      <c r="C519">
        <v>604.75</v>
      </c>
      <c r="D519">
        <v>608.67999999999995</v>
      </c>
      <c r="E519">
        <v>596.95000000000005</v>
      </c>
      <c r="F519" t="s">
        <v>955</v>
      </c>
      <c r="G519" s="21">
        <v>-3.7000000000000002E-3</v>
      </c>
    </row>
    <row r="520" spans="1:7" x14ac:dyDescent="0.35">
      <c r="A520" s="22">
        <v>41681</v>
      </c>
      <c r="B520">
        <v>602.59</v>
      </c>
      <c r="C520">
        <v>603.44000000000005</v>
      </c>
      <c r="D520">
        <v>606.94000000000005</v>
      </c>
      <c r="E520">
        <v>593.53</v>
      </c>
      <c r="F520" t="s">
        <v>956</v>
      </c>
      <c r="G520" s="21">
        <v>2.8999999999999998E-3</v>
      </c>
    </row>
    <row r="521" spans="1:7" x14ac:dyDescent="0.35">
      <c r="A521" s="22" t="s">
        <v>957</v>
      </c>
      <c r="B521">
        <v>600.84</v>
      </c>
      <c r="C521">
        <v>590.33000000000004</v>
      </c>
      <c r="D521">
        <v>600.84</v>
      </c>
      <c r="E521">
        <v>578.44000000000005</v>
      </c>
      <c r="F521" t="s">
        <v>958</v>
      </c>
      <c r="G521" s="21">
        <v>1.5800000000000002E-2</v>
      </c>
    </row>
    <row r="522" spans="1:7" x14ac:dyDescent="0.35">
      <c r="A522" s="22" t="s">
        <v>959</v>
      </c>
      <c r="B522">
        <v>591.51</v>
      </c>
      <c r="C522">
        <v>588.38</v>
      </c>
      <c r="D522">
        <v>603.97</v>
      </c>
      <c r="E522">
        <v>585.70000000000005</v>
      </c>
      <c r="F522" t="s">
        <v>960</v>
      </c>
      <c r="G522" s="21">
        <v>1.06E-2</v>
      </c>
    </row>
    <row r="523" spans="1:7" x14ac:dyDescent="0.35">
      <c r="A523" s="22">
        <v>41983</v>
      </c>
      <c r="B523">
        <v>585.28</v>
      </c>
      <c r="C523">
        <v>615.77</v>
      </c>
      <c r="D523">
        <v>618.29</v>
      </c>
      <c r="E523">
        <v>577.79</v>
      </c>
      <c r="F523" t="s">
        <v>961</v>
      </c>
      <c r="G523" s="21">
        <v>-5.2499999999999998E-2</v>
      </c>
    </row>
    <row r="524" spans="1:7" x14ac:dyDescent="0.35">
      <c r="A524" s="22">
        <v>41769</v>
      </c>
      <c r="B524">
        <v>617.72</v>
      </c>
      <c r="C524">
        <v>612.11</v>
      </c>
      <c r="D524">
        <v>627.49</v>
      </c>
      <c r="E524">
        <v>611.77</v>
      </c>
      <c r="F524" t="s">
        <v>962</v>
      </c>
      <c r="G524" s="21">
        <v>1.01E-2</v>
      </c>
    </row>
    <row r="525" spans="1:7" x14ac:dyDescent="0.35">
      <c r="A525" s="22" t="s">
        <v>963</v>
      </c>
      <c r="B525">
        <v>611.54999999999995</v>
      </c>
      <c r="C525">
        <v>605.03</v>
      </c>
      <c r="D525">
        <v>615.41999999999996</v>
      </c>
      <c r="E525">
        <v>594</v>
      </c>
      <c r="F525" t="s">
        <v>964</v>
      </c>
      <c r="G525" s="21">
        <v>1.09E-2</v>
      </c>
    </row>
    <row r="526" spans="1:7" x14ac:dyDescent="0.35">
      <c r="A526" s="22" t="s">
        <v>965</v>
      </c>
      <c r="B526">
        <v>604.98</v>
      </c>
      <c r="C526">
        <v>617.71</v>
      </c>
      <c r="D526">
        <v>621.36</v>
      </c>
      <c r="E526">
        <v>594.28</v>
      </c>
      <c r="F526" t="s">
        <v>966</v>
      </c>
      <c r="G526" s="21">
        <v>-1.35E-2</v>
      </c>
    </row>
    <row r="527" spans="1:7" x14ac:dyDescent="0.35">
      <c r="A527" s="22" t="s">
        <v>967</v>
      </c>
      <c r="B527">
        <v>613.29</v>
      </c>
      <c r="C527">
        <v>633.86</v>
      </c>
      <c r="D527">
        <v>636.65</v>
      </c>
      <c r="E527">
        <v>612.4</v>
      </c>
      <c r="F527" t="s">
        <v>968</v>
      </c>
      <c r="G527" s="21">
        <v>-3.04E-2</v>
      </c>
    </row>
    <row r="528" spans="1:7" x14ac:dyDescent="0.35">
      <c r="A528" s="22">
        <v>41829</v>
      </c>
      <c r="B528">
        <v>632.5</v>
      </c>
      <c r="C528">
        <v>641.88</v>
      </c>
      <c r="D528">
        <v>642.72</v>
      </c>
      <c r="E528">
        <v>618.54</v>
      </c>
      <c r="F528" t="s">
        <v>969</v>
      </c>
      <c r="G528" s="21">
        <v>-9.5999999999999992E-3</v>
      </c>
    </row>
    <row r="529" spans="1:7" x14ac:dyDescent="0.35">
      <c r="A529" s="22" t="s">
        <v>970</v>
      </c>
      <c r="B529">
        <v>638.65</v>
      </c>
      <c r="C529">
        <v>640.69000000000005</v>
      </c>
      <c r="D529">
        <v>644.55999999999995</v>
      </c>
      <c r="E529">
        <v>636.55999999999995</v>
      </c>
      <c r="F529" t="s">
        <v>971</v>
      </c>
      <c r="G529" s="21">
        <v>3.0999999999999999E-3</v>
      </c>
    </row>
    <row r="530" spans="1:7" x14ac:dyDescent="0.35">
      <c r="A530" s="22" t="s">
        <v>972</v>
      </c>
      <c r="B530">
        <v>636.65</v>
      </c>
      <c r="C530">
        <v>622.71</v>
      </c>
      <c r="D530">
        <v>640.19000000000005</v>
      </c>
      <c r="E530">
        <v>622.16</v>
      </c>
      <c r="F530" t="s">
        <v>973</v>
      </c>
      <c r="G530" s="21">
        <v>2.6599999999999999E-2</v>
      </c>
    </row>
    <row r="531" spans="1:7" x14ac:dyDescent="0.35">
      <c r="A531" s="22" t="s">
        <v>974</v>
      </c>
      <c r="B531">
        <v>620.14</v>
      </c>
      <c r="C531">
        <v>605.41999999999996</v>
      </c>
      <c r="D531">
        <v>622.97</v>
      </c>
      <c r="E531">
        <v>602.80999999999995</v>
      </c>
      <c r="F531" t="s">
        <v>975</v>
      </c>
      <c r="G531" s="21">
        <v>2.63E-2</v>
      </c>
    </row>
    <row r="532" spans="1:7" x14ac:dyDescent="0.35">
      <c r="A532" s="22">
        <v>41920</v>
      </c>
      <c r="B532">
        <v>604.24</v>
      </c>
      <c r="C532">
        <v>602.78</v>
      </c>
      <c r="D532">
        <v>608.46</v>
      </c>
      <c r="E532">
        <v>598.71</v>
      </c>
      <c r="F532" t="s">
        <v>976</v>
      </c>
      <c r="G532" s="21">
        <v>-2E-3</v>
      </c>
    </row>
    <row r="533" spans="1:7" x14ac:dyDescent="0.35">
      <c r="A533" s="22">
        <v>41706</v>
      </c>
      <c r="B533">
        <v>605.42999999999995</v>
      </c>
      <c r="C533">
        <v>592.04</v>
      </c>
      <c r="D533">
        <v>610.88</v>
      </c>
      <c r="E533">
        <v>592.04</v>
      </c>
      <c r="F533" t="s">
        <v>977</v>
      </c>
      <c r="G533" s="21">
        <v>1.9400000000000001E-2</v>
      </c>
    </row>
    <row r="534" spans="1:7" x14ac:dyDescent="0.35">
      <c r="A534" s="22" t="s">
        <v>978</v>
      </c>
      <c r="B534">
        <v>593.9</v>
      </c>
      <c r="C534">
        <v>599.13</v>
      </c>
      <c r="D534">
        <v>599.35</v>
      </c>
      <c r="E534">
        <v>585.75</v>
      </c>
      <c r="F534" t="s">
        <v>979</v>
      </c>
      <c r="G534" s="21">
        <v>-1.04E-2</v>
      </c>
    </row>
    <row r="535" spans="1:7" x14ac:dyDescent="0.35">
      <c r="A535" s="22" t="s">
        <v>980</v>
      </c>
      <c r="B535">
        <v>600.14</v>
      </c>
      <c r="C535">
        <v>598.11</v>
      </c>
      <c r="D535">
        <v>605.78</v>
      </c>
      <c r="E535">
        <v>594.1</v>
      </c>
      <c r="F535" t="s">
        <v>981</v>
      </c>
      <c r="G535" s="21">
        <v>6.4999999999999997E-3</v>
      </c>
    </row>
    <row r="536" spans="1:7" x14ac:dyDescent="0.35">
      <c r="A536" s="22" t="s">
        <v>982</v>
      </c>
      <c r="B536">
        <v>596.26</v>
      </c>
      <c r="C536">
        <v>583.54999999999995</v>
      </c>
      <c r="D536">
        <v>596.26</v>
      </c>
      <c r="E536">
        <v>581.99</v>
      </c>
      <c r="F536" t="s">
        <v>983</v>
      </c>
      <c r="G536" s="21">
        <v>2.3099999999999999E-2</v>
      </c>
    </row>
    <row r="537" spans="1:7" x14ac:dyDescent="0.35">
      <c r="A537" s="22">
        <v>41797</v>
      </c>
      <c r="B537">
        <v>582.77</v>
      </c>
      <c r="C537">
        <v>592.23</v>
      </c>
      <c r="D537">
        <v>594.84</v>
      </c>
      <c r="E537">
        <v>580.54</v>
      </c>
      <c r="F537" t="s">
        <v>984</v>
      </c>
      <c r="G537" s="21">
        <v>-1.12E-2</v>
      </c>
    </row>
    <row r="538" spans="1:7" x14ac:dyDescent="0.35">
      <c r="A538" s="22" t="s">
        <v>985</v>
      </c>
      <c r="B538">
        <v>589.35</v>
      </c>
      <c r="C538">
        <v>578.28</v>
      </c>
      <c r="D538">
        <v>591.38</v>
      </c>
      <c r="E538">
        <v>576.88</v>
      </c>
      <c r="F538" t="s">
        <v>986</v>
      </c>
      <c r="G538" s="21">
        <v>1.8200000000000001E-2</v>
      </c>
    </row>
    <row r="539" spans="1:7" x14ac:dyDescent="0.35">
      <c r="A539" s="22" t="s">
        <v>987</v>
      </c>
      <c r="B539">
        <v>578.82000000000005</v>
      </c>
      <c r="C539">
        <v>561.97</v>
      </c>
      <c r="D539">
        <v>580.75</v>
      </c>
      <c r="E539">
        <v>561.97</v>
      </c>
      <c r="F539" t="s">
        <v>988</v>
      </c>
      <c r="G539" s="21">
        <v>3.2199999999999999E-2</v>
      </c>
    </row>
    <row r="540" spans="1:7" x14ac:dyDescent="0.35">
      <c r="A540" s="22" t="s">
        <v>989</v>
      </c>
      <c r="B540">
        <v>560.78</v>
      </c>
      <c r="C540">
        <v>575.20000000000005</v>
      </c>
      <c r="D540">
        <v>575.87</v>
      </c>
      <c r="E540">
        <v>558.65</v>
      </c>
      <c r="F540" t="s">
        <v>990</v>
      </c>
      <c r="G540" s="21">
        <v>-2.3800000000000002E-2</v>
      </c>
    </row>
    <row r="541" spans="1:7" x14ac:dyDescent="0.35">
      <c r="A541" s="22">
        <v>41857</v>
      </c>
      <c r="B541">
        <v>574.48</v>
      </c>
      <c r="C541">
        <v>559.04</v>
      </c>
      <c r="D541">
        <v>577.27</v>
      </c>
      <c r="E541">
        <v>558.64</v>
      </c>
      <c r="F541" t="s">
        <v>991</v>
      </c>
      <c r="G541" s="21">
        <v>2.76E-2</v>
      </c>
    </row>
    <row r="542" spans="1:7" x14ac:dyDescent="0.35">
      <c r="A542" s="22">
        <v>41645</v>
      </c>
      <c r="B542">
        <v>559.04</v>
      </c>
      <c r="C542">
        <v>560.29</v>
      </c>
      <c r="D542">
        <v>563.12</v>
      </c>
      <c r="E542">
        <v>548.47</v>
      </c>
      <c r="F542" t="s">
        <v>992</v>
      </c>
      <c r="G542" s="21">
        <v>-5.3E-3</v>
      </c>
    </row>
    <row r="543" spans="1:7" x14ac:dyDescent="0.35">
      <c r="A543" s="22" t="s">
        <v>993</v>
      </c>
      <c r="B543">
        <v>562.02</v>
      </c>
      <c r="C543">
        <v>541.42999999999995</v>
      </c>
      <c r="D543">
        <v>565.04999999999995</v>
      </c>
      <c r="E543">
        <v>536.27</v>
      </c>
      <c r="F543" t="s">
        <v>994</v>
      </c>
      <c r="G543" s="21">
        <v>3.7900000000000003E-2</v>
      </c>
    </row>
    <row r="544" spans="1:7" x14ac:dyDescent="0.35">
      <c r="A544" s="22" t="s">
        <v>995</v>
      </c>
      <c r="B544">
        <v>541.49</v>
      </c>
      <c r="C544">
        <v>530.30999999999995</v>
      </c>
      <c r="D544">
        <v>547.20000000000005</v>
      </c>
      <c r="E544">
        <v>525.82000000000005</v>
      </c>
      <c r="F544" t="s">
        <v>996</v>
      </c>
      <c r="G544" s="21">
        <v>2.2700000000000001E-2</v>
      </c>
    </row>
    <row r="545" spans="1:7" x14ac:dyDescent="0.35">
      <c r="A545" s="22">
        <v>41948</v>
      </c>
      <c r="B545">
        <v>529.49</v>
      </c>
      <c r="C545">
        <v>536.82000000000005</v>
      </c>
      <c r="D545">
        <v>537.27</v>
      </c>
      <c r="E545">
        <v>508.51</v>
      </c>
      <c r="F545" t="s">
        <v>997</v>
      </c>
      <c r="G545" s="21">
        <v>-2.3900000000000001E-2</v>
      </c>
    </row>
    <row r="546" spans="1:7" x14ac:dyDescent="0.35">
      <c r="A546" s="22">
        <v>41734</v>
      </c>
      <c r="B546">
        <v>542.46</v>
      </c>
      <c r="C546">
        <v>578.45000000000005</v>
      </c>
      <c r="D546">
        <v>580.11</v>
      </c>
      <c r="E546">
        <v>522.70000000000005</v>
      </c>
      <c r="F546" t="s">
        <v>998</v>
      </c>
      <c r="G546" s="21">
        <v>-6.1499999999999999E-2</v>
      </c>
    </row>
    <row r="547" spans="1:7" x14ac:dyDescent="0.35">
      <c r="A547" s="22" t="s">
        <v>999</v>
      </c>
      <c r="B547">
        <v>578</v>
      </c>
      <c r="C547">
        <v>579.04999999999995</v>
      </c>
      <c r="D547">
        <v>580.70000000000005</v>
      </c>
      <c r="E547">
        <v>570.64</v>
      </c>
      <c r="F547" t="s">
        <v>1000</v>
      </c>
      <c r="G547" s="21">
        <v>-1.6000000000000001E-3</v>
      </c>
    </row>
    <row r="548" spans="1:7" x14ac:dyDescent="0.35">
      <c r="A548" s="22" t="s">
        <v>1001</v>
      </c>
      <c r="B548">
        <v>578.91999999999996</v>
      </c>
      <c r="C548">
        <v>564.21</v>
      </c>
      <c r="D548">
        <v>580.74</v>
      </c>
      <c r="E548">
        <v>556.47</v>
      </c>
      <c r="F548" t="s">
        <v>1002</v>
      </c>
      <c r="G548" s="21">
        <v>2.4E-2</v>
      </c>
    </row>
    <row r="549" spans="1:7" x14ac:dyDescent="0.35">
      <c r="A549" s="22" t="s">
        <v>1003</v>
      </c>
      <c r="B549">
        <v>565.33000000000004</v>
      </c>
      <c r="C549">
        <v>602.66999999999996</v>
      </c>
      <c r="D549">
        <v>602.70000000000005</v>
      </c>
      <c r="E549">
        <v>565.33000000000004</v>
      </c>
      <c r="F549" t="s">
        <v>1004</v>
      </c>
      <c r="G549" s="21">
        <v>-5.8700000000000002E-2</v>
      </c>
    </row>
    <row r="550" spans="1:7" x14ac:dyDescent="0.35">
      <c r="A550" s="22">
        <v>41794</v>
      </c>
      <c r="B550">
        <v>600.57000000000005</v>
      </c>
      <c r="C550">
        <v>595.72</v>
      </c>
      <c r="D550">
        <v>608.89</v>
      </c>
      <c r="E550">
        <v>594.96</v>
      </c>
      <c r="F550" t="s">
        <v>1005</v>
      </c>
      <c r="G550" s="21">
        <v>1.2699999999999999E-2</v>
      </c>
    </row>
    <row r="551" spans="1:7" x14ac:dyDescent="0.35">
      <c r="A551" s="22" t="s">
        <v>1006</v>
      </c>
      <c r="B551">
        <v>593.04</v>
      </c>
      <c r="C551">
        <v>594.29</v>
      </c>
      <c r="D551">
        <v>597.22</v>
      </c>
      <c r="E551">
        <v>574.4</v>
      </c>
      <c r="F551" t="s">
        <v>1007</v>
      </c>
      <c r="G551" s="21">
        <v>-2.0999999999999999E-3</v>
      </c>
    </row>
    <row r="552" spans="1:7" x14ac:dyDescent="0.35">
      <c r="A552" s="22" t="s">
        <v>1008</v>
      </c>
      <c r="B552">
        <v>594.29</v>
      </c>
      <c r="C552">
        <v>606.54999999999995</v>
      </c>
      <c r="D552">
        <v>609.46</v>
      </c>
      <c r="E552">
        <v>582.80999999999995</v>
      </c>
      <c r="F552" t="s">
        <v>1009</v>
      </c>
      <c r="G552" s="21">
        <v>-1.24E-2</v>
      </c>
    </row>
    <row r="553" spans="1:7" x14ac:dyDescent="0.35">
      <c r="A553" s="22" t="s">
        <v>1010</v>
      </c>
      <c r="B553">
        <v>601.75</v>
      </c>
      <c r="C553">
        <v>603.04999999999995</v>
      </c>
      <c r="D553">
        <v>608.51</v>
      </c>
      <c r="E553">
        <v>597.78</v>
      </c>
      <c r="F553" t="s">
        <v>1011</v>
      </c>
      <c r="G553" s="21">
        <v>8.2000000000000007E-3</v>
      </c>
    </row>
    <row r="554" spans="1:7" x14ac:dyDescent="0.35">
      <c r="A554" s="22">
        <v>41885</v>
      </c>
      <c r="B554">
        <v>596.83000000000004</v>
      </c>
      <c r="C554">
        <v>580.84</v>
      </c>
      <c r="D554">
        <v>600.67999999999995</v>
      </c>
      <c r="E554">
        <v>579.98</v>
      </c>
      <c r="F554" t="s">
        <v>1012</v>
      </c>
      <c r="G554" s="21">
        <v>2.9499999999999998E-2</v>
      </c>
    </row>
    <row r="555" spans="1:7" x14ac:dyDescent="0.35">
      <c r="A555" s="22">
        <v>41673</v>
      </c>
      <c r="B555">
        <v>579.75</v>
      </c>
      <c r="C555">
        <v>586.65</v>
      </c>
      <c r="D555">
        <v>587.11</v>
      </c>
      <c r="E555">
        <v>563.54999999999995</v>
      </c>
      <c r="F555" t="s">
        <v>1013</v>
      </c>
      <c r="G555" s="21">
        <v>-1.15E-2</v>
      </c>
    </row>
    <row r="556" spans="1:7" x14ac:dyDescent="0.35">
      <c r="A556" s="22" t="s">
        <v>1014</v>
      </c>
      <c r="B556">
        <v>586.48</v>
      </c>
      <c r="C556">
        <v>571.94000000000005</v>
      </c>
      <c r="D556">
        <v>596.4</v>
      </c>
      <c r="E556">
        <v>570.07000000000005</v>
      </c>
      <c r="F556" t="s">
        <v>1015</v>
      </c>
      <c r="G556" s="21">
        <v>2.7900000000000001E-2</v>
      </c>
    </row>
    <row r="557" spans="1:7" x14ac:dyDescent="0.35">
      <c r="A557" s="22" t="s">
        <v>1016</v>
      </c>
      <c r="B557">
        <v>570.57000000000005</v>
      </c>
      <c r="C557">
        <v>571.91</v>
      </c>
      <c r="D557">
        <v>584.1</v>
      </c>
      <c r="E557">
        <v>565.30999999999995</v>
      </c>
      <c r="F557" t="s">
        <v>1017</v>
      </c>
      <c r="G557" s="21">
        <v>-2.8999999999999998E-3</v>
      </c>
    </row>
    <row r="558" spans="1:7" x14ac:dyDescent="0.35">
      <c r="A558" s="22">
        <v>41884</v>
      </c>
      <c r="B558">
        <v>572.22</v>
      </c>
      <c r="C558">
        <v>550.41</v>
      </c>
      <c r="D558">
        <v>576.17999999999995</v>
      </c>
      <c r="E558">
        <v>548.55999999999995</v>
      </c>
      <c r="F558" t="s">
        <v>1018</v>
      </c>
      <c r="G558" s="21">
        <v>4.0899999999999999E-2</v>
      </c>
    </row>
    <row r="559" spans="1:7" x14ac:dyDescent="0.35">
      <c r="A559" s="22">
        <v>41672</v>
      </c>
      <c r="B559">
        <v>549.76</v>
      </c>
      <c r="C559">
        <v>555.51</v>
      </c>
      <c r="D559">
        <v>558.51</v>
      </c>
      <c r="E559">
        <v>549.37</v>
      </c>
      <c r="F559" t="s">
        <v>1019</v>
      </c>
      <c r="G559" s="21">
        <v>-1.21E-2</v>
      </c>
    </row>
    <row r="560" spans="1:7" x14ac:dyDescent="0.35">
      <c r="A560" s="22" t="s">
        <v>1020</v>
      </c>
      <c r="B560">
        <v>556.52</v>
      </c>
      <c r="C560">
        <v>560.45000000000005</v>
      </c>
      <c r="D560">
        <v>560.49</v>
      </c>
      <c r="E560">
        <v>556.35</v>
      </c>
      <c r="F560" t="s">
        <v>1021</v>
      </c>
      <c r="G560" s="21">
        <v>-6.6E-3</v>
      </c>
    </row>
    <row r="561" spans="1:7" x14ac:dyDescent="0.35">
      <c r="A561" s="22" t="s">
        <v>1022</v>
      </c>
      <c r="B561">
        <v>560.19000000000005</v>
      </c>
      <c r="C561">
        <v>548.22</v>
      </c>
      <c r="D561">
        <v>564.61</v>
      </c>
      <c r="E561">
        <v>547.65</v>
      </c>
      <c r="F561" t="s">
        <v>1023</v>
      </c>
      <c r="G561" s="21">
        <v>3.0499999999999999E-2</v>
      </c>
    </row>
    <row r="562" spans="1:7" x14ac:dyDescent="0.35">
      <c r="A562" s="22">
        <v>41974</v>
      </c>
      <c r="B562">
        <v>543.59</v>
      </c>
      <c r="C562">
        <v>519.30999999999995</v>
      </c>
      <c r="D562">
        <v>549.88</v>
      </c>
      <c r="E562">
        <v>518.78</v>
      </c>
      <c r="F562" t="s">
        <v>1024</v>
      </c>
      <c r="G562" s="21">
        <v>4.7500000000000001E-2</v>
      </c>
    </row>
    <row r="563" spans="1:7" x14ac:dyDescent="0.35">
      <c r="A563" s="22">
        <v>41760</v>
      </c>
      <c r="B563">
        <v>518.94000000000005</v>
      </c>
      <c r="C563">
        <v>505.74</v>
      </c>
      <c r="D563">
        <v>523.05999999999995</v>
      </c>
      <c r="E563">
        <v>504.28</v>
      </c>
      <c r="F563" t="s">
        <v>1025</v>
      </c>
      <c r="G563" s="21">
        <v>2.69E-2</v>
      </c>
    </row>
    <row r="564" spans="1:7" x14ac:dyDescent="0.35">
      <c r="A564" s="22" t="s">
        <v>1026</v>
      </c>
      <c r="B564">
        <v>505.37</v>
      </c>
      <c r="C564">
        <v>506.35</v>
      </c>
      <c r="D564">
        <v>507.02</v>
      </c>
      <c r="E564">
        <v>499.49</v>
      </c>
      <c r="F564" t="s">
        <v>1027</v>
      </c>
      <c r="G564" s="21">
        <v>-2.0999999999999999E-3</v>
      </c>
    </row>
    <row r="565" spans="1:7" x14ac:dyDescent="0.35">
      <c r="A565" s="22" t="s">
        <v>1028</v>
      </c>
      <c r="B565">
        <v>506.41</v>
      </c>
      <c r="C565">
        <v>506.6</v>
      </c>
      <c r="D565">
        <v>510.09</v>
      </c>
      <c r="E565">
        <v>503.03</v>
      </c>
      <c r="F565" t="s">
        <v>1029</v>
      </c>
      <c r="G565" s="21">
        <v>3.8999999999999998E-3</v>
      </c>
    </row>
    <row r="566" spans="1:7" x14ac:dyDescent="0.35">
      <c r="A566" s="22" t="s">
        <v>1030</v>
      </c>
      <c r="B566">
        <v>504.45</v>
      </c>
      <c r="C566">
        <v>503.46</v>
      </c>
      <c r="D566">
        <v>508.29</v>
      </c>
      <c r="E566">
        <v>502.04</v>
      </c>
      <c r="F566" t="s">
        <v>1031</v>
      </c>
      <c r="G566" s="21">
        <v>-3.2000000000000002E-3</v>
      </c>
    </row>
    <row r="567" spans="1:7" x14ac:dyDescent="0.35">
      <c r="A567" s="22">
        <v>41498</v>
      </c>
      <c r="B567">
        <v>506.06</v>
      </c>
      <c r="C567">
        <v>514.13</v>
      </c>
      <c r="D567">
        <v>514.13</v>
      </c>
      <c r="E567">
        <v>503.76</v>
      </c>
      <c r="F567" t="s">
        <v>1032</v>
      </c>
      <c r="G567" s="21">
        <v>-8.0000000000000002E-3</v>
      </c>
    </row>
    <row r="568" spans="1:7" x14ac:dyDescent="0.35">
      <c r="A568" s="22">
        <v>41286</v>
      </c>
      <c r="B568">
        <v>510.12</v>
      </c>
      <c r="C568">
        <v>509.13</v>
      </c>
      <c r="D568">
        <v>514.83000000000004</v>
      </c>
      <c r="E568">
        <v>507.1</v>
      </c>
      <c r="F568" t="s">
        <v>1033</v>
      </c>
      <c r="G568" s="21">
        <v>4.5999999999999999E-3</v>
      </c>
    </row>
    <row r="569" spans="1:7" x14ac:dyDescent="0.35">
      <c r="A569" s="22" t="s">
        <v>1034</v>
      </c>
      <c r="B569">
        <v>507.78</v>
      </c>
      <c r="C569">
        <v>506.94</v>
      </c>
      <c r="D569">
        <v>513.25</v>
      </c>
      <c r="E569">
        <v>504.65</v>
      </c>
      <c r="F569" t="s">
        <v>1035</v>
      </c>
      <c r="G569" s="21">
        <v>4.1999999999999997E-3</v>
      </c>
    </row>
    <row r="570" spans="1:7" x14ac:dyDescent="0.35">
      <c r="A570" s="22" t="s">
        <v>1036</v>
      </c>
      <c r="B570">
        <v>505.64</v>
      </c>
      <c r="C570">
        <v>503.33</v>
      </c>
      <c r="D570">
        <v>510.21</v>
      </c>
      <c r="E570">
        <v>502.83</v>
      </c>
      <c r="F570" t="s">
        <v>1037</v>
      </c>
      <c r="G570" s="21">
        <v>8.6E-3</v>
      </c>
    </row>
    <row r="571" spans="1:7" x14ac:dyDescent="0.35">
      <c r="A571" s="22">
        <v>41558</v>
      </c>
      <c r="B571">
        <v>501.34</v>
      </c>
      <c r="C571">
        <v>498.03</v>
      </c>
      <c r="D571">
        <v>502.12</v>
      </c>
      <c r="E571">
        <v>495.68</v>
      </c>
      <c r="F571" t="s">
        <v>1038</v>
      </c>
      <c r="G571" s="21">
        <v>5.4999999999999997E-3</v>
      </c>
    </row>
    <row r="572" spans="1:7" x14ac:dyDescent="0.35">
      <c r="A572" s="22">
        <v>41344</v>
      </c>
      <c r="B572">
        <v>498.61</v>
      </c>
      <c r="C572">
        <v>497.25</v>
      </c>
      <c r="D572">
        <v>503.3</v>
      </c>
      <c r="E572">
        <v>495.68</v>
      </c>
      <c r="F572" t="s">
        <v>1039</v>
      </c>
      <c r="G572" s="21">
        <v>3.0999999999999999E-3</v>
      </c>
    </row>
    <row r="573" spans="1:7" x14ac:dyDescent="0.35">
      <c r="A573" s="22" t="s">
        <v>1040</v>
      </c>
      <c r="B573">
        <v>497.08</v>
      </c>
      <c r="C573">
        <v>501.27</v>
      </c>
      <c r="D573">
        <v>501.86</v>
      </c>
      <c r="E573">
        <v>494.01</v>
      </c>
      <c r="F573" t="s">
        <v>1041</v>
      </c>
      <c r="G573" s="21">
        <v>-7.3000000000000001E-3</v>
      </c>
    </row>
    <row r="574" spans="1:7" x14ac:dyDescent="0.35">
      <c r="A574" s="22" t="s">
        <v>1042</v>
      </c>
      <c r="B574">
        <v>500.75</v>
      </c>
      <c r="C574">
        <v>501.8</v>
      </c>
      <c r="D574">
        <v>505.74</v>
      </c>
      <c r="E574">
        <v>498.74</v>
      </c>
      <c r="F574" t="s">
        <v>1043</v>
      </c>
      <c r="G574" s="21">
        <v>-2.0000000000000001E-4</v>
      </c>
    </row>
    <row r="575" spans="1:7" x14ac:dyDescent="0.35">
      <c r="A575" s="22" t="s">
        <v>1044</v>
      </c>
      <c r="B575">
        <v>500.83</v>
      </c>
      <c r="C575">
        <v>494.31</v>
      </c>
      <c r="D575">
        <v>502.64</v>
      </c>
      <c r="E575">
        <v>492.37</v>
      </c>
      <c r="F575" t="s">
        <v>1045</v>
      </c>
      <c r="G575" s="21">
        <v>1.2699999999999999E-2</v>
      </c>
    </row>
    <row r="576" spans="1:7" x14ac:dyDescent="0.35">
      <c r="A576" s="22">
        <v>41435</v>
      </c>
      <c r="B576">
        <v>494.53</v>
      </c>
      <c r="C576">
        <v>497.45</v>
      </c>
      <c r="D576">
        <v>502.64</v>
      </c>
      <c r="E576">
        <v>494.53</v>
      </c>
      <c r="F576" t="s">
        <v>1046</v>
      </c>
      <c r="G576" s="21">
        <v>-6.0000000000000001E-3</v>
      </c>
    </row>
    <row r="577" spans="1:7" x14ac:dyDescent="0.35">
      <c r="A577" s="22" t="s">
        <v>1047</v>
      </c>
      <c r="B577">
        <v>497.5</v>
      </c>
      <c r="C577">
        <v>487.12</v>
      </c>
      <c r="D577">
        <v>497.73</v>
      </c>
      <c r="E577">
        <v>486.7</v>
      </c>
      <c r="F577" t="s">
        <v>1048</v>
      </c>
      <c r="G577" s="21">
        <v>2.24E-2</v>
      </c>
    </row>
    <row r="578" spans="1:7" x14ac:dyDescent="0.35">
      <c r="A578" s="22" t="s">
        <v>1049</v>
      </c>
      <c r="B578">
        <v>486.61</v>
      </c>
      <c r="C578">
        <v>476.79</v>
      </c>
      <c r="D578">
        <v>488.98</v>
      </c>
      <c r="E578">
        <v>475.06</v>
      </c>
      <c r="F578" t="s">
        <v>1050</v>
      </c>
      <c r="G578" s="21">
        <v>1.9699999999999999E-2</v>
      </c>
    </row>
    <row r="579" spans="1:7" x14ac:dyDescent="0.35">
      <c r="A579" s="22" t="s">
        <v>1051</v>
      </c>
      <c r="B579">
        <v>477.19</v>
      </c>
      <c r="C579">
        <v>478.32</v>
      </c>
      <c r="D579">
        <v>480.16</v>
      </c>
      <c r="E579">
        <v>473.52</v>
      </c>
      <c r="F579" t="s">
        <v>1052</v>
      </c>
      <c r="G579" s="21">
        <v>1.6000000000000001E-3</v>
      </c>
    </row>
    <row r="580" spans="1:7" x14ac:dyDescent="0.35">
      <c r="A580" s="22">
        <v>41495</v>
      </c>
      <c r="B580">
        <v>476.42</v>
      </c>
      <c r="C580">
        <v>478.98</v>
      </c>
      <c r="D580">
        <v>478.98</v>
      </c>
      <c r="E580">
        <v>469.39</v>
      </c>
      <c r="F580" t="s">
        <v>1053</v>
      </c>
      <c r="G580" s="21">
        <v>-7.4999999999999997E-3</v>
      </c>
    </row>
    <row r="581" spans="1:7" x14ac:dyDescent="0.35">
      <c r="A581" s="22">
        <v>41283</v>
      </c>
      <c r="B581">
        <v>480.03</v>
      </c>
      <c r="C581">
        <v>473.56</v>
      </c>
      <c r="D581">
        <v>480.55</v>
      </c>
      <c r="E581">
        <v>469.3</v>
      </c>
      <c r="F581" t="s">
        <v>1054</v>
      </c>
      <c r="G581" s="21">
        <v>1.55E-2</v>
      </c>
    </row>
    <row r="582" spans="1:7" x14ac:dyDescent="0.35">
      <c r="A582" s="22" t="s">
        <v>1055</v>
      </c>
      <c r="B582">
        <v>472.7</v>
      </c>
      <c r="C582">
        <v>485.26</v>
      </c>
      <c r="D582">
        <v>490.54</v>
      </c>
      <c r="E582">
        <v>462.13</v>
      </c>
      <c r="F582" t="s">
        <v>1056</v>
      </c>
      <c r="G582" s="21">
        <v>-2.9000000000000001E-2</v>
      </c>
    </row>
    <row r="583" spans="1:7" x14ac:dyDescent="0.35">
      <c r="A583" s="22" t="s">
        <v>1057</v>
      </c>
      <c r="B583">
        <v>486.82</v>
      </c>
      <c r="C583">
        <v>507.27</v>
      </c>
      <c r="D583">
        <v>513.34</v>
      </c>
      <c r="E583">
        <v>482.78</v>
      </c>
      <c r="F583" t="s">
        <v>1058</v>
      </c>
      <c r="G583" s="21">
        <v>-4.1300000000000003E-2</v>
      </c>
    </row>
    <row r="584" spans="1:7" x14ac:dyDescent="0.35">
      <c r="A584" s="22">
        <v>41586</v>
      </c>
      <c r="B584">
        <v>507.79</v>
      </c>
      <c r="C584">
        <v>501.35</v>
      </c>
      <c r="D584">
        <v>510.22</v>
      </c>
      <c r="E584">
        <v>496.35</v>
      </c>
      <c r="F584" t="s">
        <v>1059</v>
      </c>
      <c r="G584" s="21">
        <v>1.43E-2</v>
      </c>
    </row>
    <row r="585" spans="1:7" x14ac:dyDescent="0.35">
      <c r="A585" s="22">
        <v>41372</v>
      </c>
      <c r="B585">
        <v>500.62</v>
      </c>
      <c r="C585">
        <v>494.38</v>
      </c>
      <c r="D585">
        <v>503.51</v>
      </c>
      <c r="E585">
        <v>491.91</v>
      </c>
      <c r="F585" t="s">
        <v>1060</v>
      </c>
      <c r="G585" s="21">
        <v>1.2E-2</v>
      </c>
    </row>
    <row r="586" spans="1:7" x14ac:dyDescent="0.35">
      <c r="A586" s="22" t="s">
        <v>1061</v>
      </c>
      <c r="B586">
        <v>494.66</v>
      </c>
      <c r="C586">
        <v>493.81</v>
      </c>
      <c r="D586">
        <v>495.71</v>
      </c>
      <c r="E586">
        <v>485.56</v>
      </c>
      <c r="F586" t="s">
        <v>1062</v>
      </c>
      <c r="G586" s="21">
        <v>1.5E-3</v>
      </c>
    </row>
    <row r="587" spans="1:7" x14ac:dyDescent="0.35">
      <c r="A587" s="22" t="s">
        <v>1063</v>
      </c>
      <c r="B587">
        <v>493.93</v>
      </c>
      <c r="C587">
        <v>505.11</v>
      </c>
      <c r="D587">
        <v>508.64</v>
      </c>
      <c r="E587">
        <v>487.92</v>
      </c>
      <c r="F587" t="s">
        <v>1064</v>
      </c>
      <c r="G587" s="21">
        <v>-1.95E-2</v>
      </c>
    </row>
    <row r="588" spans="1:7" x14ac:dyDescent="0.35">
      <c r="A588" s="22" t="s">
        <v>1065</v>
      </c>
      <c r="B588">
        <v>503.76</v>
      </c>
      <c r="C588">
        <v>496.12</v>
      </c>
      <c r="D588">
        <v>505.38</v>
      </c>
      <c r="E588">
        <v>492.95</v>
      </c>
      <c r="F588" t="s">
        <v>1066</v>
      </c>
      <c r="G588" s="21">
        <v>1.9800000000000002E-2</v>
      </c>
    </row>
    <row r="589" spans="1:7" x14ac:dyDescent="0.35">
      <c r="A589" s="22">
        <v>41462</v>
      </c>
      <c r="B589">
        <v>493.99</v>
      </c>
      <c r="C589">
        <v>485.24</v>
      </c>
      <c r="D589">
        <v>493.99</v>
      </c>
      <c r="E589">
        <v>480.58</v>
      </c>
      <c r="F589" t="s">
        <v>1067</v>
      </c>
      <c r="G589" s="21">
        <v>1.72E-2</v>
      </c>
    </row>
    <row r="590" spans="1:7" x14ac:dyDescent="0.35">
      <c r="A590" s="22" t="s">
        <v>1068</v>
      </c>
      <c r="B590">
        <v>485.66</v>
      </c>
      <c r="C590">
        <v>478.98</v>
      </c>
      <c r="D590">
        <v>492.93</v>
      </c>
      <c r="E590">
        <v>475.26</v>
      </c>
      <c r="F590" t="s">
        <v>1069</v>
      </c>
      <c r="G590" s="21">
        <v>9.4000000000000004E-3</v>
      </c>
    </row>
    <row r="591" spans="1:7" x14ac:dyDescent="0.35">
      <c r="A591" s="22" t="s">
        <v>1070</v>
      </c>
      <c r="B591">
        <v>481.13</v>
      </c>
      <c r="C591">
        <v>500.44</v>
      </c>
      <c r="D591">
        <v>501.14</v>
      </c>
      <c r="E591">
        <v>466.41</v>
      </c>
      <c r="F591" t="s">
        <v>1071</v>
      </c>
      <c r="G591" s="21">
        <v>-3.5499999999999997E-2</v>
      </c>
    </row>
    <row r="592" spans="1:7" x14ac:dyDescent="0.35">
      <c r="A592" s="22" t="s">
        <v>1072</v>
      </c>
      <c r="B592">
        <v>498.84</v>
      </c>
      <c r="C592">
        <v>510.52</v>
      </c>
      <c r="D592">
        <v>511.23</v>
      </c>
      <c r="E592">
        <v>495.23</v>
      </c>
      <c r="F592" t="s">
        <v>1073</v>
      </c>
      <c r="G592" s="21">
        <v>-0.02</v>
      </c>
    </row>
    <row r="593" spans="1:7" x14ac:dyDescent="0.35">
      <c r="A593" s="22">
        <v>41523</v>
      </c>
      <c r="B593">
        <v>509.03</v>
      </c>
      <c r="C593">
        <v>530.97</v>
      </c>
      <c r="D593">
        <v>533.15</v>
      </c>
      <c r="E593">
        <v>509.03</v>
      </c>
      <c r="F593" t="s">
        <v>1074</v>
      </c>
      <c r="G593" s="21">
        <v>-3.5900000000000001E-2</v>
      </c>
    </row>
    <row r="594" spans="1:7" x14ac:dyDescent="0.35">
      <c r="A594" s="22">
        <v>41311</v>
      </c>
      <c r="B594">
        <v>527.97</v>
      </c>
      <c r="C594">
        <v>518.29999999999995</v>
      </c>
      <c r="D594">
        <v>527.97</v>
      </c>
      <c r="E594">
        <v>508.86</v>
      </c>
      <c r="F594" t="s">
        <v>1075</v>
      </c>
      <c r="G594" s="21">
        <v>1.8499999999999999E-2</v>
      </c>
    </row>
    <row r="595" spans="1:7" x14ac:dyDescent="0.35">
      <c r="A595" s="22" t="s">
        <v>1076</v>
      </c>
      <c r="B595">
        <v>518.39</v>
      </c>
      <c r="C595">
        <v>504.38</v>
      </c>
      <c r="D595">
        <v>526.58000000000004</v>
      </c>
      <c r="E595">
        <v>504.38</v>
      </c>
      <c r="F595" t="s">
        <v>1077</v>
      </c>
      <c r="G595" s="21">
        <v>3.6299999999999999E-2</v>
      </c>
    </row>
    <row r="596" spans="1:7" x14ac:dyDescent="0.35">
      <c r="A596" s="22" t="s">
        <v>1078</v>
      </c>
      <c r="B596">
        <v>500.24</v>
      </c>
      <c r="C596">
        <v>487.71</v>
      </c>
      <c r="D596">
        <v>506.58</v>
      </c>
      <c r="E596">
        <v>485.42</v>
      </c>
      <c r="F596" t="s">
        <v>1079</v>
      </c>
      <c r="G596" s="21">
        <v>2.5899999999999999E-2</v>
      </c>
    </row>
    <row r="597" spans="1:7" x14ac:dyDescent="0.35">
      <c r="A597" s="22">
        <v>41613</v>
      </c>
      <c r="B597">
        <v>487.6</v>
      </c>
      <c r="C597">
        <v>486.96</v>
      </c>
      <c r="D597">
        <v>491.85</v>
      </c>
      <c r="E597">
        <v>480.79</v>
      </c>
      <c r="F597" t="s">
        <v>1080</v>
      </c>
      <c r="G597" s="21">
        <v>3.0999999999999999E-3</v>
      </c>
    </row>
    <row r="598" spans="1:7" x14ac:dyDescent="0.35">
      <c r="A598" s="22">
        <v>41399</v>
      </c>
      <c r="B598">
        <v>486.1</v>
      </c>
      <c r="C598">
        <v>478.94</v>
      </c>
      <c r="D598">
        <v>491.56</v>
      </c>
      <c r="E598">
        <v>478.94</v>
      </c>
      <c r="F598" t="s">
        <v>1081</v>
      </c>
      <c r="G598" s="21">
        <v>2.29E-2</v>
      </c>
    </row>
    <row r="599" spans="1:7" x14ac:dyDescent="0.35">
      <c r="A599" s="22" t="s">
        <v>1082</v>
      </c>
      <c r="B599">
        <v>475.24</v>
      </c>
      <c r="C599">
        <v>474.54</v>
      </c>
      <c r="D599">
        <v>476.42</v>
      </c>
      <c r="E599">
        <v>470.81</v>
      </c>
      <c r="F599" t="s">
        <v>1083</v>
      </c>
      <c r="G599" s="21">
        <v>1.5E-3</v>
      </c>
    </row>
    <row r="600" spans="1:7" x14ac:dyDescent="0.35">
      <c r="A600" s="22" t="s">
        <v>1084</v>
      </c>
      <c r="B600">
        <v>474.51</v>
      </c>
      <c r="C600">
        <v>471.81</v>
      </c>
      <c r="D600">
        <v>479.12</v>
      </c>
      <c r="E600">
        <v>466.78</v>
      </c>
      <c r="F600" t="s">
        <v>1085</v>
      </c>
      <c r="G600" s="21">
        <v>2.7000000000000001E-3</v>
      </c>
    </row>
    <row r="601" spans="1:7" x14ac:dyDescent="0.35">
      <c r="A601" s="22" t="s">
        <v>1086</v>
      </c>
      <c r="B601">
        <v>473.21</v>
      </c>
      <c r="C601">
        <v>491.65</v>
      </c>
      <c r="D601">
        <v>491.77</v>
      </c>
      <c r="E601">
        <v>466.56</v>
      </c>
      <c r="F601" t="s">
        <v>1087</v>
      </c>
      <c r="G601" s="21">
        <v>-4.2599999999999999E-2</v>
      </c>
    </row>
    <row r="602" spans="1:7" x14ac:dyDescent="0.35">
      <c r="A602" s="22">
        <v>41459</v>
      </c>
      <c r="B602">
        <v>494.27</v>
      </c>
      <c r="C602">
        <v>505</v>
      </c>
      <c r="D602">
        <v>518.46</v>
      </c>
      <c r="E602">
        <v>490.82</v>
      </c>
      <c r="F602" t="s">
        <v>1088</v>
      </c>
      <c r="G602" s="21">
        <v>-1.6500000000000001E-2</v>
      </c>
    </row>
    <row r="603" spans="1:7" x14ac:dyDescent="0.35">
      <c r="A603" s="22" t="s">
        <v>1089</v>
      </c>
      <c r="B603">
        <v>502.58</v>
      </c>
      <c r="C603">
        <v>490.66</v>
      </c>
      <c r="D603">
        <v>514.1</v>
      </c>
      <c r="E603">
        <v>489.9</v>
      </c>
      <c r="F603" t="s">
        <v>1090</v>
      </c>
      <c r="G603" s="21">
        <v>2.35E-2</v>
      </c>
    </row>
    <row r="604" spans="1:7" x14ac:dyDescent="0.35">
      <c r="A604" s="22" t="s">
        <v>1091</v>
      </c>
      <c r="B604">
        <v>491.04</v>
      </c>
      <c r="C604">
        <v>491.76</v>
      </c>
      <c r="D604">
        <v>496.32</v>
      </c>
      <c r="E604">
        <v>483.5</v>
      </c>
      <c r="F604" t="s">
        <v>1092</v>
      </c>
      <c r="G604" s="21">
        <v>2.0999999999999999E-3</v>
      </c>
    </row>
    <row r="605" spans="1:7" x14ac:dyDescent="0.35">
      <c r="A605" s="22" t="s">
        <v>1093</v>
      </c>
      <c r="B605">
        <v>489.99</v>
      </c>
      <c r="C605">
        <v>481.53</v>
      </c>
      <c r="D605">
        <v>500.59</v>
      </c>
      <c r="E605">
        <v>477.55</v>
      </c>
      <c r="F605" t="s">
        <v>1094</v>
      </c>
      <c r="G605" s="21">
        <v>1.7899999999999999E-2</v>
      </c>
    </row>
    <row r="606" spans="1:7" x14ac:dyDescent="0.35">
      <c r="A606" s="22">
        <v>41550</v>
      </c>
      <c r="B606">
        <v>481.35</v>
      </c>
      <c r="C606">
        <v>471.29</v>
      </c>
      <c r="D606">
        <v>481.35</v>
      </c>
      <c r="E606">
        <v>469.78</v>
      </c>
      <c r="F606" t="s">
        <v>1095</v>
      </c>
      <c r="G606" s="21">
        <v>2.2700000000000001E-2</v>
      </c>
    </row>
    <row r="607" spans="1:7" x14ac:dyDescent="0.35">
      <c r="A607" s="22">
        <v>41336</v>
      </c>
      <c r="B607">
        <v>470.68</v>
      </c>
      <c r="C607">
        <v>477.04</v>
      </c>
      <c r="D607">
        <v>479.06</v>
      </c>
      <c r="E607">
        <v>461.61</v>
      </c>
      <c r="F607" t="s">
        <v>1096</v>
      </c>
      <c r="G607" s="21">
        <v>-1.3599999999999999E-2</v>
      </c>
    </row>
    <row r="608" spans="1:7" x14ac:dyDescent="0.35">
      <c r="A608" s="22" t="s">
        <v>1097</v>
      </c>
      <c r="B608">
        <v>477.15</v>
      </c>
      <c r="C608">
        <v>481.67</v>
      </c>
      <c r="D608">
        <v>483.97</v>
      </c>
      <c r="E608">
        <v>459.64</v>
      </c>
      <c r="F608" t="s">
        <v>1098</v>
      </c>
      <c r="G608" s="21">
        <v>-1.1000000000000001E-3</v>
      </c>
    </row>
    <row r="609" spans="1:7" x14ac:dyDescent="0.35">
      <c r="A609" s="22" t="s">
        <v>1099</v>
      </c>
      <c r="B609">
        <v>477.69</v>
      </c>
      <c r="C609">
        <v>497.87</v>
      </c>
      <c r="D609">
        <v>497.87</v>
      </c>
      <c r="E609">
        <v>470.23</v>
      </c>
      <c r="F609" t="s">
        <v>1100</v>
      </c>
      <c r="G609" s="21">
        <v>-3.3099999999999997E-2</v>
      </c>
    </row>
    <row r="610" spans="1:7" x14ac:dyDescent="0.35">
      <c r="A610" s="22">
        <v>41335</v>
      </c>
      <c r="B610">
        <v>494.03</v>
      </c>
      <c r="C610">
        <v>487.06</v>
      </c>
      <c r="D610">
        <v>495.72</v>
      </c>
      <c r="E610">
        <v>477.36</v>
      </c>
      <c r="F610" t="s">
        <v>1101</v>
      </c>
      <c r="G610" s="21">
        <v>2.1899999999999999E-2</v>
      </c>
    </row>
    <row r="611" spans="1:7" x14ac:dyDescent="0.35">
      <c r="A611" s="22" t="s">
        <v>1102</v>
      </c>
      <c r="B611">
        <v>483.42</v>
      </c>
      <c r="C611">
        <v>474.27</v>
      </c>
      <c r="D611">
        <v>490.89</v>
      </c>
      <c r="E611">
        <v>473.23</v>
      </c>
      <c r="F611" t="s">
        <v>1103</v>
      </c>
      <c r="G611" s="21">
        <v>3.2800000000000003E-2</v>
      </c>
    </row>
    <row r="612" spans="1:7" x14ac:dyDescent="0.35">
      <c r="A612" s="22" t="s">
        <v>1104</v>
      </c>
      <c r="B612">
        <v>468.09</v>
      </c>
      <c r="C612">
        <v>453.91</v>
      </c>
      <c r="D612">
        <v>468.09</v>
      </c>
      <c r="E612">
        <v>440.48</v>
      </c>
      <c r="F612" t="s">
        <v>1105</v>
      </c>
      <c r="G612" s="21">
        <v>3.0700000000000002E-2</v>
      </c>
    </row>
    <row r="613" spans="1:7" x14ac:dyDescent="0.35">
      <c r="A613" s="22" t="s">
        <v>1106</v>
      </c>
      <c r="B613">
        <v>454.16</v>
      </c>
      <c r="C613">
        <v>458.08</v>
      </c>
      <c r="D613">
        <v>470.34</v>
      </c>
      <c r="E613">
        <v>450.28</v>
      </c>
      <c r="F613" t="s">
        <v>1107</v>
      </c>
      <c r="G613" s="21">
        <v>-1.84E-2</v>
      </c>
    </row>
    <row r="614" spans="1:7" x14ac:dyDescent="0.35">
      <c r="A614" s="22">
        <v>41426</v>
      </c>
      <c r="B614">
        <v>462.69</v>
      </c>
      <c r="C614">
        <v>428.53</v>
      </c>
      <c r="D614">
        <v>469.16</v>
      </c>
      <c r="E614">
        <v>426.86</v>
      </c>
      <c r="F614" t="s">
        <v>1108</v>
      </c>
      <c r="G614" s="21">
        <v>8.5999999999999993E-2</v>
      </c>
    </row>
    <row r="615" spans="1:7" x14ac:dyDescent="0.35">
      <c r="A615" s="22" t="s">
        <v>1109</v>
      </c>
      <c r="B615">
        <v>426.06</v>
      </c>
      <c r="C615">
        <v>415.5</v>
      </c>
      <c r="D615">
        <v>426.48</v>
      </c>
      <c r="E615">
        <v>413.68</v>
      </c>
      <c r="F615" t="s">
        <v>1110</v>
      </c>
      <c r="G615" s="21">
        <v>2.98E-2</v>
      </c>
    </row>
    <row r="616" spans="1:7" x14ac:dyDescent="0.35">
      <c r="A616" s="22" t="s">
        <v>1111</v>
      </c>
      <c r="B616">
        <v>413.73</v>
      </c>
      <c r="C616">
        <v>397.25</v>
      </c>
      <c r="D616">
        <v>413.73</v>
      </c>
      <c r="E616">
        <v>396.57</v>
      </c>
      <c r="F616" t="s">
        <v>1112</v>
      </c>
      <c r="G616" s="21">
        <v>4.2700000000000002E-2</v>
      </c>
    </row>
    <row r="617" spans="1:7" x14ac:dyDescent="0.35">
      <c r="A617" s="22" t="s">
        <v>1113</v>
      </c>
      <c r="B617">
        <v>396.78</v>
      </c>
      <c r="C617">
        <v>391.37</v>
      </c>
      <c r="D617">
        <v>400.71</v>
      </c>
      <c r="E617">
        <v>391.31</v>
      </c>
      <c r="F617" t="s">
        <v>1114</v>
      </c>
      <c r="G617" s="21">
        <v>1.17E-2</v>
      </c>
    </row>
    <row r="618" spans="1:7" x14ac:dyDescent="0.35">
      <c r="A618" s="22">
        <v>41164</v>
      </c>
      <c r="B618">
        <v>392.21</v>
      </c>
      <c r="C618">
        <v>384.84</v>
      </c>
      <c r="D618">
        <v>394.61</v>
      </c>
      <c r="E618">
        <v>383.53</v>
      </c>
      <c r="F618" t="s">
        <v>1115</v>
      </c>
      <c r="G618" s="21">
        <v>2.1899999999999999E-2</v>
      </c>
    </row>
    <row r="619" spans="1:7" x14ac:dyDescent="0.35">
      <c r="A619" s="22">
        <v>40951</v>
      </c>
      <c r="B619">
        <v>383.8</v>
      </c>
      <c r="C619">
        <v>377.94</v>
      </c>
      <c r="D619">
        <v>387.05</v>
      </c>
      <c r="E619">
        <v>375.78</v>
      </c>
      <c r="F619" t="s">
        <v>1116</v>
      </c>
      <c r="G619" s="21">
        <v>1.5800000000000002E-2</v>
      </c>
    </row>
    <row r="620" spans="1:7" x14ac:dyDescent="0.35">
      <c r="A620" s="22" t="s">
        <v>1117</v>
      </c>
      <c r="B620">
        <v>377.82</v>
      </c>
      <c r="C620">
        <v>382.43</v>
      </c>
      <c r="D620">
        <v>382.62</v>
      </c>
      <c r="E620">
        <v>374.15</v>
      </c>
      <c r="F620" t="s">
        <v>1118</v>
      </c>
      <c r="G620" s="21">
        <v>-1.0200000000000001E-2</v>
      </c>
    </row>
    <row r="621" spans="1:7" x14ac:dyDescent="0.35">
      <c r="A621" s="22" t="s">
        <v>1119</v>
      </c>
      <c r="B621">
        <v>381.71</v>
      </c>
      <c r="C621">
        <v>384.83</v>
      </c>
      <c r="D621">
        <v>386.22</v>
      </c>
      <c r="E621">
        <v>381.14</v>
      </c>
      <c r="F621" t="s">
        <v>1120</v>
      </c>
      <c r="G621" s="21">
        <v>-1.04E-2</v>
      </c>
    </row>
    <row r="622" spans="1:7" x14ac:dyDescent="0.35">
      <c r="A622" s="22">
        <v>41224</v>
      </c>
      <c r="B622">
        <v>385.71</v>
      </c>
      <c r="C622">
        <v>386.71</v>
      </c>
      <c r="D622">
        <v>390.65</v>
      </c>
      <c r="E622">
        <v>383.16</v>
      </c>
      <c r="F622" t="s">
        <v>1121</v>
      </c>
      <c r="G622" s="21">
        <v>-2.5999999999999999E-3</v>
      </c>
    </row>
    <row r="623" spans="1:7" x14ac:dyDescent="0.35">
      <c r="A623" s="22">
        <v>41010</v>
      </c>
      <c r="B623">
        <v>386.71</v>
      </c>
      <c r="C623">
        <v>372.39</v>
      </c>
      <c r="D623">
        <v>386.79</v>
      </c>
      <c r="E623">
        <v>372.39</v>
      </c>
      <c r="F623" t="s">
        <v>1122</v>
      </c>
      <c r="G623" s="21">
        <v>3.0499999999999999E-2</v>
      </c>
    </row>
    <row r="624" spans="1:7" x14ac:dyDescent="0.35">
      <c r="A624" s="22" t="s">
        <v>1123</v>
      </c>
      <c r="B624">
        <v>375.26</v>
      </c>
      <c r="C624">
        <v>390.96</v>
      </c>
      <c r="D624">
        <v>392.6</v>
      </c>
      <c r="E624">
        <v>374.98</v>
      </c>
      <c r="F624" t="s">
        <v>1124</v>
      </c>
      <c r="G624" s="21">
        <v>-4.2000000000000003E-2</v>
      </c>
    </row>
    <row r="625" spans="1:7" x14ac:dyDescent="0.35">
      <c r="A625" s="22" t="s">
        <v>1125</v>
      </c>
      <c r="B625">
        <v>391.7</v>
      </c>
      <c r="C625">
        <v>397.77</v>
      </c>
      <c r="D625">
        <v>399.22</v>
      </c>
      <c r="E625">
        <v>389.5</v>
      </c>
      <c r="F625" t="s">
        <v>1126</v>
      </c>
      <c r="G625" s="21">
        <v>-1.6400000000000001E-2</v>
      </c>
    </row>
    <row r="626" spans="1:7" x14ac:dyDescent="0.35">
      <c r="A626" s="22" t="s">
        <v>1127</v>
      </c>
      <c r="B626">
        <v>398.23</v>
      </c>
      <c r="C626">
        <v>392.88</v>
      </c>
      <c r="D626">
        <v>400.97</v>
      </c>
      <c r="E626">
        <v>390.72</v>
      </c>
      <c r="F626" t="s">
        <v>1128</v>
      </c>
      <c r="G626" s="21">
        <v>1.4500000000000001E-2</v>
      </c>
    </row>
    <row r="627" spans="1:7" x14ac:dyDescent="0.35">
      <c r="A627" s="22">
        <v>41100</v>
      </c>
      <c r="B627">
        <v>392.54</v>
      </c>
      <c r="C627">
        <v>387.83</v>
      </c>
      <c r="D627">
        <v>397.55</v>
      </c>
      <c r="E627">
        <v>387.83</v>
      </c>
      <c r="F627" t="s">
        <v>1129</v>
      </c>
      <c r="G627" s="21">
        <v>1.1299999999999999E-2</v>
      </c>
    </row>
    <row r="628" spans="1:7" x14ac:dyDescent="0.35">
      <c r="A628" s="22" t="s">
        <v>1130</v>
      </c>
      <c r="B628">
        <v>388.16</v>
      </c>
      <c r="C628">
        <v>391.74</v>
      </c>
      <c r="D628">
        <v>391.86</v>
      </c>
      <c r="E628">
        <v>383.07</v>
      </c>
      <c r="F628" t="s">
        <v>1131</v>
      </c>
      <c r="G628" s="21">
        <v>-1.12E-2</v>
      </c>
    </row>
    <row r="629" spans="1:7" x14ac:dyDescent="0.35">
      <c r="A629" s="22" t="s">
        <v>1132</v>
      </c>
      <c r="B629">
        <v>392.57</v>
      </c>
      <c r="C629">
        <v>392.16</v>
      </c>
      <c r="D629">
        <v>397.86</v>
      </c>
      <c r="E629">
        <v>390.08</v>
      </c>
      <c r="F629" t="s">
        <v>1133</v>
      </c>
      <c r="G629" s="21">
        <v>-7.4000000000000003E-3</v>
      </c>
    </row>
    <row r="630" spans="1:7" x14ac:dyDescent="0.35">
      <c r="A630" s="22" t="s">
        <v>1134</v>
      </c>
      <c r="B630">
        <v>395.48</v>
      </c>
      <c r="C630">
        <v>400.55</v>
      </c>
      <c r="D630">
        <v>405.27</v>
      </c>
      <c r="E630">
        <v>385.9</v>
      </c>
      <c r="F630" t="s">
        <v>1135</v>
      </c>
      <c r="G630" s="21">
        <v>-8.5000000000000006E-3</v>
      </c>
    </row>
    <row r="631" spans="1:7" x14ac:dyDescent="0.35">
      <c r="A631" s="22">
        <v>41161</v>
      </c>
      <c r="B631">
        <v>398.87</v>
      </c>
      <c r="C631">
        <v>395.72</v>
      </c>
      <c r="D631">
        <v>400.09</v>
      </c>
      <c r="E631">
        <v>383.87</v>
      </c>
      <c r="F631" t="s">
        <v>1136</v>
      </c>
      <c r="G631" s="21">
        <v>3.3999999999999998E-3</v>
      </c>
    </row>
    <row r="632" spans="1:7" x14ac:dyDescent="0.35">
      <c r="A632" s="22">
        <v>40948</v>
      </c>
      <c r="B632">
        <v>397.51</v>
      </c>
      <c r="C632">
        <v>397.37</v>
      </c>
      <c r="D632">
        <v>404.87</v>
      </c>
      <c r="E632">
        <v>392.56</v>
      </c>
      <c r="F632" t="s">
        <v>1137</v>
      </c>
      <c r="G632" s="21">
        <v>3.8E-3</v>
      </c>
    </row>
    <row r="633" spans="1:7" x14ac:dyDescent="0.35">
      <c r="A633" s="22" t="s">
        <v>1138</v>
      </c>
      <c r="B633">
        <v>396.02</v>
      </c>
      <c r="C633">
        <v>395.37</v>
      </c>
      <c r="D633">
        <v>399.44</v>
      </c>
      <c r="E633">
        <v>379.61</v>
      </c>
      <c r="F633" t="s">
        <v>1139</v>
      </c>
      <c r="G633" s="21">
        <v>-9.2999999999999992E-3</v>
      </c>
    </row>
    <row r="634" spans="1:7" x14ac:dyDescent="0.35">
      <c r="A634" s="22" t="s">
        <v>1140</v>
      </c>
      <c r="B634">
        <v>399.72</v>
      </c>
      <c r="C634">
        <v>435.33</v>
      </c>
      <c r="D634">
        <v>437.61</v>
      </c>
      <c r="E634">
        <v>378.17</v>
      </c>
      <c r="F634" t="s">
        <v>1141</v>
      </c>
      <c r="G634" s="21">
        <v>-7.7799999999999994E-2</v>
      </c>
    </row>
    <row r="635" spans="1:7" x14ac:dyDescent="0.35">
      <c r="A635" s="22">
        <v>41251</v>
      </c>
      <c r="B635">
        <v>433.45</v>
      </c>
      <c r="C635">
        <v>423.79</v>
      </c>
      <c r="D635">
        <v>434.72</v>
      </c>
      <c r="E635">
        <v>423.44</v>
      </c>
      <c r="F635" t="s">
        <v>1142</v>
      </c>
      <c r="G635" s="21">
        <v>1.8499999999999999E-2</v>
      </c>
    </row>
    <row r="636" spans="1:7" x14ac:dyDescent="0.35">
      <c r="A636" s="22">
        <v>41037</v>
      </c>
      <c r="B636">
        <v>425.56</v>
      </c>
      <c r="C636">
        <v>419.29</v>
      </c>
      <c r="D636">
        <v>428.21</v>
      </c>
      <c r="E636">
        <v>419.29</v>
      </c>
      <c r="F636" t="s">
        <v>1143</v>
      </c>
      <c r="G636" s="21">
        <v>1.7600000000000001E-2</v>
      </c>
    </row>
    <row r="637" spans="1:7" x14ac:dyDescent="0.35">
      <c r="A637" s="22" t="s">
        <v>1144</v>
      </c>
      <c r="B637">
        <v>418.21</v>
      </c>
      <c r="C637">
        <v>410.57</v>
      </c>
      <c r="D637">
        <v>419.26</v>
      </c>
      <c r="E637">
        <v>410.08</v>
      </c>
      <c r="F637" t="s">
        <v>1145</v>
      </c>
      <c r="G637" s="21">
        <v>1.2200000000000001E-2</v>
      </c>
    </row>
    <row r="638" spans="1:7" x14ac:dyDescent="0.35">
      <c r="A638" s="22" t="s">
        <v>1146</v>
      </c>
      <c r="B638">
        <v>413.16</v>
      </c>
      <c r="C638">
        <v>423.31</v>
      </c>
      <c r="D638">
        <v>426.13</v>
      </c>
      <c r="E638">
        <v>412.47</v>
      </c>
      <c r="F638" t="s">
        <v>1147</v>
      </c>
      <c r="G638" s="21">
        <v>-2.6599999999999999E-2</v>
      </c>
    </row>
    <row r="639" spans="1:7" x14ac:dyDescent="0.35">
      <c r="A639" s="22" t="s">
        <v>1148</v>
      </c>
      <c r="B639">
        <v>424.47</v>
      </c>
      <c r="C639">
        <v>417.54</v>
      </c>
      <c r="D639">
        <v>432.46</v>
      </c>
      <c r="E639">
        <v>411.72</v>
      </c>
      <c r="F639" t="s">
        <v>1149</v>
      </c>
      <c r="G639" s="21">
        <v>1.7999999999999999E-2</v>
      </c>
    </row>
    <row r="640" spans="1:7" x14ac:dyDescent="0.35">
      <c r="A640" s="22">
        <v>41128</v>
      </c>
      <c r="B640">
        <v>416.98</v>
      </c>
      <c r="C640">
        <v>413.59</v>
      </c>
      <c r="D640">
        <v>416.98</v>
      </c>
      <c r="E640">
        <v>405.07</v>
      </c>
      <c r="F640" t="s">
        <v>1150</v>
      </c>
      <c r="G640" s="21">
        <v>3.7000000000000002E-3</v>
      </c>
    </row>
    <row r="641" spans="1:7" x14ac:dyDescent="0.35">
      <c r="A641" s="22">
        <v>40915</v>
      </c>
      <c r="B641">
        <v>415.44</v>
      </c>
      <c r="C641">
        <v>421.94</v>
      </c>
      <c r="D641">
        <v>424.95</v>
      </c>
      <c r="E641">
        <v>408.43</v>
      </c>
      <c r="F641" t="s">
        <v>1151</v>
      </c>
      <c r="G641" s="21">
        <v>-1.6400000000000001E-2</v>
      </c>
    </row>
    <row r="642" spans="1:7" x14ac:dyDescent="0.35">
      <c r="A642" s="22" t="s">
        <v>1152</v>
      </c>
      <c r="B642">
        <v>422.37</v>
      </c>
      <c r="C642">
        <v>426.54</v>
      </c>
      <c r="D642">
        <v>429.81</v>
      </c>
      <c r="E642">
        <v>415.34</v>
      </c>
      <c r="F642" t="s">
        <v>1153</v>
      </c>
      <c r="G642" s="21">
        <v>-1.12E-2</v>
      </c>
    </row>
    <row r="643" spans="1:7" x14ac:dyDescent="0.35">
      <c r="A643" s="22" t="s">
        <v>1154</v>
      </c>
      <c r="B643">
        <v>427.17</v>
      </c>
      <c r="C643">
        <v>436.89</v>
      </c>
      <c r="D643">
        <v>439.29</v>
      </c>
      <c r="E643">
        <v>426.5</v>
      </c>
      <c r="F643" t="s">
        <v>1155</v>
      </c>
      <c r="G643" s="21">
        <v>-1.37E-2</v>
      </c>
    </row>
    <row r="644" spans="1:7" x14ac:dyDescent="0.35">
      <c r="A644" s="22">
        <v>41188</v>
      </c>
      <c r="B644">
        <v>433.09</v>
      </c>
      <c r="C644">
        <v>432.15</v>
      </c>
      <c r="D644">
        <v>435.86</v>
      </c>
      <c r="E644">
        <v>424.05</v>
      </c>
      <c r="F644" t="s">
        <v>1156</v>
      </c>
      <c r="G644" s="21">
        <v>4.0000000000000002E-4</v>
      </c>
    </row>
    <row r="645" spans="1:7" x14ac:dyDescent="0.35">
      <c r="A645" s="22">
        <v>40974</v>
      </c>
      <c r="B645">
        <v>432.9</v>
      </c>
      <c r="C645">
        <v>426.91</v>
      </c>
      <c r="D645">
        <v>441.46</v>
      </c>
      <c r="E645">
        <v>413.58</v>
      </c>
      <c r="F645" t="s">
        <v>1157</v>
      </c>
      <c r="G645" s="21">
        <v>9.5999999999999992E-3</v>
      </c>
    </row>
    <row r="646" spans="1:7" x14ac:dyDescent="0.35">
      <c r="A646" s="22" t="s">
        <v>1158</v>
      </c>
      <c r="B646">
        <v>428.8</v>
      </c>
      <c r="C646">
        <v>443.24</v>
      </c>
      <c r="D646">
        <v>443.24</v>
      </c>
      <c r="E646">
        <v>427.98</v>
      </c>
      <c r="F646" t="s">
        <v>1159</v>
      </c>
      <c r="G646" s="21">
        <v>-1.9599999999999999E-2</v>
      </c>
    </row>
    <row r="647" spans="1:7" x14ac:dyDescent="0.35">
      <c r="A647" s="22" t="s">
        <v>1160</v>
      </c>
      <c r="B647">
        <v>437.38</v>
      </c>
      <c r="C647">
        <v>438.53</v>
      </c>
      <c r="D647">
        <v>453.7</v>
      </c>
      <c r="E647">
        <v>425.65</v>
      </c>
      <c r="F647" t="s">
        <v>1161</v>
      </c>
      <c r="G647" s="21">
        <v>5.5999999999999999E-3</v>
      </c>
    </row>
    <row r="648" spans="1:7" x14ac:dyDescent="0.35">
      <c r="A648" s="22" t="s">
        <v>1162</v>
      </c>
      <c r="B648">
        <v>434.95</v>
      </c>
      <c r="C648">
        <v>477.73</v>
      </c>
      <c r="D648">
        <v>483.15</v>
      </c>
      <c r="E648">
        <v>430.29</v>
      </c>
      <c r="F648" t="s">
        <v>1163</v>
      </c>
      <c r="G648" s="21">
        <v>-9.4E-2</v>
      </c>
    </row>
    <row r="649" spans="1:7" x14ac:dyDescent="0.35">
      <c r="A649" s="22">
        <v>41065</v>
      </c>
      <c r="B649">
        <v>480.1</v>
      </c>
      <c r="C649">
        <v>481.95</v>
      </c>
      <c r="D649">
        <v>492.44</v>
      </c>
      <c r="E649">
        <v>479.87</v>
      </c>
      <c r="F649" t="s">
        <v>1164</v>
      </c>
      <c r="G649" s="21">
        <v>7.9000000000000008E-3</v>
      </c>
    </row>
    <row r="650" spans="1:7" x14ac:dyDescent="0.35">
      <c r="A650" s="22" t="s">
        <v>1165</v>
      </c>
      <c r="B650">
        <v>476.32</v>
      </c>
      <c r="C650">
        <v>476.02</v>
      </c>
      <c r="D650">
        <v>478.44</v>
      </c>
      <c r="E650">
        <v>465</v>
      </c>
      <c r="F650" t="s">
        <v>1166</v>
      </c>
      <c r="G650" s="21">
        <v>5.4000000000000003E-3</v>
      </c>
    </row>
    <row r="651" spans="1:7" x14ac:dyDescent="0.35">
      <c r="A651" s="22" t="s">
        <v>1167</v>
      </c>
      <c r="B651">
        <v>473.77</v>
      </c>
      <c r="C651">
        <v>466.8</v>
      </c>
      <c r="D651">
        <v>475.44</v>
      </c>
      <c r="E651">
        <v>460.6</v>
      </c>
      <c r="F651" t="s">
        <v>1168</v>
      </c>
      <c r="G651" s="21">
        <v>1.7299999999999999E-2</v>
      </c>
    </row>
    <row r="652" spans="1:7" x14ac:dyDescent="0.35">
      <c r="A652" s="22" t="s">
        <v>1169</v>
      </c>
      <c r="B652">
        <v>465.72</v>
      </c>
      <c r="C652">
        <v>465.06</v>
      </c>
      <c r="D652">
        <v>478.87</v>
      </c>
      <c r="E652">
        <v>461.76</v>
      </c>
      <c r="F652" t="s">
        <v>1170</v>
      </c>
      <c r="G652" s="21">
        <v>6.8999999999999999E-3</v>
      </c>
    </row>
    <row r="653" spans="1:7" x14ac:dyDescent="0.35">
      <c r="A653" s="22">
        <v>41125</v>
      </c>
      <c r="B653">
        <v>462.52</v>
      </c>
      <c r="C653">
        <v>450.55</v>
      </c>
      <c r="D653">
        <v>468.38</v>
      </c>
      <c r="E653">
        <v>448.17</v>
      </c>
      <c r="F653" t="s">
        <v>1171</v>
      </c>
      <c r="G653" s="21">
        <v>3.3700000000000001E-2</v>
      </c>
    </row>
    <row r="654" spans="1:7" x14ac:dyDescent="0.35">
      <c r="A654" s="22">
        <v>40912</v>
      </c>
      <c r="B654">
        <v>447.44</v>
      </c>
      <c r="C654">
        <v>440.95</v>
      </c>
      <c r="D654">
        <v>450.23</v>
      </c>
      <c r="E654">
        <v>436.67</v>
      </c>
      <c r="F654" t="s">
        <v>1172</v>
      </c>
      <c r="G654" s="21">
        <v>1.4500000000000001E-2</v>
      </c>
    </row>
    <row r="655" spans="1:7" x14ac:dyDescent="0.35">
      <c r="A655" s="22" t="s">
        <v>1173</v>
      </c>
      <c r="B655">
        <v>441.03</v>
      </c>
      <c r="C655">
        <v>458.21</v>
      </c>
      <c r="D655">
        <v>459.26</v>
      </c>
      <c r="E655">
        <v>437.05</v>
      </c>
      <c r="F655" t="s">
        <v>1174</v>
      </c>
      <c r="G655" s="21">
        <v>-2.8799999999999999E-2</v>
      </c>
    </row>
    <row r="656" spans="1:7" x14ac:dyDescent="0.35">
      <c r="A656" s="22" t="s">
        <v>1175</v>
      </c>
      <c r="B656">
        <v>454.1</v>
      </c>
      <c r="C656">
        <v>435.82</v>
      </c>
      <c r="D656">
        <v>455.16</v>
      </c>
      <c r="E656">
        <v>433.6</v>
      </c>
      <c r="F656" t="s">
        <v>1176</v>
      </c>
      <c r="G656" s="21">
        <v>3.5499999999999997E-2</v>
      </c>
    </row>
    <row r="657" spans="1:7" x14ac:dyDescent="0.35">
      <c r="A657" s="22">
        <v>41216</v>
      </c>
      <c r="B657">
        <v>438.52</v>
      </c>
      <c r="C657">
        <v>429.83</v>
      </c>
      <c r="D657">
        <v>450.32</v>
      </c>
      <c r="E657">
        <v>423.43</v>
      </c>
      <c r="F657" t="s">
        <v>1177</v>
      </c>
      <c r="G657" s="21">
        <v>1.4800000000000001E-2</v>
      </c>
    </row>
    <row r="658" spans="1:7" x14ac:dyDescent="0.35">
      <c r="A658" s="22">
        <v>41002</v>
      </c>
      <c r="B658">
        <v>432.11</v>
      </c>
      <c r="C658">
        <v>448.66</v>
      </c>
      <c r="D658">
        <v>468.15</v>
      </c>
      <c r="E658">
        <v>424.43</v>
      </c>
      <c r="F658" t="s">
        <v>1178</v>
      </c>
      <c r="G658" s="21">
        <v>-1.7000000000000001E-2</v>
      </c>
    </row>
    <row r="659" spans="1:7" x14ac:dyDescent="0.35">
      <c r="A659" s="22" t="s">
        <v>1179</v>
      </c>
      <c r="B659">
        <v>439.6</v>
      </c>
      <c r="C659">
        <v>426.03</v>
      </c>
      <c r="D659">
        <v>439.6</v>
      </c>
      <c r="E659">
        <v>418.01</v>
      </c>
      <c r="F659" t="s">
        <v>1180</v>
      </c>
      <c r="G659" s="21">
        <v>3.8199999999999998E-2</v>
      </c>
    </row>
    <row r="660" spans="1:7" x14ac:dyDescent="0.35">
      <c r="A660" s="22" t="s">
        <v>1181</v>
      </c>
      <c r="B660">
        <v>423.43</v>
      </c>
      <c r="C660">
        <v>409.83</v>
      </c>
      <c r="D660">
        <v>429.42</v>
      </c>
      <c r="E660">
        <v>408.98</v>
      </c>
      <c r="F660" t="s">
        <v>1182</v>
      </c>
      <c r="G660" s="21">
        <v>4.99E-2</v>
      </c>
    </row>
    <row r="661" spans="1:7" x14ac:dyDescent="0.35">
      <c r="A661" s="22">
        <v>41245</v>
      </c>
      <c r="B661">
        <v>403.3</v>
      </c>
      <c r="C661">
        <v>402.37</v>
      </c>
      <c r="D661">
        <v>403.3</v>
      </c>
      <c r="E661">
        <v>391.08</v>
      </c>
      <c r="F661" t="s">
        <v>1183</v>
      </c>
      <c r="G661" s="21">
        <v>-4.1999999999999997E-3</v>
      </c>
    </row>
    <row r="662" spans="1:7" x14ac:dyDescent="0.35">
      <c r="A662" s="22">
        <v>41031</v>
      </c>
      <c r="B662">
        <v>405.02</v>
      </c>
      <c r="C662">
        <v>402.36</v>
      </c>
      <c r="D662">
        <v>414.6</v>
      </c>
      <c r="E662">
        <v>394.91</v>
      </c>
      <c r="F662" t="s">
        <v>1184</v>
      </c>
      <c r="G662" s="21">
        <v>8.2000000000000007E-3</v>
      </c>
    </row>
    <row r="663" spans="1:7" x14ac:dyDescent="0.35">
      <c r="A663" s="22" t="s">
        <v>1185</v>
      </c>
      <c r="B663">
        <v>401.74</v>
      </c>
      <c r="C663">
        <v>375.1</v>
      </c>
      <c r="D663">
        <v>411.38</v>
      </c>
      <c r="E663">
        <v>373.1</v>
      </c>
      <c r="F663" t="s">
        <v>1186</v>
      </c>
      <c r="G663" s="21">
        <v>7.7100000000000002E-2</v>
      </c>
    </row>
    <row r="664" spans="1:7" x14ac:dyDescent="0.35">
      <c r="A664" s="22" t="s">
        <v>1187</v>
      </c>
      <c r="B664">
        <v>373</v>
      </c>
      <c r="C664">
        <v>356.77</v>
      </c>
      <c r="D664">
        <v>378.07</v>
      </c>
      <c r="E664">
        <v>355.97</v>
      </c>
      <c r="F664" t="s">
        <v>1188</v>
      </c>
      <c r="G664" s="21">
        <v>5.2699999999999997E-2</v>
      </c>
    </row>
    <row r="665" spans="1:7" x14ac:dyDescent="0.35">
      <c r="A665" s="22">
        <v>41122</v>
      </c>
      <c r="B665">
        <v>354.33</v>
      </c>
      <c r="C665">
        <v>334.93</v>
      </c>
      <c r="D665">
        <v>354.33</v>
      </c>
      <c r="E665">
        <v>332.28</v>
      </c>
      <c r="F665" t="s">
        <v>1189</v>
      </c>
      <c r="G665" s="21">
        <v>5.2299999999999999E-2</v>
      </c>
    </row>
    <row r="666" spans="1:7" x14ac:dyDescent="0.35">
      <c r="A666" s="22">
        <v>40909</v>
      </c>
      <c r="B666">
        <v>336.73</v>
      </c>
      <c r="C666">
        <v>351.37</v>
      </c>
      <c r="D666">
        <v>354.02</v>
      </c>
      <c r="E666">
        <v>336.49</v>
      </c>
      <c r="F666" t="s">
        <v>1190</v>
      </c>
      <c r="G666" s="21">
        <v>-4.2200000000000001E-2</v>
      </c>
    </row>
    <row r="667" spans="1:7" x14ac:dyDescent="0.35">
      <c r="A667" s="22" t="s">
        <v>1191</v>
      </c>
      <c r="B667">
        <v>351.55</v>
      </c>
      <c r="C667">
        <v>356.15</v>
      </c>
      <c r="D667">
        <v>356.15</v>
      </c>
      <c r="E667">
        <v>346.48</v>
      </c>
      <c r="F667" t="s">
        <v>1192</v>
      </c>
      <c r="G667" s="21">
        <v>-1.3100000000000001E-2</v>
      </c>
    </row>
    <row r="668" spans="1:7" x14ac:dyDescent="0.35">
      <c r="A668" s="22" t="s">
        <v>1193</v>
      </c>
      <c r="B668">
        <v>356.21</v>
      </c>
      <c r="C668">
        <v>365.71</v>
      </c>
      <c r="D668">
        <v>369.48</v>
      </c>
      <c r="E668">
        <v>352.21</v>
      </c>
      <c r="F668" t="s">
        <v>1194</v>
      </c>
      <c r="G668" s="21">
        <v>-2.6800000000000001E-2</v>
      </c>
    </row>
    <row r="669" spans="1:7" x14ac:dyDescent="0.35">
      <c r="A669" s="22">
        <v>40859</v>
      </c>
      <c r="B669">
        <v>366.03</v>
      </c>
      <c r="C669">
        <v>376.97</v>
      </c>
      <c r="D669">
        <v>378.82</v>
      </c>
      <c r="E669">
        <v>360.16</v>
      </c>
      <c r="F669" t="s">
        <v>1195</v>
      </c>
      <c r="G669" s="21">
        <v>-2.9499999999999998E-2</v>
      </c>
    </row>
    <row r="670" spans="1:7" x14ac:dyDescent="0.35">
      <c r="A670" s="22">
        <v>40645</v>
      </c>
      <c r="B670">
        <v>377.16</v>
      </c>
      <c r="C670">
        <v>385.82</v>
      </c>
      <c r="D670">
        <v>396.29</v>
      </c>
      <c r="E670">
        <v>375.67</v>
      </c>
      <c r="F670" t="s">
        <v>1196</v>
      </c>
      <c r="G670" s="21">
        <v>-1.7500000000000002E-2</v>
      </c>
    </row>
    <row r="671" spans="1:7" x14ac:dyDescent="0.35">
      <c r="A671" s="22" t="s">
        <v>1197</v>
      </c>
      <c r="B671">
        <v>383.88</v>
      </c>
      <c r="C671">
        <v>386.04</v>
      </c>
      <c r="D671">
        <v>388.98</v>
      </c>
      <c r="E671">
        <v>377.03</v>
      </c>
      <c r="F671" t="s">
        <v>1198</v>
      </c>
      <c r="G671" s="21">
        <v>1.4E-3</v>
      </c>
    </row>
    <row r="672" spans="1:7" x14ac:dyDescent="0.35">
      <c r="A672" s="22" t="s">
        <v>1199</v>
      </c>
      <c r="B672">
        <v>383.35</v>
      </c>
      <c r="C672">
        <v>380.4</v>
      </c>
      <c r="D672">
        <v>389.29</v>
      </c>
      <c r="E672">
        <v>375.93</v>
      </c>
      <c r="F672" t="s">
        <v>1200</v>
      </c>
      <c r="G672" s="21">
        <v>9.7999999999999997E-3</v>
      </c>
    </row>
    <row r="673" spans="1:7" x14ac:dyDescent="0.35">
      <c r="A673" s="22" t="s">
        <v>1201</v>
      </c>
      <c r="B673">
        <v>379.62</v>
      </c>
      <c r="C673">
        <v>397.52</v>
      </c>
      <c r="D673">
        <v>397.7</v>
      </c>
      <c r="E673">
        <v>377.46</v>
      </c>
      <c r="F673" t="s">
        <v>1202</v>
      </c>
      <c r="G673" s="21">
        <v>-4.2099999999999999E-2</v>
      </c>
    </row>
    <row r="674" spans="1:7" x14ac:dyDescent="0.35">
      <c r="A674" s="22">
        <v>40705</v>
      </c>
      <c r="B674">
        <v>396.3</v>
      </c>
      <c r="C674">
        <v>409.78</v>
      </c>
      <c r="D674">
        <v>413.94</v>
      </c>
      <c r="E674">
        <v>396.3</v>
      </c>
      <c r="F674" t="s">
        <v>1203</v>
      </c>
      <c r="G674" s="21">
        <v>-3.4799999999999998E-2</v>
      </c>
    </row>
    <row r="675" spans="1:7" x14ac:dyDescent="0.35">
      <c r="A675" s="22" t="s">
        <v>1204</v>
      </c>
      <c r="B675">
        <v>410.57</v>
      </c>
      <c r="C675">
        <v>426.89</v>
      </c>
      <c r="D675">
        <v>428.86</v>
      </c>
      <c r="E675">
        <v>405.72</v>
      </c>
      <c r="F675" t="s">
        <v>1205</v>
      </c>
      <c r="G675" s="21">
        <v>-2.7199999999999998E-2</v>
      </c>
    </row>
    <row r="676" spans="1:7" x14ac:dyDescent="0.35">
      <c r="A676" s="22" t="s">
        <v>1206</v>
      </c>
      <c r="B676">
        <v>422.07</v>
      </c>
      <c r="C676">
        <v>415.9</v>
      </c>
      <c r="D676">
        <v>422.45</v>
      </c>
      <c r="E676">
        <v>409.38</v>
      </c>
      <c r="F676" t="s">
        <v>1207</v>
      </c>
      <c r="G676" s="21">
        <v>2.69E-2</v>
      </c>
    </row>
    <row r="677" spans="1:7" x14ac:dyDescent="0.35">
      <c r="A677" s="22" t="s">
        <v>1208</v>
      </c>
      <c r="B677">
        <v>411.03</v>
      </c>
      <c r="C677">
        <v>415.52</v>
      </c>
      <c r="D677">
        <v>415.52</v>
      </c>
      <c r="E677">
        <v>399.08</v>
      </c>
      <c r="F677" t="s">
        <v>1209</v>
      </c>
      <c r="G677" s="21">
        <v>-8.3000000000000001E-3</v>
      </c>
    </row>
    <row r="678" spans="1:7" x14ac:dyDescent="0.35">
      <c r="A678" s="22">
        <v>40796</v>
      </c>
      <c r="B678">
        <v>414.49</v>
      </c>
      <c r="C678">
        <v>416.77</v>
      </c>
      <c r="D678">
        <v>421.52</v>
      </c>
      <c r="E678">
        <v>407.61</v>
      </c>
      <c r="F678" t="s">
        <v>1210</v>
      </c>
      <c r="G678" s="21">
        <v>-8.3000000000000001E-3</v>
      </c>
    </row>
    <row r="679" spans="1:7" x14ac:dyDescent="0.35">
      <c r="A679" s="22">
        <v>40584</v>
      </c>
      <c r="B679">
        <v>417.96</v>
      </c>
      <c r="C679">
        <v>426.43</v>
      </c>
      <c r="D679">
        <v>428.28</v>
      </c>
      <c r="E679">
        <v>415.35</v>
      </c>
      <c r="F679" t="s">
        <v>1211</v>
      </c>
      <c r="G679" s="21">
        <v>-2.2499999999999999E-2</v>
      </c>
    </row>
    <row r="680" spans="1:7" x14ac:dyDescent="0.35">
      <c r="A680" s="22" t="s">
        <v>1212</v>
      </c>
      <c r="B680">
        <v>427.6</v>
      </c>
      <c r="C680">
        <v>436.63</v>
      </c>
      <c r="D680">
        <v>444.4</v>
      </c>
      <c r="E680">
        <v>424.64</v>
      </c>
      <c r="F680" t="s">
        <v>1213</v>
      </c>
      <c r="G680" s="21">
        <v>-2.8799999999999999E-2</v>
      </c>
    </row>
    <row r="681" spans="1:7" x14ac:dyDescent="0.35">
      <c r="A681" s="22" t="s">
        <v>1214</v>
      </c>
      <c r="B681">
        <v>440.3</v>
      </c>
      <c r="C681">
        <v>450.21</v>
      </c>
      <c r="D681">
        <v>461.68</v>
      </c>
      <c r="E681">
        <v>438.58</v>
      </c>
      <c r="F681" t="s">
        <v>1215</v>
      </c>
      <c r="G681" s="21">
        <v>-3.6799999999999999E-2</v>
      </c>
    </row>
    <row r="682" spans="1:7" x14ac:dyDescent="0.35">
      <c r="A682" s="22">
        <v>40856</v>
      </c>
      <c r="B682">
        <v>457.11</v>
      </c>
      <c r="C682">
        <v>461.14</v>
      </c>
      <c r="D682">
        <v>475.45</v>
      </c>
      <c r="E682">
        <v>457.11</v>
      </c>
      <c r="F682" t="s">
        <v>1216</v>
      </c>
      <c r="G682" s="21">
        <v>-6.1000000000000004E-3</v>
      </c>
    </row>
    <row r="683" spans="1:7" x14ac:dyDescent="0.35">
      <c r="A683" s="22">
        <v>40642</v>
      </c>
      <c r="B683">
        <v>459.92</v>
      </c>
      <c r="C683">
        <v>438.35</v>
      </c>
      <c r="D683">
        <v>460.17</v>
      </c>
      <c r="E683">
        <v>430.82</v>
      </c>
      <c r="F683" t="s">
        <v>1217</v>
      </c>
      <c r="G683" s="21">
        <v>5.6599999999999998E-2</v>
      </c>
    </row>
    <row r="684" spans="1:7" x14ac:dyDescent="0.35">
      <c r="A684" s="22" t="s">
        <v>1218</v>
      </c>
      <c r="B684">
        <v>435.29</v>
      </c>
      <c r="C684">
        <v>405.89</v>
      </c>
      <c r="D684">
        <v>435.29</v>
      </c>
      <c r="E684">
        <v>405.26</v>
      </c>
      <c r="F684" t="s">
        <v>1219</v>
      </c>
      <c r="G684" s="21">
        <v>7.6399999999999996E-2</v>
      </c>
    </row>
    <row r="685" spans="1:7" x14ac:dyDescent="0.35">
      <c r="A685" s="22" t="s">
        <v>1220</v>
      </c>
      <c r="B685">
        <v>404.41</v>
      </c>
      <c r="C685">
        <v>401.87</v>
      </c>
      <c r="D685">
        <v>406.75</v>
      </c>
      <c r="E685">
        <v>396.68</v>
      </c>
      <c r="F685" t="s">
        <v>1221</v>
      </c>
      <c r="G685" s="21">
        <v>9.1000000000000004E-3</v>
      </c>
    </row>
    <row r="686" spans="1:7" x14ac:dyDescent="0.35">
      <c r="A686" s="22" t="s">
        <v>1222</v>
      </c>
      <c r="B686">
        <v>400.76</v>
      </c>
      <c r="C686">
        <v>384.47</v>
      </c>
      <c r="D686">
        <v>402.89</v>
      </c>
      <c r="E686">
        <v>383.37</v>
      </c>
      <c r="F686" t="s">
        <v>1223</v>
      </c>
      <c r="G686" s="21">
        <v>4.3900000000000002E-2</v>
      </c>
    </row>
    <row r="687" spans="1:7" x14ac:dyDescent="0.35">
      <c r="A687" s="22">
        <v>40732</v>
      </c>
      <c r="B687">
        <v>383.92</v>
      </c>
      <c r="C687">
        <v>399.24</v>
      </c>
      <c r="D687">
        <v>400.69</v>
      </c>
      <c r="E687">
        <v>379.84</v>
      </c>
      <c r="F687" t="s">
        <v>1224</v>
      </c>
      <c r="G687" s="21">
        <v>-4.2299999999999997E-2</v>
      </c>
    </row>
    <row r="688" spans="1:7" x14ac:dyDescent="0.35">
      <c r="A688" s="22" t="s">
        <v>1225</v>
      </c>
      <c r="B688">
        <v>400.88</v>
      </c>
      <c r="C688">
        <v>404.84</v>
      </c>
      <c r="D688">
        <v>404.91</v>
      </c>
      <c r="E688">
        <v>388.79</v>
      </c>
      <c r="F688" t="s">
        <v>1226</v>
      </c>
      <c r="G688" s="21">
        <v>-1.1900000000000001E-2</v>
      </c>
    </row>
    <row r="689" spans="1:7" x14ac:dyDescent="0.35">
      <c r="A689" s="22" t="s">
        <v>1227</v>
      </c>
      <c r="B689">
        <v>405.7</v>
      </c>
      <c r="C689">
        <v>409.11</v>
      </c>
      <c r="D689">
        <v>411.36</v>
      </c>
      <c r="E689">
        <v>402.2</v>
      </c>
      <c r="F689" t="s">
        <v>1228</v>
      </c>
      <c r="G689" s="21">
        <v>-8.6E-3</v>
      </c>
    </row>
    <row r="690" spans="1:7" x14ac:dyDescent="0.35">
      <c r="A690" s="22" t="s">
        <v>1229</v>
      </c>
      <c r="B690">
        <v>409.2</v>
      </c>
      <c r="C690">
        <v>412.9</v>
      </c>
      <c r="D690">
        <v>417.06</v>
      </c>
      <c r="E690">
        <v>408.96</v>
      </c>
      <c r="F690" t="s">
        <v>1230</v>
      </c>
      <c r="G690" s="21">
        <v>-1.34E-2</v>
      </c>
    </row>
    <row r="691" spans="1:7" x14ac:dyDescent="0.35">
      <c r="A691" s="22">
        <v>40823</v>
      </c>
      <c r="B691">
        <v>414.74</v>
      </c>
      <c r="C691">
        <v>429.41</v>
      </c>
      <c r="D691">
        <v>429.63</v>
      </c>
      <c r="E691">
        <v>412.52</v>
      </c>
      <c r="F691" t="s">
        <v>1231</v>
      </c>
      <c r="G691" s="21">
        <v>-3.6200000000000003E-2</v>
      </c>
    </row>
    <row r="692" spans="1:7" x14ac:dyDescent="0.35">
      <c r="A692" s="22">
        <v>40609</v>
      </c>
      <c r="B692">
        <v>430.32</v>
      </c>
      <c r="C692">
        <v>425.04</v>
      </c>
      <c r="D692">
        <v>434.07</v>
      </c>
      <c r="E692">
        <v>423.39</v>
      </c>
      <c r="F692" t="s">
        <v>1232</v>
      </c>
      <c r="G692" s="21">
        <v>1.18E-2</v>
      </c>
    </row>
    <row r="693" spans="1:7" x14ac:dyDescent="0.35">
      <c r="A693" s="22" t="s">
        <v>1233</v>
      </c>
      <c r="B693">
        <v>425.29</v>
      </c>
      <c r="C693">
        <v>436.95</v>
      </c>
      <c r="D693">
        <v>438.53</v>
      </c>
      <c r="E693">
        <v>424.26</v>
      </c>
      <c r="F693" t="s">
        <v>1234</v>
      </c>
      <c r="G693" s="21">
        <v>-1.8700000000000001E-2</v>
      </c>
    </row>
    <row r="694" spans="1:7" x14ac:dyDescent="0.35">
      <c r="A694" s="22" t="s">
        <v>1235</v>
      </c>
      <c r="B694">
        <v>433.4</v>
      </c>
      <c r="C694">
        <v>438.13</v>
      </c>
      <c r="D694">
        <v>445.49</v>
      </c>
      <c r="E694">
        <v>431.59</v>
      </c>
      <c r="F694" t="s">
        <v>1236</v>
      </c>
      <c r="G694" s="21">
        <v>-1.26E-2</v>
      </c>
    </row>
    <row r="695" spans="1:7" x14ac:dyDescent="0.35">
      <c r="A695" s="22">
        <v>40883</v>
      </c>
      <c r="B695">
        <v>438.93</v>
      </c>
      <c r="C695">
        <v>443.49</v>
      </c>
      <c r="D695">
        <v>452.55</v>
      </c>
      <c r="E695">
        <v>436.24</v>
      </c>
      <c r="F695" t="s">
        <v>1237</v>
      </c>
      <c r="G695" s="21">
        <v>-1.3599999999999999E-2</v>
      </c>
    </row>
    <row r="696" spans="1:7" x14ac:dyDescent="0.35">
      <c r="A696" s="22">
        <v>40669</v>
      </c>
      <c r="B696">
        <v>445</v>
      </c>
      <c r="C696">
        <v>434.97</v>
      </c>
      <c r="D696">
        <v>451.81</v>
      </c>
      <c r="E696">
        <v>430.15</v>
      </c>
      <c r="F696" t="s">
        <v>1238</v>
      </c>
      <c r="G696" s="21">
        <v>3.5999999999999999E-3</v>
      </c>
    </row>
    <row r="697" spans="1:7" x14ac:dyDescent="0.35">
      <c r="A697" s="22" t="s">
        <v>1239</v>
      </c>
      <c r="B697">
        <v>443.41</v>
      </c>
      <c r="C697">
        <v>417.07</v>
      </c>
      <c r="D697">
        <v>461.93</v>
      </c>
      <c r="E697">
        <v>412</v>
      </c>
      <c r="F697" t="s">
        <v>1240</v>
      </c>
      <c r="G697" s="21">
        <v>7.9299999999999995E-2</v>
      </c>
    </row>
    <row r="698" spans="1:7" x14ac:dyDescent="0.35">
      <c r="A698" s="22" t="s">
        <v>1241</v>
      </c>
      <c r="B698">
        <v>410.82</v>
      </c>
      <c r="C698">
        <v>429.74</v>
      </c>
      <c r="D698">
        <v>430.54</v>
      </c>
      <c r="E698">
        <v>371.03</v>
      </c>
      <c r="F698" t="s">
        <v>1242</v>
      </c>
      <c r="G698" s="21">
        <v>-5.0900000000000001E-2</v>
      </c>
    </row>
    <row r="699" spans="1:7" x14ac:dyDescent="0.35">
      <c r="A699" s="22" t="s">
        <v>1243</v>
      </c>
      <c r="B699">
        <v>432.87</v>
      </c>
      <c r="C699">
        <v>479.01</v>
      </c>
      <c r="D699">
        <v>481.51</v>
      </c>
      <c r="E699">
        <v>432.24</v>
      </c>
      <c r="F699" t="s">
        <v>1244</v>
      </c>
      <c r="G699" s="21">
        <v>-9.7600000000000006E-2</v>
      </c>
    </row>
    <row r="700" spans="1:7" x14ac:dyDescent="0.35">
      <c r="A700" s="22">
        <v>40760</v>
      </c>
      <c r="B700">
        <v>479.67</v>
      </c>
      <c r="C700">
        <v>469.01</v>
      </c>
      <c r="D700">
        <v>484.74</v>
      </c>
      <c r="E700">
        <v>467.77</v>
      </c>
      <c r="F700" t="s">
        <v>1245</v>
      </c>
      <c r="G700" s="21">
        <v>1.47E-2</v>
      </c>
    </row>
    <row r="701" spans="1:7" x14ac:dyDescent="0.35">
      <c r="A701" s="22">
        <v>40548</v>
      </c>
      <c r="B701">
        <v>472.71</v>
      </c>
      <c r="C701">
        <v>483.3</v>
      </c>
      <c r="D701">
        <v>488.02</v>
      </c>
      <c r="E701">
        <v>470.13</v>
      </c>
      <c r="F701" t="s">
        <v>1246</v>
      </c>
      <c r="G701" s="21">
        <v>-1.54E-2</v>
      </c>
    </row>
    <row r="702" spans="1:7" x14ac:dyDescent="0.35">
      <c r="A702" s="22" t="s">
        <v>1247</v>
      </c>
      <c r="B702">
        <v>480.08</v>
      </c>
      <c r="C702">
        <v>458.99</v>
      </c>
      <c r="D702">
        <v>481.13</v>
      </c>
      <c r="E702">
        <v>458.99</v>
      </c>
      <c r="F702" t="s">
        <v>1248</v>
      </c>
      <c r="G702" s="21">
        <v>5.1799999999999999E-2</v>
      </c>
    </row>
    <row r="703" spans="1:7" x14ac:dyDescent="0.35">
      <c r="A703" s="22" t="s">
        <v>1249</v>
      </c>
      <c r="B703">
        <v>456.45</v>
      </c>
      <c r="C703">
        <v>458.39</v>
      </c>
      <c r="D703">
        <v>462.74</v>
      </c>
      <c r="E703">
        <v>453.54</v>
      </c>
      <c r="F703" t="s">
        <v>1250</v>
      </c>
      <c r="G703" s="21">
        <v>-9.7999999999999997E-3</v>
      </c>
    </row>
    <row r="704" spans="1:7" x14ac:dyDescent="0.35">
      <c r="A704" s="22">
        <v>40820</v>
      </c>
      <c r="B704">
        <v>460.96</v>
      </c>
      <c r="C704">
        <v>464.21</v>
      </c>
      <c r="D704">
        <v>464.74</v>
      </c>
      <c r="E704">
        <v>459.87</v>
      </c>
      <c r="F704" t="s">
        <v>1251</v>
      </c>
      <c r="G704" s="21">
        <v>-7.1999999999999998E-3</v>
      </c>
    </row>
    <row r="705" spans="1:7" x14ac:dyDescent="0.35">
      <c r="A705" s="22">
        <v>40606</v>
      </c>
      <c r="B705">
        <v>464.29</v>
      </c>
      <c r="C705">
        <v>459.95</v>
      </c>
      <c r="D705">
        <v>465.85</v>
      </c>
      <c r="E705">
        <v>454.86</v>
      </c>
      <c r="F705" t="s">
        <v>1252</v>
      </c>
      <c r="G705" s="21">
        <v>1.12E-2</v>
      </c>
    </row>
    <row r="706" spans="1:7" x14ac:dyDescent="0.35">
      <c r="A706" s="22" t="s">
        <v>1253</v>
      </c>
      <c r="B706">
        <v>459.17</v>
      </c>
      <c r="C706">
        <v>458.35</v>
      </c>
      <c r="D706">
        <v>465.31</v>
      </c>
      <c r="E706">
        <v>454.31</v>
      </c>
      <c r="F706" t="s">
        <v>1254</v>
      </c>
      <c r="G706" s="21">
        <v>3.0999999999999999E-3</v>
      </c>
    </row>
    <row r="707" spans="1:7" x14ac:dyDescent="0.35">
      <c r="A707" s="22" t="s">
        <v>1255</v>
      </c>
      <c r="B707">
        <v>457.74</v>
      </c>
      <c r="C707">
        <v>467.17</v>
      </c>
      <c r="D707">
        <v>470.98</v>
      </c>
      <c r="E707">
        <v>457.66</v>
      </c>
      <c r="F707" t="s">
        <v>1256</v>
      </c>
      <c r="G707" s="21">
        <v>-7.1999999999999998E-3</v>
      </c>
    </row>
    <row r="708" spans="1:7" x14ac:dyDescent="0.35">
      <c r="A708" s="22" t="s">
        <v>1257</v>
      </c>
      <c r="B708">
        <v>461.08</v>
      </c>
      <c r="C708">
        <v>491.95</v>
      </c>
      <c r="D708">
        <v>493.2</v>
      </c>
      <c r="E708">
        <v>454.73</v>
      </c>
      <c r="F708" t="s">
        <v>1258</v>
      </c>
      <c r="G708" s="21">
        <v>-6.8599999999999994E-2</v>
      </c>
    </row>
    <row r="709" spans="1:7" x14ac:dyDescent="0.35">
      <c r="A709" s="22">
        <v>40697</v>
      </c>
      <c r="B709">
        <v>495.06</v>
      </c>
      <c r="C709">
        <v>465.21</v>
      </c>
      <c r="D709">
        <v>496.22</v>
      </c>
      <c r="E709">
        <v>464.44</v>
      </c>
      <c r="F709" t="s">
        <v>1259</v>
      </c>
      <c r="G709" s="21">
        <v>7.8E-2</v>
      </c>
    </row>
    <row r="710" spans="1:7" x14ac:dyDescent="0.35">
      <c r="A710" s="22" t="s">
        <v>1260</v>
      </c>
      <c r="B710">
        <v>459.23</v>
      </c>
      <c r="C710">
        <v>467.12</v>
      </c>
      <c r="D710">
        <v>474.22</v>
      </c>
      <c r="E710">
        <v>449.78</v>
      </c>
      <c r="F710" t="s">
        <v>1261</v>
      </c>
      <c r="G710" s="21">
        <v>-1.66E-2</v>
      </c>
    </row>
    <row r="711" spans="1:7" x14ac:dyDescent="0.35">
      <c r="A711" s="22" t="s">
        <v>1262</v>
      </c>
      <c r="B711">
        <v>466.96</v>
      </c>
      <c r="C711">
        <v>497.71</v>
      </c>
      <c r="D711">
        <v>497.71</v>
      </c>
      <c r="E711">
        <v>455.74</v>
      </c>
      <c r="F711" t="s">
        <v>1263</v>
      </c>
      <c r="G711" s="21">
        <v>-7.3300000000000004E-2</v>
      </c>
    </row>
    <row r="712" spans="1:7" x14ac:dyDescent="0.35">
      <c r="A712" s="22" t="s">
        <v>1264</v>
      </c>
      <c r="B712">
        <v>503.92</v>
      </c>
      <c r="C712">
        <v>520.73</v>
      </c>
      <c r="D712">
        <v>522.37</v>
      </c>
      <c r="E712">
        <v>502.55</v>
      </c>
      <c r="F712" t="s">
        <v>1265</v>
      </c>
      <c r="G712" s="21">
        <v>-3.09E-2</v>
      </c>
    </row>
    <row r="713" spans="1:7" x14ac:dyDescent="0.35">
      <c r="A713" s="22">
        <v>40696</v>
      </c>
      <c r="B713">
        <v>519.98</v>
      </c>
      <c r="C713">
        <v>515.70000000000005</v>
      </c>
      <c r="D713">
        <v>529.20000000000005</v>
      </c>
      <c r="E713">
        <v>515.61</v>
      </c>
      <c r="F713" t="s">
        <v>1266</v>
      </c>
      <c r="G713" s="21">
        <v>1.84E-2</v>
      </c>
    </row>
    <row r="714" spans="1:7" x14ac:dyDescent="0.35">
      <c r="A714" s="22" t="s">
        <v>1267</v>
      </c>
      <c r="B714">
        <v>510.6</v>
      </c>
      <c r="C714">
        <v>525.70000000000005</v>
      </c>
      <c r="D714">
        <v>525.70000000000005</v>
      </c>
      <c r="E714">
        <v>498.11</v>
      </c>
      <c r="F714" t="s">
        <v>1268</v>
      </c>
      <c r="G714" s="21">
        <v>-1.7100000000000001E-2</v>
      </c>
    </row>
    <row r="715" spans="1:7" x14ac:dyDescent="0.35">
      <c r="A715" s="22" t="s">
        <v>1269</v>
      </c>
      <c r="B715">
        <v>519.5</v>
      </c>
      <c r="C715">
        <v>492.89</v>
      </c>
      <c r="D715">
        <v>521.22</v>
      </c>
      <c r="E715">
        <v>492.37</v>
      </c>
      <c r="F715" t="s">
        <v>1270</v>
      </c>
      <c r="G715" s="21">
        <v>6.1899999999999997E-2</v>
      </c>
    </row>
    <row r="716" spans="1:7" x14ac:dyDescent="0.35">
      <c r="A716" s="22">
        <v>40787</v>
      </c>
      <c r="B716">
        <v>489.22</v>
      </c>
      <c r="C716">
        <v>483.71</v>
      </c>
      <c r="D716">
        <v>490.11</v>
      </c>
      <c r="E716">
        <v>475.48</v>
      </c>
      <c r="F716" t="s">
        <v>1271</v>
      </c>
      <c r="G716" s="21">
        <v>1.5299999999999999E-2</v>
      </c>
    </row>
    <row r="717" spans="1:7" x14ac:dyDescent="0.35">
      <c r="A717" s="22">
        <v>40575</v>
      </c>
      <c r="B717">
        <v>481.86</v>
      </c>
      <c r="C717">
        <v>485.72</v>
      </c>
      <c r="D717">
        <v>487.94</v>
      </c>
      <c r="E717">
        <v>479.87</v>
      </c>
      <c r="F717" t="s">
        <v>1272</v>
      </c>
      <c r="G717" s="21">
        <v>-5.7999999999999996E-3</v>
      </c>
    </row>
    <row r="718" spans="1:7" x14ac:dyDescent="0.35">
      <c r="A718" s="22" t="s">
        <v>1273</v>
      </c>
      <c r="B718">
        <v>484.66</v>
      </c>
      <c r="C718">
        <v>475.64</v>
      </c>
      <c r="D718">
        <v>485.22</v>
      </c>
      <c r="E718">
        <v>469.64</v>
      </c>
      <c r="F718" t="s">
        <v>1274</v>
      </c>
      <c r="G718" s="21">
        <v>2.52E-2</v>
      </c>
    </row>
    <row r="719" spans="1:7" x14ac:dyDescent="0.35">
      <c r="A719" s="22" t="s">
        <v>1275</v>
      </c>
      <c r="B719">
        <v>472.76</v>
      </c>
      <c r="C719">
        <v>488.3</v>
      </c>
      <c r="D719">
        <v>488.69</v>
      </c>
      <c r="E719">
        <v>470.14</v>
      </c>
      <c r="F719" t="s">
        <v>1276</v>
      </c>
      <c r="G719" s="21">
        <v>-2.58E-2</v>
      </c>
    </row>
    <row r="720" spans="1:7" x14ac:dyDescent="0.35">
      <c r="A720" s="22">
        <v>40524</v>
      </c>
      <c r="B720">
        <v>485.29</v>
      </c>
      <c r="C720">
        <v>485.82</v>
      </c>
      <c r="D720">
        <v>497.09</v>
      </c>
      <c r="E720">
        <v>476.27</v>
      </c>
      <c r="F720" t="s">
        <v>1277</v>
      </c>
      <c r="G720" s="21">
        <v>2.5899999999999999E-2</v>
      </c>
    </row>
    <row r="721" spans="1:7" x14ac:dyDescent="0.35">
      <c r="A721" s="22">
        <v>40310</v>
      </c>
      <c r="B721">
        <v>473.06</v>
      </c>
      <c r="C721">
        <v>467.3</v>
      </c>
      <c r="D721">
        <v>473.06</v>
      </c>
      <c r="E721">
        <v>450.16</v>
      </c>
      <c r="F721" t="s">
        <v>1278</v>
      </c>
      <c r="G721" s="21">
        <v>1.8800000000000001E-2</v>
      </c>
    </row>
    <row r="722" spans="1:7" x14ac:dyDescent="0.35">
      <c r="A722" s="22" t="s">
        <v>1279</v>
      </c>
      <c r="B722">
        <v>464.35</v>
      </c>
      <c r="C722">
        <v>437.92</v>
      </c>
      <c r="D722">
        <v>467.2</v>
      </c>
      <c r="E722">
        <v>436.38</v>
      </c>
      <c r="F722" t="s">
        <v>1280</v>
      </c>
      <c r="G722" s="21">
        <v>5.5500000000000001E-2</v>
      </c>
    </row>
    <row r="723" spans="1:7" x14ac:dyDescent="0.35">
      <c r="A723" s="22" t="s">
        <v>1281</v>
      </c>
      <c r="B723">
        <v>439.94</v>
      </c>
      <c r="C723">
        <v>422.71</v>
      </c>
      <c r="D723">
        <v>443.68</v>
      </c>
      <c r="E723">
        <v>419.98</v>
      </c>
      <c r="F723" t="s">
        <v>1282</v>
      </c>
      <c r="G723" s="21">
        <v>3.15E-2</v>
      </c>
    </row>
    <row r="724" spans="1:7" x14ac:dyDescent="0.35">
      <c r="A724" s="22" t="s">
        <v>1283</v>
      </c>
      <c r="B724">
        <v>426.51</v>
      </c>
      <c r="C724">
        <v>440.61</v>
      </c>
      <c r="D724">
        <v>443.08</v>
      </c>
      <c r="E724">
        <v>424.32</v>
      </c>
      <c r="F724" t="s">
        <v>1284</v>
      </c>
      <c r="G724" s="21">
        <v>-3.4200000000000001E-2</v>
      </c>
    </row>
    <row r="725" spans="1:7" x14ac:dyDescent="0.35">
      <c r="A725" s="22">
        <v>40370</v>
      </c>
      <c r="B725">
        <v>441.6</v>
      </c>
      <c r="C725">
        <v>457.5</v>
      </c>
      <c r="D725">
        <v>458.74</v>
      </c>
      <c r="E725">
        <v>436.5</v>
      </c>
      <c r="F725" t="s">
        <v>1285</v>
      </c>
      <c r="G725" s="21">
        <v>-3.4299999999999997E-2</v>
      </c>
    </row>
    <row r="726" spans="1:7" x14ac:dyDescent="0.35">
      <c r="A726" s="22" t="s">
        <v>1286</v>
      </c>
      <c r="B726">
        <v>457.27</v>
      </c>
      <c r="C726">
        <v>451.81</v>
      </c>
      <c r="D726">
        <v>457.27</v>
      </c>
      <c r="E726">
        <v>442.34</v>
      </c>
      <c r="F726" t="s">
        <v>1287</v>
      </c>
      <c r="G726" s="21">
        <v>1.03E-2</v>
      </c>
    </row>
    <row r="727" spans="1:7" x14ac:dyDescent="0.35">
      <c r="A727" s="22" t="s">
        <v>1288</v>
      </c>
      <c r="B727">
        <v>452.63</v>
      </c>
      <c r="C727">
        <v>444.67</v>
      </c>
      <c r="D727">
        <v>458.23</v>
      </c>
      <c r="E727">
        <v>443.12</v>
      </c>
      <c r="F727" t="s">
        <v>1289</v>
      </c>
      <c r="G727" s="21">
        <v>1.67E-2</v>
      </c>
    </row>
    <row r="728" spans="1:7" x14ac:dyDescent="0.35">
      <c r="A728" s="22" t="s">
        <v>1290</v>
      </c>
      <c r="B728">
        <v>445.21</v>
      </c>
      <c r="C728">
        <v>458.44</v>
      </c>
      <c r="D728">
        <v>459.39</v>
      </c>
      <c r="E728">
        <v>440.59</v>
      </c>
      <c r="F728" t="s">
        <v>1291</v>
      </c>
      <c r="G728" s="21">
        <v>-2.8799999999999999E-2</v>
      </c>
    </row>
    <row r="729" spans="1:7" x14ac:dyDescent="0.35">
      <c r="A729" s="22">
        <v>40461</v>
      </c>
      <c r="B729">
        <v>458.39</v>
      </c>
      <c r="C729">
        <v>457.41</v>
      </c>
      <c r="D729">
        <v>461.48</v>
      </c>
      <c r="E729">
        <v>452.19</v>
      </c>
      <c r="F729" t="s">
        <v>1292</v>
      </c>
      <c r="G729" s="21">
        <v>-1.9E-3</v>
      </c>
    </row>
    <row r="730" spans="1:7" x14ac:dyDescent="0.35">
      <c r="A730" s="22">
        <v>40247</v>
      </c>
      <c r="B730">
        <v>459.26</v>
      </c>
      <c r="C730">
        <v>452.38</v>
      </c>
      <c r="D730">
        <v>467.61</v>
      </c>
      <c r="E730">
        <v>440.63</v>
      </c>
      <c r="F730" t="s">
        <v>1293</v>
      </c>
      <c r="G730" s="21">
        <v>1.67E-2</v>
      </c>
    </row>
    <row r="731" spans="1:7" x14ac:dyDescent="0.35">
      <c r="A731" s="22" t="s">
        <v>1294</v>
      </c>
      <c r="B731">
        <v>451.71</v>
      </c>
      <c r="C731">
        <v>451.17</v>
      </c>
      <c r="D731">
        <v>458</v>
      </c>
      <c r="E731">
        <v>449.37</v>
      </c>
      <c r="F731" t="s">
        <v>1295</v>
      </c>
      <c r="G731" s="21">
        <v>4.4000000000000003E-3</v>
      </c>
    </row>
    <row r="732" spans="1:7" x14ac:dyDescent="0.35">
      <c r="A732" s="22" t="s">
        <v>1296</v>
      </c>
      <c r="B732">
        <v>449.71</v>
      </c>
      <c r="C732">
        <v>462.01</v>
      </c>
      <c r="D732">
        <v>462.83</v>
      </c>
      <c r="E732">
        <v>447.16</v>
      </c>
      <c r="F732" t="s">
        <v>1297</v>
      </c>
      <c r="G732" s="21">
        <v>-1.72E-2</v>
      </c>
    </row>
    <row r="733" spans="1:7" x14ac:dyDescent="0.35">
      <c r="A733" s="22">
        <v>40521</v>
      </c>
      <c r="B733">
        <v>457.58</v>
      </c>
      <c r="C733">
        <v>448.97</v>
      </c>
      <c r="D733">
        <v>457.58</v>
      </c>
      <c r="E733">
        <v>442.43</v>
      </c>
      <c r="F733" t="s">
        <v>1298</v>
      </c>
      <c r="G733" s="21">
        <v>1.37E-2</v>
      </c>
    </row>
    <row r="734" spans="1:7" x14ac:dyDescent="0.35">
      <c r="A734" s="22">
        <v>40307</v>
      </c>
      <c r="B734">
        <v>451.39</v>
      </c>
      <c r="C734">
        <v>463.94</v>
      </c>
      <c r="D734">
        <v>469.25</v>
      </c>
      <c r="E734">
        <v>451.39</v>
      </c>
      <c r="F734" t="s">
        <v>1299</v>
      </c>
      <c r="G734" s="21">
        <v>-1.6E-2</v>
      </c>
    </row>
    <row r="735" spans="1:7" x14ac:dyDescent="0.35">
      <c r="A735" s="22" t="s">
        <v>1300</v>
      </c>
      <c r="B735">
        <v>458.75</v>
      </c>
      <c r="C735">
        <v>439.27</v>
      </c>
      <c r="D735">
        <v>458.75</v>
      </c>
      <c r="E735">
        <v>439.27</v>
      </c>
      <c r="F735" t="s">
        <v>1301</v>
      </c>
      <c r="G735" s="21">
        <v>6.9000000000000006E-2</v>
      </c>
    </row>
    <row r="736" spans="1:7" x14ac:dyDescent="0.35">
      <c r="A736" s="22" t="s">
        <v>1302</v>
      </c>
      <c r="B736">
        <v>429.14</v>
      </c>
      <c r="C736">
        <v>453.06</v>
      </c>
      <c r="D736">
        <v>453.06</v>
      </c>
      <c r="E736">
        <v>421.3</v>
      </c>
      <c r="F736" t="s">
        <v>1303</v>
      </c>
      <c r="G736" s="21">
        <v>-5.6500000000000002E-2</v>
      </c>
    </row>
    <row r="737" spans="1:7" x14ac:dyDescent="0.35">
      <c r="A737" s="22" t="s">
        <v>1304</v>
      </c>
      <c r="B737">
        <v>454.84</v>
      </c>
      <c r="C737">
        <v>458.09</v>
      </c>
      <c r="D737">
        <v>464.76</v>
      </c>
      <c r="E737">
        <v>444.38</v>
      </c>
      <c r="F737" t="s">
        <v>1305</v>
      </c>
      <c r="G737" s="21">
        <v>4.7000000000000002E-3</v>
      </c>
    </row>
    <row r="738" spans="1:7" x14ac:dyDescent="0.35">
      <c r="A738" s="22">
        <v>40398</v>
      </c>
      <c r="B738">
        <v>452.73</v>
      </c>
      <c r="C738">
        <v>482.65</v>
      </c>
      <c r="D738">
        <v>482.65</v>
      </c>
      <c r="E738">
        <v>440.72</v>
      </c>
      <c r="F738" t="s">
        <v>1306</v>
      </c>
      <c r="G738" s="21">
        <v>-6.2300000000000001E-2</v>
      </c>
    </row>
    <row r="739" spans="1:7" x14ac:dyDescent="0.35">
      <c r="A739" s="22">
        <v>40186</v>
      </c>
      <c r="B739">
        <v>482.82</v>
      </c>
      <c r="C739">
        <v>494.78</v>
      </c>
      <c r="D739">
        <v>496.53</v>
      </c>
      <c r="E739">
        <v>482.37</v>
      </c>
      <c r="F739" t="s">
        <v>1307</v>
      </c>
      <c r="G739" s="21">
        <v>-2.2499999999999999E-2</v>
      </c>
    </row>
    <row r="740" spans="1:7" x14ac:dyDescent="0.35">
      <c r="A740" s="22" t="s">
        <v>1308</v>
      </c>
      <c r="B740">
        <v>493.91</v>
      </c>
      <c r="C740">
        <v>501.2</v>
      </c>
      <c r="D740">
        <v>501.92</v>
      </c>
      <c r="E740">
        <v>488.92</v>
      </c>
      <c r="F740" t="s">
        <v>1309</v>
      </c>
      <c r="G740" s="21">
        <v>-1.2800000000000001E-2</v>
      </c>
    </row>
    <row r="741" spans="1:7" x14ac:dyDescent="0.35">
      <c r="A741" s="22" t="s">
        <v>1310</v>
      </c>
      <c r="B741">
        <v>500.31</v>
      </c>
      <c r="C741">
        <v>504.25</v>
      </c>
      <c r="D741">
        <v>507.27</v>
      </c>
      <c r="E741">
        <v>499.73</v>
      </c>
      <c r="F741" t="s">
        <v>1311</v>
      </c>
      <c r="G741" s="21">
        <v>-1.17E-2</v>
      </c>
    </row>
    <row r="742" spans="1:7" x14ac:dyDescent="0.35">
      <c r="A742" s="22">
        <v>40489</v>
      </c>
      <c r="B742">
        <v>506.21</v>
      </c>
      <c r="C742">
        <v>499.83</v>
      </c>
      <c r="D742">
        <v>512.80999999999995</v>
      </c>
      <c r="E742">
        <v>497.16</v>
      </c>
      <c r="F742" t="s">
        <v>1312</v>
      </c>
      <c r="G742" s="21">
        <v>1.35E-2</v>
      </c>
    </row>
    <row r="743" spans="1:7" x14ac:dyDescent="0.35">
      <c r="A743" s="22">
        <v>40275</v>
      </c>
      <c r="B743">
        <v>499.46</v>
      </c>
      <c r="C743">
        <v>505.67</v>
      </c>
      <c r="D743">
        <v>507.08</v>
      </c>
      <c r="E743">
        <v>496.91</v>
      </c>
      <c r="F743" t="s">
        <v>1313</v>
      </c>
      <c r="G743" s="21">
        <v>-8.3000000000000001E-3</v>
      </c>
    </row>
    <row r="744" spans="1:7" x14ac:dyDescent="0.35">
      <c r="A744" s="22" t="s">
        <v>1314</v>
      </c>
      <c r="B744">
        <v>503.65</v>
      </c>
      <c r="C744">
        <v>505.37</v>
      </c>
      <c r="D744">
        <v>511.37</v>
      </c>
      <c r="E744">
        <v>501.06</v>
      </c>
      <c r="F744" t="s">
        <v>1315</v>
      </c>
      <c r="G744" s="21">
        <v>-2.8999999999999998E-3</v>
      </c>
    </row>
    <row r="745" spans="1:7" x14ac:dyDescent="0.35">
      <c r="A745" s="22" t="s">
        <v>1316</v>
      </c>
      <c r="B745">
        <v>505.12</v>
      </c>
      <c r="C745">
        <v>515.08000000000004</v>
      </c>
      <c r="D745">
        <v>515.76</v>
      </c>
      <c r="E745">
        <v>505.12</v>
      </c>
      <c r="F745" t="s">
        <v>1317</v>
      </c>
      <c r="G745" s="21">
        <v>-1.1900000000000001E-2</v>
      </c>
    </row>
    <row r="746" spans="1:7" x14ac:dyDescent="0.35">
      <c r="A746" s="22" t="s">
        <v>1318</v>
      </c>
      <c r="B746">
        <v>511.18</v>
      </c>
      <c r="C746">
        <v>506.55</v>
      </c>
      <c r="D746">
        <v>514.04</v>
      </c>
      <c r="E746">
        <v>506.31</v>
      </c>
      <c r="F746" t="s">
        <v>1319</v>
      </c>
      <c r="G746" s="21">
        <v>1.37E-2</v>
      </c>
    </row>
    <row r="747" spans="1:7" x14ac:dyDescent="0.35">
      <c r="A747" s="22">
        <v>40335</v>
      </c>
      <c r="B747">
        <v>504.29</v>
      </c>
      <c r="C747">
        <v>498.94</v>
      </c>
      <c r="D747">
        <v>506.75</v>
      </c>
      <c r="E747">
        <v>493.2</v>
      </c>
      <c r="F747" t="s">
        <v>1320</v>
      </c>
      <c r="G747" s="21">
        <v>-1.1900000000000001E-2</v>
      </c>
    </row>
    <row r="748" spans="1:7" x14ac:dyDescent="0.35">
      <c r="A748" s="22" t="s">
        <v>1321</v>
      </c>
      <c r="B748">
        <v>510.37</v>
      </c>
      <c r="C748">
        <v>510.54</v>
      </c>
      <c r="D748">
        <v>516.22</v>
      </c>
      <c r="E748">
        <v>503.65</v>
      </c>
      <c r="F748" t="s">
        <v>1322</v>
      </c>
      <c r="G748" s="21">
        <v>-5.1000000000000004E-3</v>
      </c>
    </row>
    <row r="749" spans="1:7" x14ac:dyDescent="0.35">
      <c r="A749" s="22" t="s">
        <v>1323</v>
      </c>
      <c r="B749">
        <v>512.99</v>
      </c>
      <c r="C749">
        <v>485.1</v>
      </c>
      <c r="D749">
        <v>513.34</v>
      </c>
      <c r="E749">
        <v>479.56</v>
      </c>
      <c r="F749" t="s">
        <v>1324</v>
      </c>
      <c r="G749" s="21">
        <v>6.0600000000000001E-2</v>
      </c>
    </row>
    <row r="750" spans="1:7" x14ac:dyDescent="0.35">
      <c r="A750" s="22" t="s">
        <v>1325</v>
      </c>
      <c r="B750">
        <v>483.69</v>
      </c>
      <c r="C750">
        <v>521.29999999999995</v>
      </c>
      <c r="D750">
        <v>521.66999999999996</v>
      </c>
      <c r="E750">
        <v>481.68</v>
      </c>
      <c r="F750" t="s">
        <v>1326</v>
      </c>
      <c r="G750" s="21">
        <v>-7.1099999999999997E-2</v>
      </c>
    </row>
    <row r="751" spans="1:7" x14ac:dyDescent="0.35">
      <c r="A751" s="22">
        <v>40426</v>
      </c>
      <c r="B751">
        <v>520.72</v>
      </c>
      <c r="C751">
        <v>541.49</v>
      </c>
      <c r="D751">
        <v>541.49</v>
      </c>
      <c r="E751">
        <v>516.11</v>
      </c>
      <c r="F751" t="s">
        <v>1327</v>
      </c>
      <c r="G751" s="21">
        <v>-3.9300000000000002E-2</v>
      </c>
    </row>
    <row r="752" spans="1:7" x14ac:dyDescent="0.35">
      <c r="A752" s="22">
        <v>40214</v>
      </c>
      <c r="B752">
        <v>542.03</v>
      </c>
      <c r="C752">
        <v>544.52</v>
      </c>
      <c r="D752">
        <v>551.4</v>
      </c>
      <c r="E752">
        <v>536.51</v>
      </c>
      <c r="F752" t="s">
        <v>1328</v>
      </c>
      <c r="G752" s="21">
        <v>-5.9999999999999995E-4</v>
      </c>
    </row>
    <row r="753" spans="1:7" x14ac:dyDescent="0.35">
      <c r="A753" s="22" t="s">
        <v>1329</v>
      </c>
      <c r="B753">
        <v>542.37</v>
      </c>
      <c r="C753">
        <v>531.69000000000005</v>
      </c>
      <c r="D753">
        <v>542.74</v>
      </c>
      <c r="E753">
        <v>531.21</v>
      </c>
      <c r="F753" t="s">
        <v>1330</v>
      </c>
      <c r="G753" s="21">
        <v>2.47E-2</v>
      </c>
    </row>
    <row r="754" spans="1:7" x14ac:dyDescent="0.35">
      <c r="A754" s="22" t="s">
        <v>1331</v>
      </c>
      <c r="B754">
        <v>529.30999999999995</v>
      </c>
      <c r="C754">
        <v>521.35</v>
      </c>
      <c r="D754">
        <v>534.53</v>
      </c>
      <c r="E754">
        <v>515.20000000000005</v>
      </c>
      <c r="F754" t="s">
        <v>1332</v>
      </c>
      <c r="G754" s="21">
        <v>1.3899999999999999E-2</v>
      </c>
    </row>
    <row r="755" spans="1:7" x14ac:dyDescent="0.35">
      <c r="A755" s="22">
        <v>40486</v>
      </c>
      <c r="B755">
        <v>522.03</v>
      </c>
      <c r="C755">
        <v>522.12</v>
      </c>
      <c r="D755">
        <v>523.99</v>
      </c>
      <c r="E755">
        <v>515.80999999999995</v>
      </c>
      <c r="F755" t="s">
        <v>1333</v>
      </c>
      <c r="G755" s="21">
        <v>8.8999999999999999E-3</v>
      </c>
    </row>
    <row r="756" spans="1:7" x14ac:dyDescent="0.35">
      <c r="A756" s="22">
        <v>40272</v>
      </c>
      <c r="B756">
        <v>517.41999999999996</v>
      </c>
      <c r="C756">
        <v>514.16999999999996</v>
      </c>
      <c r="D756">
        <v>520.30999999999995</v>
      </c>
      <c r="E756">
        <v>512.54</v>
      </c>
      <c r="F756" t="s">
        <v>1334</v>
      </c>
      <c r="G756" s="21">
        <v>1.3599999999999999E-2</v>
      </c>
    </row>
    <row r="757" spans="1:7" x14ac:dyDescent="0.35">
      <c r="A757" s="22" t="s">
        <v>1335</v>
      </c>
      <c r="B757">
        <v>510.48</v>
      </c>
      <c r="C757">
        <v>506.7</v>
      </c>
      <c r="D757">
        <v>513.1</v>
      </c>
      <c r="E757">
        <v>499.24</v>
      </c>
      <c r="F757" t="s">
        <v>1336</v>
      </c>
      <c r="G757" s="21">
        <v>1.03E-2</v>
      </c>
    </row>
    <row r="758" spans="1:7" x14ac:dyDescent="0.35">
      <c r="A758" s="22" t="s">
        <v>1337</v>
      </c>
      <c r="B758">
        <v>505.3</v>
      </c>
      <c r="C758">
        <v>515.71</v>
      </c>
      <c r="D758">
        <v>517.79</v>
      </c>
      <c r="E758">
        <v>501.64</v>
      </c>
      <c r="F758" t="s">
        <v>1338</v>
      </c>
      <c r="G758" s="21">
        <v>-2.07E-2</v>
      </c>
    </row>
    <row r="759" spans="1:7" x14ac:dyDescent="0.35">
      <c r="A759" s="22" t="s">
        <v>1339</v>
      </c>
      <c r="B759">
        <v>515.99</v>
      </c>
      <c r="C759">
        <v>538.01</v>
      </c>
      <c r="D759">
        <v>538.01</v>
      </c>
      <c r="E759">
        <v>510.47</v>
      </c>
      <c r="F759" t="s">
        <v>1340</v>
      </c>
      <c r="G759" s="21">
        <v>-2.92E-2</v>
      </c>
    </row>
    <row r="760" spans="1:7" x14ac:dyDescent="0.35">
      <c r="A760" s="22">
        <v>40362</v>
      </c>
      <c r="B760">
        <v>531.51</v>
      </c>
      <c r="C760">
        <v>517</v>
      </c>
      <c r="D760">
        <v>531.51</v>
      </c>
      <c r="E760">
        <v>517</v>
      </c>
      <c r="F760" t="s">
        <v>1341</v>
      </c>
      <c r="G760" s="21">
        <v>3.5299999999999998E-2</v>
      </c>
    </row>
    <row r="761" spans="1:7" x14ac:dyDescent="0.35">
      <c r="A761" s="22" t="s">
        <v>1342</v>
      </c>
      <c r="B761">
        <v>513.39</v>
      </c>
      <c r="C761">
        <v>502.57</v>
      </c>
      <c r="D761">
        <v>516.77</v>
      </c>
      <c r="E761">
        <v>500.08</v>
      </c>
      <c r="F761" t="s">
        <v>1343</v>
      </c>
      <c r="G761" s="21">
        <v>3.32E-2</v>
      </c>
    </row>
    <row r="762" spans="1:7" x14ac:dyDescent="0.35">
      <c r="A762" s="22" t="s">
        <v>1344</v>
      </c>
      <c r="B762">
        <v>496.91</v>
      </c>
      <c r="C762">
        <v>513.19000000000005</v>
      </c>
      <c r="D762">
        <v>513.19000000000005</v>
      </c>
      <c r="E762">
        <v>490.21</v>
      </c>
      <c r="F762" t="s">
        <v>1345</v>
      </c>
      <c r="G762" s="21">
        <v>-1.9900000000000001E-2</v>
      </c>
    </row>
    <row r="763" spans="1:7" x14ac:dyDescent="0.35">
      <c r="A763" s="22">
        <v>40361</v>
      </c>
      <c r="B763">
        <v>507</v>
      </c>
      <c r="C763">
        <v>488.86</v>
      </c>
      <c r="D763">
        <v>508.72</v>
      </c>
      <c r="E763">
        <v>482.38</v>
      </c>
      <c r="F763" t="s">
        <v>1346</v>
      </c>
      <c r="G763" s="21">
        <v>2.8299999999999999E-2</v>
      </c>
    </row>
    <row r="764" spans="1:7" x14ac:dyDescent="0.35">
      <c r="A764" s="22" t="s">
        <v>1347</v>
      </c>
      <c r="B764">
        <v>493.04</v>
      </c>
      <c r="C764">
        <v>482.93</v>
      </c>
      <c r="D764">
        <v>504.35</v>
      </c>
      <c r="E764">
        <v>481.84</v>
      </c>
      <c r="F764" t="s">
        <v>1348</v>
      </c>
      <c r="G764" s="21">
        <v>2.3E-2</v>
      </c>
    </row>
    <row r="765" spans="1:7" x14ac:dyDescent="0.35">
      <c r="A765" s="22" t="s">
        <v>1349</v>
      </c>
      <c r="B765">
        <v>481.96</v>
      </c>
      <c r="C765">
        <v>476.75</v>
      </c>
      <c r="D765">
        <v>498.2</v>
      </c>
      <c r="E765">
        <v>476.75</v>
      </c>
      <c r="F765" t="s">
        <v>1350</v>
      </c>
      <c r="G765" s="21">
        <v>9.1999999999999998E-3</v>
      </c>
    </row>
    <row r="766" spans="1:7" x14ac:dyDescent="0.35">
      <c r="A766" s="22" t="s">
        <v>1351</v>
      </c>
      <c r="B766">
        <v>477.59</v>
      </c>
      <c r="C766">
        <v>499.08</v>
      </c>
      <c r="D766">
        <v>499.24</v>
      </c>
      <c r="E766">
        <v>471.85</v>
      </c>
      <c r="F766" t="s">
        <v>1352</v>
      </c>
      <c r="G766" s="21">
        <v>-5.5100000000000003E-2</v>
      </c>
    </row>
    <row r="767" spans="1:7" x14ac:dyDescent="0.35">
      <c r="A767" s="22">
        <v>40452</v>
      </c>
      <c r="B767">
        <v>505.42</v>
      </c>
      <c r="C767">
        <v>522.78</v>
      </c>
      <c r="D767">
        <v>524.05999999999995</v>
      </c>
      <c r="E767">
        <v>485.75</v>
      </c>
      <c r="F767" t="s">
        <v>1353</v>
      </c>
      <c r="G767" s="21">
        <v>-2.9700000000000001E-2</v>
      </c>
    </row>
    <row r="768" spans="1:7" x14ac:dyDescent="0.35">
      <c r="A768" s="22">
        <v>40238</v>
      </c>
      <c r="B768">
        <v>520.9</v>
      </c>
      <c r="C768">
        <v>501.74</v>
      </c>
      <c r="D768">
        <v>544.49</v>
      </c>
      <c r="E768">
        <v>501.74</v>
      </c>
      <c r="F768" t="s">
        <v>1354</v>
      </c>
      <c r="G768" s="21">
        <v>5.28E-2</v>
      </c>
    </row>
    <row r="769" spans="1:7" x14ac:dyDescent="0.35">
      <c r="A769" s="22" t="s">
        <v>1355</v>
      </c>
      <c r="B769">
        <v>494.77</v>
      </c>
      <c r="C769">
        <v>490.68</v>
      </c>
      <c r="D769">
        <v>504.84</v>
      </c>
      <c r="E769">
        <v>483.07</v>
      </c>
      <c r="F769" t="s">
        <v>1356</v>
      </c>
      <c r="G769" s="21">
        <v>-5.9999999999999995E-4</v>
      </c>
    </row>
    <row r="770" spans="1:7" x14ac:dyDescent="0.35">
      <c r="A770" s="22" t="s">
        <v>1357</v>
      </c>
      <c r="B770">
        <v>495.08</v>
      </c>
      <c r="C770">
        <v>457.08</v>
      </c>
      <c r="D770">
        <v>495.76</v>
      </c>
      <c r="E770">
        <v>452.55</v>
      </c>
      <c r="F770" t="s">
        <v>1358</v>
      </c>
      <c r="G770" s="21">
        <v>0.1167</v>
      </c>
    </row>
    <row r="771" spans="1:7" x14ac:dyDescent="0.35">
      <c r="A771" s="22" t="s">
        <v>1359</v>
      </c>
      <c r="B771">
        <v>443.34</v>
      </c>
      <c r="C771">
        <v>449.25</v>
      </c>
      <c r="D771">
        <v>463.42</v>
      </c>
      <c r="E771">
        <v>427.06</v>
      </c>
      <c r="F771" t="s">
        <v>1360</v>
      </c>
      <c r="G771" s="21">
        <v>-1.8E-3</v>
      </c>
    </row>
    <row r="772" spans="1:7" x14ac:dyDescent="0.35">
      <c r="A772" s="22">
        <v>39976</v>
      </c>
      <c r="B772">
        <v>444.16</v>
      </c>
      <c r="C772">
        <v>495.43</v>
      </c>
      <c r="D772">
        <v>498.61</v>
      </c>
      <c r="E772">
        <v>442.61</v>
      </c>
      <c r="F772" t="s">
        <v>1361</v>
      </c>
      <c r="G772" s="21">
        <v>-0.1026</v>
      </c>
    </row>
    <row r="773" spans="1:7" x14ac:dyDescent="0.35">
      <c r="A773" s="22" t="s">
        <v>1362</v>
      </c>
      <c r="B773">
        <v>494.96</v>
      </c>
      <c r="C773">
        <v>494.12</v>
      </c>
      <c r="D773">
        <v>518.32000000000005</v>
      </c>
      <c r="E773">
        <v>485.59</v>
      </c>
      <c r="F773" t="s">
        <v>1363</v>
      </c>
      <c r="G773" s="21">
        <v>8.8000000000000005E-3</v>
      </c>
    </row>
    <row r="774" spans="1:7" x14ac:dyDescent="0.35">
      <c r="A774" s="22" t="s">
        <v>1364</v>
      </c>
      <c r="B774">
        <v>490.62</v>
      </c>
      <c r="C774">
        <v>551.91999999999996</v>
      </c>
      <c r="D774">
        <v>553.4</v>
      </c>
      <c r="E774">
        <v>461.48</v>
      </c>
      <c r="F774" t="s">
        <v>1365</v>
      </c>
      <c r="G774" s="21">
        <v>-0.1173</v>
      </c>
    </row>
    <row r="775" spans="1:7" x14ac:dyDescent="0.35">
      <c r="A775" s="22" t="s">
        <v>1366</v>
      </c>
      <c r="B775">
        <v>555.84</v>
      </c>
      <c r="C775">
        <v>550.97</v>
      </c>
      <c r="D775">
        <v>562.64</v>
      </c>
      <c r="E775">
        <v>543.61</v>
      </c>
      <c r="F775" t="s">
        <v>1367</v>
      </c>
      <c r="G775" s="21">
        <v>1.3899999999999999E-2</v>
      </c>
    </row>
    <row r="776" spans="1:7" x14ac:dyDescent="0.35">
      <c r="A776" s="22">
        <v>40036</v>
      </c>
      <c r="B776">
        <v>548.21</v>
      </c>
      <c r="C776">
        <v>544.91</v>
      </c>
      <c r="D776">
        <v>550.78</v>
      </c>
      <c r="E776">
        <v>520</v>
      </c>
      <c r="F776" t="s">
        <v>1368</v>
      </c>
      <c r="G776" s="21">
        <v>-1.2E-2</v>
      </c>
    </row>
    <row r="777" spans="1:7" x14ac:dyDescent="0.35">
      <c r="A777" s="22">
        <v>39824</v>
      </c>
      <c r="B777">
        <v>554.88</v>
      </c>
      <c r="C777">
        <v>565.85</v>
      </c>
      <c r="D777">
        <v>569.71</v>
      </c>
      <c r="E777">
        <v>533.23</v>
      </c>
      <c r="F777" t="s">
        <v>1369</v>
      </c>
      <c r="G777" s="21">
        <v>-5.4899999999999997E-2</v>
      </c>
    </row>
    <row r="778" spans="1:7" x14ac:dyDescent="0.35">
      <c r="A778" s="22" t="s">
        <v>1370</v>
      </c>
      <c r="B778">
        <v>587.12</v>
      </c>
      <c r="C778">
        <v>615.58000000000004</v>
      </c>
      <c r="D778">
        <v>623.71</v>
      </c>
      <c r="E778">
        <v>575.73</v>
      </c>
      <c r="F778" t="s">
        <v>1371</v>
      </c>
      <c r="G778" s="21">
        <v>-4.6399999999999997E-2</v>
      </c>
    </row>
    <row r="779" spans="1:7" x14ac:dyDescent="0.35">
      <c r="A779" s="22" t="s">
        <v>1372</v>
      </c>
      <c r="B779">
        <v>615.67999999999995</v>
      </c>
      <c r="C779">
        <v>609.03</v>
      </c>
      <c r="D779">
        <v>633.21</v>
      </c>
      <c r="E779">
        <v>605.79999999999995</v>
      </c>
      <c r="F779" t="s">
        <v>1373</v>
      </c>
      <c r="G779" s="21">
        <v>1.01E-2</v>
      </c>
    </row>
    <row r="780" spans="1:7" x14ac:dyDescent="0.35">
      <c r="A780" s="22">
        <v>40127</v>
      </c>
      <c r="B780">
        <v>609.54</v>
      </c>
      <c r="C780">
        <v>588.67999999999995</v>
      </c>
      <c r="D780">
        <v>626.11</v>
      </c>
      <c r="E780">
        <v>587.11</v>
      </c>
      <c r="F780" t="s">
        <v>1374</v>
      </c>
      <c r="G780" s="21">
        <v>4.7300000000000002E-2</v>
      </c>
    </row>
    <row r="781" spans="1:7" x14ac:dyDescent="0.35">
      <c r="A781" s="22">
        <v>39913</v>
      </c>
      <c r="B781">
        <v>581.99</v>
      </c>
      <c r="C781">
        <v>553.21</v>
      </c>
      <c r="D781">
        <v>582.52</v>
      </c>
      <c r="E781">
        <v>543.20000000000005</v>
      </c>
      <c r="F781" t="s">
        <v>1375</v>
      </c>
      <c r="G781" s="21">
        <v>5.8700000000000002E-2</v>
      </c>
    </row>
    <row r="782" spans="1:7" x14ac:dyDescent="0.35">
      <c r="A782" s="22" t="s">
        <v>1376</v>
      </c>
      <c r="B782">
        <v>549.73</v>
      </c>
      <c r="C782">
        <v>585.83000000000004</v>
      </c>
      <c r="D782">
        <v>590.91</v>
      </c>
      <c r="E782">
        <v>544.32000000000005</v>
      </c>
      <c r="F782" t="s">
        <v>1377</v>
      </c>
      <c r="G782" s="21">
        <v>-5.6800000000000003E-2</v>
      </c>
    </row>
    <row r="783" spans="1:7" x14ac:dyDescent="0.35">
      <c r="A783" s="22" t="s">
        <v>1378</v>
      </c>
      <c r="B783">
        <v>582.84</v>
      </c>
      <c r="C783">
        <v>578.32000000000005</v>
      </c>
      <c r="D783">
        <v>594.32000000000005</v>
      </c>
      <c r="E783">
        <v>572.16</v>
      </c>
      <c r="F783" t="s">
        <v>1379</v>
      </c>
      <c r="G783" s="21">
        <v>2.07E-2</v>
      </c>
    </row>
    <row r="784" spans="1:7" x14ac:dyDescent="0.35">
      <c r="A784" s="22" t="s">
        <v>1380</v>
      </c>
      <c r="B784">
        <v>571.01</v>
      </c>
      <c r="C784">
        <v>551.70000000000005</v>
      </c>
      <c r="D784">
        <v>571.01</v>
      </c>
      <c r="E784">
        <v>551.70000000000005</v>
      </c>
      <c r="F784" t="s">
        <v>1381</v>
      </c>
      <c r="G784" s="21">
        <v>4.2000000000000003E-2</v>
      </c>
    </row>
    <row r="785" spans="1:7" x14ac:dyDescent="0.35">
      <c r="A785" s="22">
        <v>39973</v>
      </c>
      <c r="B785">
        <v>547.99</v>
      </c>
      <c r="C785">
        <v>528.16</v>
      </c>
      <c r="D785">
        <v>549.62</v>
      </c>
      <c r="E785">
        <v>513.49</v>
      </c>
      <c r="F785" t="s">
        <v>1382</v>
      </c>
      <c r="G785" s="21">
        <v>3.6900000000000002E-2</v>
      </c>
    </row>
    <row r="786" spans="1:7" x14ac:dyDescent="0.35">
      <c r="A786" s="22" t="s">
        <v>1383</v>
      </c>
      <c r="B786">
        <v>528.49</v>
      </c>
      <c r="C786">
        <v>541.89</v>
      </c>
      <c r="D786">
        <v>549.59</v>
      </c>
      <c r="E786">
        <v>528.49</v>
      </c>
      <c r="F786" t="s">
        <v>1384</v>
      </c>
      <c r="G786" s="21">
        <v>-1.4999999999999999E-2</v>
      </c>
    </row>
    <row r="787" spans="1:7" x14ac:dyDescent="0.35">
      <c r="A787" s="22" t="s">
        <v>1385</v>
      </c>
      <c r="B787">
        <v>536.53</v>
      </c>
      <c r="C787">
        <v>522.15</v>
      </c>
      <c r="D787">
        <v>536.53</v>
      </c>
      <c r="E787">
        <v>522.15</v>
      </c>
      <c r="F787" t="s">
        <v>1386</v>
      </c>
      <c r="G787" s="21">
        <v>3.3399999999999999E-2</v>
      </c>
    </row>
    <row r="788" spans="1:7" x14ac:dyDescent="0.35">
      <c r="A788" s="22" t="s">
        <v>1387</v>
      </c>
      <c r="B788">
        <v>519.16999999999996</v>
      </c>
      <c r="C788">
        <v>505.49</v>
      </c>
      <c r="D788">
        <v>530.45000000000005</v>
      </c>
      <c r="E788">
        <v>495.46</v>
      </c>
      <c r="F788" t="s">
        <v>1388</v>
      </c>
      <c r="G788" s="21">
        <v>2.4E-2</v>
      </c>
    </row>
    <row r="789" spans="1:7" x14ac:dyDescent="0.35">
      <c r="A789" s="22">
        <v>40064</v>
      </c>
      <c r="B789">
        <v>506.99</v>
      </c>
      <c r="C789">
        <v>485.92</v>
      </c>
      <c r="D789">
        <v>509.27</v>
      </c>
      <c r="E789">
        <v>483.68</v>
      </c>
      <c r="F789" t="s">
        <v>1389</v>
      </c>
      <c r="G789" s="21">
        <v>5.4800000000000001E-2</v>
      </c>
    </row>
    <row r="790" spans="1:7" x14ac:dyDescent="0.35">
      <c r="A790" s="22">
        <v>39852</v>
      </c>
      <c r="B790">
        <v>480.65</v>
      </c>
      <c r="C790">
        <v>466.82</v>
      </c>
      <c r="D790">
        <v>490.99</v>
      </c>
      <c r="E790">
        <v>465.36</v>
      </c>
      <c r="F790" t="s">
        <v>1390</v>
      </c>
      <c r="G790" s="21">
        <v>2.98E-2</v>
      </c>
    </row>
    <row r="791" spans="1:7" x14ac:dyDescent="0.35">
      <c r="A791" s="22" t="s">
        <v>1391</v>
      </c>
      <c r="B791">
        <v>466.76</v>
      </c>
      <c r="C791">
        <v>462.25</v>
      </c>
      <c r="D791">
        <v>472.58</v>
      </c>
      <c r="E791">
        <v>444.95</v>
      </c>
      <c r="F791" t="s">
        <v>1392</v>
      </c>
      <c r="G791" s="21">
        <v>2.6499999999999999E-2</v>
      </c>
    </row>
    <row r="792" spans="1:7" x14ac:dyDescent="0.35">
      <c r="A792" s="22" t="s">
        <v>1393</v>
      </c>
      <c r="B792">
        <v>454.71</v>
      </c>
      <c r="C792">
        <v>415.29</v>
      </c>
      <c r="D792">
        <v>454.71</v>
      </c>
      <c r="E792">
        <v>411.39</v>
      </c>
      <c r="F792" t="s">
        <v>1394</v>
      </c>
      <c r="G792" s="21">
        <v>6.0699999999999997E-2</v>
      </c>
    </row>
    <row r="793" spans="1:7" x14ac:dyDescent="0.35">
      <c r="A793" s="22">
        <v>40154</v>
      </c>
      <c r="B793">
        <v>428.67</v>
      </c>
      <c r="C793">
        <v>435.83</v>
      </c>
      <c r="D793">
        <v>440.43</v>
      </c>
      <c r="E793">
        <v>415.81</v>
      </c>
      <c r="F793" t="s">
        <v>1395</v>
      </c>
      <c r="G793" s="21">
        <v>-2.3199999999999998E-2</v>
      </c>
    </row>
    <row r="794" spans="1:7" x14ac:dyDescent="0.35">
      <c r="A794" s="22">
        <v>39940</v>
      </c>
      <c r="B794">
        <v>438.83</v>
      </c>
      <c r="C794">
        <v>442.4</v>
      </c>
      <c r="D794">
        <v>455.4</v>
      </c>
      <c r="E794">
        <v>437.33</v>
      </c>
      <c r="F794" t="s">
        <v>1396</v>
      </c>
      <c r="G794" s="21">
        <v>7.7999999999999996E-3</v>
      </c>
    </row>
    <row r="795" spans="1:7" x14ac:dyDescent="0.35">
      <c r="A795" s="22" t="s">
        <v>1397</v>
      </c>
      <c r="B795">
        <v>435.44</v>
      </c>
      <c r="C795">
        <v>461.99</v>
      </c>
      <c r="D795">
        <v>465.99</v>
      </c>
      <c r="E795">
        <v>422.35</v>
      </c>
      <c r="F795" t="s">
        <v>1398</v>
      </c>
      <c r="G795" s="21">
        <v>-5.62E-2</v>
      </c>
    </row>
    <row r="796" spans="1:7" x14ac:dyDescent="0.35">
      <c r="A796" s="22" t="s">
        <v>1399</v>
      </c>
      <c r="B796">
        <v>461.37</v>
      </c>
      <c r="C796">
        <v>458.36</v>
      </c>
      <c r="D796">
        <v>471.37</v>
      </c>
      <c r="E796">
        <v>437.44</v>
      </c>
      <c r="F796" t="s">
        <v>1400</v>
      </c>
      <c r="G796" s="21">
        <v>-2.9100000000000001E-2</v>
      </c>
    </row>
    <row r="797" spans="1:7" x14ac:dyDescent="0.35">
      <c r="A797" s="22" t="s">
        <v>1401</v>
      </c>
      <c r="B797">
        <v>475.22</v>
      </c>
      <c r="C797">
        <v>506</v>
      </c>
      <c r="D797">
        <v>506</v>
      </c>
      <c r="E797">
        <v>455.78</v>
      </c>
      <c r="F797" t="s">
        <v>1402</v>
      </c>
      <c r="G797" s="21">
        <v>-6.7400000000000002E-2</v>
      </c>
    </row>
    <row r="798" spans="1:7" x14ac:dyDescent="0.35">
      <c r="A798" s="22">
        <v>40000</v>
      </c>
      <c r="B798">
        <v>509.59</v>
      </c>
      <c r="C798">
        <v>488.98</v>
      </c>
      <c r="D798">
        <v>525.22</v>
      </c>
      <c r="E798">
        <v>488.98</v>
      </c>
      <c r="F798" t="s">
        <v>1403</v>
      </c>
      <c r="G798" s="21">
        <v>6.4500000000000002E-2</v>
      </c>
    </row>
    <row r="799" spans="1:7" x14ac:dyDescent="0.35">
      <c r="A799" s="22" t="s">
        <v>1404</v>
      </c>
      <c r="B799">
        <v>478.72</v>
      </c>
      <c r="C799">
        <v>418.75</v>
      </c>
      <c r="D799">
        <v>479.16</v>
      </c>
      <c r="E799">
        <v>418.44</v>
      </c>
      <c r="F799" t="s">
        <v>1405</v>
      </c>
      <c r="G799" s="21">
        <v>0.16300000000000001</v>
      </c>
    </row>
    <row r="800" spans="1:7" x14ac:dyDescent="0.35">
      <c r="A800" s="22" t="s">
        <v>1406</v>
      </c>
      <c r="B800">
        <v>411.64</v>
      </c>
      <c r="C800">
        <v>409.45</v>
      </c>
      <c r="D800">
        <v>431.39</v>
      </c>
      <c r="E800">
        <v>409</v>
      </c>
      <c r="F800" t="s">
        <v>1407</v>
      </c>
      <c r="G800" s="21">
        <v>1.7500000000000002E-2</v>
      </c>
    </row>
    <row r="801" spans="1:7" x14ac:dyDescent="0.35">
      <c r="A801" s="22" t="s">
        <v>1408</v>
      </c>
      <c r="B801">
        <v>404.58</v>
      </c>
      <c r="C801">
        <v>390.36</v>
      </c>
      <c r="D801">
        <v>416.9</v>
      </c>
      <c r="E801">
        <v>390.36</v>
      </c>
      <c r="F801" t="s">
        <v>1409</v>
      </c>
      <c r="G801" s="21">
        <v>3.6999999999999998E-2</v>
      </c>
    </row>
    <row r="802" spans="1:7" x14ac:dyDescent="0.35">
      <c r="A802" s="22">
        <v>40091</v>
      </c>
      <c r="B802">
        <v>390.16</v>
      </c>
      <c r="C802">
        <v>371.33</v>
      </c>
      <c r="D802">
        <v>390.16</v>
      </c>
      <c r="E802">
        <v>368.06</v>
      </c>
      <c r="F802" t="s">
        <v>1410</v>
      </c>
      <c r="G802" s="21">
        <v>6.54E-2</v>
      </c>
    </row>
    <row r="803" spans="1:7" x14ac:dyDescent="0.35">
      <c r="A803" s="22">
        <v>39877</v>
      </c>
      <c r="B803">
        <v>366.22</v>
      </c>
      <c r="C803">
        <v>336.31</v>
      </c>
      <c r="D803">
        <v>370.68</v>
      </c>
      <c r="E803">
        <v>336.31</v>
      </c>
      <c r="F803" t="s">
        <v>1411</v>
      </c>
      <c r="G803" s="21">
        <v>0.1386</v>
      </c>
    </row>
    <row r="804" spans="1:7" x14ac:dyDescent="0.35">
      <c r="A804" s="22" t="s">
        <v>1412</v>
      </c>
      <c r="B804">
        <v>321.63</v>
      </c>
      <c r="C804">
        <v>315.61</v>
      </c>
      <c r="D804">
        <v>321.63</v>
      </c>
      <c r="E804">
        <v>310.44</v>
      </c>
      <c r="F804" t="s">
        <v>1413</v>
      </c>
      <c r="G804" s="21">
        <v>3.7900000000000003E-2</v>
      </c>
    </row>
    <row r="805" spans="1:7" x14ac:dyDescent="0.35">
      <c r="A805" s="22" t="s">
        <v>1414</v>
      </c>
      <c r="B805">
        <v>309.89999999999998</v>
      </c>
      <c r="C805">
        <v>319.20999999999998</v>
      </c>
      <c r="D805">
        <v>324.89</v>
      </c>
      <c r="E805">
        <v>304.49</v>
      </c>
      <c r="F805" t="s">
        <v>1415</v>
      </c>
      <c r="G805" s="21">
        <v>-7.2499999999999995E-2</v>
      </c>
    </row>
    <row r="806" spans="1:7" x14ac:dyDescent="0.35">
      <c r="A806" s="22">
        <v>40151</v>
      </c>
      <c r="B806">
        <v>334.14</v>
      </c>
      <c r="C806">
        <v>334.43</v>
      </c>
      <c r="D806">
        <v>347.81</v>
      </c>
      <c r="E806">
        <v>329.29</v>
      </c>
      <c r="F806" t="s">
        <v>1416</v>
      </c>
      <c r="G806" s="21">
        <v>2.8000000000000001E-2</v>
      </c>
    </row>
    <row r="807" spans="1:7" x14ac:dyDescent="0.35">
      <c r="A807" s="22">
        <v>39937</v>
      </c>
      <c r="B807">
        <v>325.05</v>
      </c>
      <c r="C807">
        <v>313.72000000000003</v>
      </c>
      <c r="D807">
        <v>328.45</v>
      </c>
      <c r="E807">
        <v>309.82</v>
      </c>
      <c r="F807" t="s">
        <v>1417</v>
      </c>
      <c r="G807" s="21">
        <v>4.7600000000000003E-2</v>
      </c>
    </row>
    <row r="808" spans="1:7" x14ac:dyDescent="0.35">
      <c r="A808" s="22" t="s">
        <v>1418</v>
      </c>
      <c r="B808">
        <v>310.27999999999997</v>
      </c>
      <c r="C808">
        <v>281.60000000000002</v>
      </c>
      <c r="D808">
        <v>310.27999999999997</v>
      </c>
      <c r="E808">
        <v>276.58999999999997</v>
      </c>
      <c r="F808" t="s">
        <v>1419</v>
      </c>
      <c r="G808" s="21">
        <v>7.9600000000000004E-2</v>
      </c>
    </row>
    <row r="809" spans="1:7" x14ac:dyDescent="0.35">
      <c r="A809" s="22" t="s">
        <v>1420</v>
      </c>
      <c r="B809">
        <v>287.41000000000003</v>
      </c>
      <c r="C809">
        <v>264.86</v>
      </c>
      <c r="D809">
        <v>292.85000000000002</v>
      </c>
      <c r="E809">
        <v>260.16000000000003</v>
      </c>
      <c r="F809" t="s">
        <v>1421</v>
      </c>
      <c r="G809" s="21">
        <v>7.8E-2</v>
      </c>
    </row>
    <row r="810" spans="1:7" x14ac:dyDescent="0.35">
      <c r="A810" s="22" t="s">
        <v>1422</v>
      </c>
      <c r="B810">
        <v>266.62</v>
      </c>
      <c r="C810">
        <v>252.68</v>
      </c>
      <c r="D810">
        <v>276.81</v>
      </c>
      <c r="E810">
        <v>252.45</v>
      </c>
      <c r="F810" t="s">
        <v>1423</v>
      </c>
      <c r="G810" s="21">
        <v>6.0400000000000002E-2</v>
      </c>
    </row>
    <row r="811" spans="1:7" x14ac:dyDescent="0.35">
      <c r="A811" s="22">
        <v>40028</v>
      </c>
      <c r="B811">
        <v>251.44</v>
      </c>
      <c r="C811">
        <v>246.99</v>
      </c>
      <c r="D811">
        <v>258.42</v>
      </c>
      <c r="E811">
        <v>246.52</v>
      </c>
      <c r="F811" t="s">
        <v>1424</v>
      </c>
      <c r="G811" s="21">
        <v>2.3400000000000001E-2</v>
      </c>
    </row>
    <row r="812" spans="1:7" x14ac:dyDescent="0.35">
      <c r="A812" s="22">
        <v>39816</v>
      </c>
      <c r="B812">
        <v>245.7</v>
      </c>
      <c r="C812">
        <v>244.23</v>
      </c>
      <c r="D812">
        <v>249.69</v>
      </c>
      <c r="E812">
        <v>240.96</v>
      </c>
      <c r="F812" t="s">
        <v>1425</v>
      </c>
      <c r="G812" s="21">
        <v>-2.0000000000000001E-4</v>
      </c>
    </row>
    <row r="813" spans="1:7" x14ac:dyDescent="0.35">
      <c r="A813" s="22" t="s">
        <v>1426</v>
      </c>
      <c r="B813">
        <v>245.74</v>
      </c>
      <c r="C813">
        <v>247.04</v>
      </c>
      <c r="D813">
        <v>247.64</v>
      </c>
      <c r="E813">
        <v>234.66</v>
      </c>
      <c r="F813" t="s">
        <v>1427</v>
      </c>
      <c r="G813" s="21">
        <v>-2.7E-2</v>
      </c>
    </row>
    <row r="814" spans="1:7" x14ac:dyDescent="0.35">
      <c r="A814" s="22" t="s">
        <v>1428</v>
      </c>
      <c r="B814">
        <v>252.57</v>
      </c>
      <c r="C814">
        <v>274.86</v>
      </c>
      <c r="D814">
        <v>274.91000000000003</v>
      </c>
      <c r="E814">
        <v>250.54</v>
      </c>
      <c r="F814" t="s">
        <v>1429</v>
      </c>
      <c r="G814" s="21">
        <v>-7.9899999999999999E-2</v>
      </c>
    </row>
    <row r="815" spans="1:7" x14ac:dyDescent="0.35">
      <c r="A815" s="22">
        <v>40027</v>
      </c>
      <c r="B815">
        <v>274.51</v>
      </c>
      <c r="C815">
        <v>285.55</v>
      </c>
      <c r="D815">
        <v>287.83</v>
      </c>
      <c r="E815">
        <v>274.20999999999998</v>
      </c>
      <c r="F815" t="s">
        <v>1430</v>
      </c>
      <c r="G815" s="21">
        <v>-2.53E-2</v>
      </c>
    </row>
    <row r="816" spans="1:7" x14ac:dyDescent="0.35">
      <c r="A816" s="22">
        <v>39815</v>
      </c>
      <c r="B816">
        <v>281.63</v>
      </c>
      <c r="C816">
        <v>301.12</v>
      </c>
      <c r="D816">
        <v>301.3</v>
      </c>
      <c r="E816">
        <v>277.06</v>
      </c>
      <c r="F816" t="s">
        <v>1430</v>
      </c>
      <c r="G816" s="21">
        <v>-7.1199999999999999E-2</v>
      </c>
    </row>
    <row r="817" spans="1:7" x14ac:dyDescent="0.35">
      <c r="A817" s="22" t="s">
        <v>1431</v>
      </c>
      <c r="B817">
        <v>303.20999999999998</v>
      </c>
      <c r="C817">
        <v>305.89</v>
      </c>
      <c r="D817">
        <v>306.38</v>
      </c>
      <c r="E817">
        <v>300.02</v>
      </c>
      <c r="F817" t="s">
        <v>1432</v>
      </c>
      <c r="G817" s="21">
        <v>-9.4999999999999998E-3</v>
      </c>
    </row>
    <row r="818" spans="1:7" x14ac:dyDescent="0.35">
      <c r="A818" s="22">
        <v>40118</v>
      </c>
      <c r="B818">
        <v>306.12</v>
      </c>
      <c r="C818">
        <v>311.24</v>
      </c>
      <c r="D818">
        <v>312.64999999999998</v>
      </c>
      <c r="E818">
        <v>304.01</v>
      </c>
      <c r="F818" t="s">
        <v>1433</v>
      </c>
      <c r="G818" s="21">
        <v>-2.3199999999999998E-2</v>
      </c>
    </row>
    <row r="819" spans="1:7" x14ac:dyDescent="0.35">
      <c r="A819" s="22">
        <v>39904</v>
      </c>
      <c r="B819">
        <v>313.39999999999998</v>
      </c>
      <c r="C819">
        <v>308.77</v>
      </c>
      <c r="D819">
        <v>322.58999999999997</v>
      </c>
      <c r="E819">
        <v>308.25</v>
      </c>
      <c r="F819" t="s">
        <v>1434</v>
      </c>
      <c r="G819" s="21">
        <v>2.0000000000000001E-4</v>
      </c>
    </row>
    <row r="820" spans="1:7" x14ac:dyDescent="0.35">
      <c r="A820" s="22" t="s">
        <v>1435</v>
      </c>
      <c r="B820">
        <v>313.33999999999997</v>
      </c>
      <c r="C820">
        <v>306.45</v>
      </c>
      <c r="D820">
        <v>318.82</v>
      </c>
      <c r="E820">
        <v>306.45</v>
      </c>
      <c r="F820" t="s">
        <v>1436</v>
      </c>
      <c r="G820" s="21">
        <v>2.92E-2</v>
      </c>
    </row>
    <row r="821" spans="1:7" x14ac:dyDescent="0.35">
      <c r="A821" s="22" t="s">
        <v>1437</v>
      </c>
      <c r="B821">
        <v>304.45999999999998</v>
      </c>
      <c r="C821">
        <v>314.36</v>
      </c>
      <c r="D821">
        <v>314.76</v>
      </c>
      <c r="E821">
        <v>298.66000000000003</v>
      </c>
      <c r="F821" t="s">
        <v>1438</v>
      </c>
      <c r="G821" s="21">
        <v>-9.1000000000000004E-3</v>
      </c>
    </row>
    <row r="822" spans="1:7" x14ac:dyDescent="0.35">
      <c r="A822" s="22" t="s">
        <v>1439</v>
      </c>
      <c r="B822">
        <v>307.26</v>
      </c>
      <c r="C822">
        <v>308.02</v>
      </c>
      <c r="D822">
        <v>309.93</v>
      </c>
      <c r="E822">
        <v>293.08999999999997</v>
      </c>
      <c r="F822" t="s">
        <v>1440</v>
      </c>
      <c r="G822" s="21">
        <v>2.58E-2</v>
      </c>
    </row>
    <row r="823" spans="1:7" x14ac:dyDescent="0.35">
      <c r="A823" s="22">
        <v>39641</v>
      </c>
      <c r="B823">
        <v>299.54000000000002</v>
      </c>
      <c r="C823">
        <v>291.83</v>
      </c>
      <c r="D823">
        <v>299.54000000000002</v>
      </c>
      <c r="E823">
        <v>284.06</v>
      </c>
      <c r="F823" t="s">
        <v>1441</v>
      </c>
      <c r="G823" s="21">
        <v>-5.0000000000000001E-4</v>
      </c>
    </row>
    <row r="824" spans="1:7" x14ac:dyDescent="0.35">
      <c r="A824" s="22" t="s">
        <v>1442</v>
      </c>
      <c r="B824">
        <v>299.68</v>
      </c>
      <c r="C824">
        <v>313.33</v>
      </c>
      <c r="D824">
        <v>317.37</v>
      </c>
      <c r="E824">
        <v>298.8</v>
      </c>
      <c r="F824" t="s">
        <v>1443</v>
      </c>
      <c r="G824" s="21">
        <v>-4.7800000000000002E-2</v>
      </c>
    </row>
    <row r="825" spans="1:7" x14ac:dyDescent="0.35">
      <c r="A825" s="22" t="s">
        <v>1444</v>
      </c>
      <c r="B825">
        <v>314.74</v>
      </c>
      <c r="C825">
        <v>322.79000000000002</v>
      </c>
      <c r="D825">
        <v>322.79000000000002</v>
      </c>
      <c r="E825">
        <v>303.54000000000002</v>
      </c>
      <c r="F825" t="s">
        <v>1445</v>
      </c>
      <c r="G825" s="21">
        <v>-1.32E-2</v>
      </c>
    </row>
    <row r="826" spans="1:7" x14ac:dyDescent="0.35">
      <c r="A826" s="22" t="s">
        <v>1446</v>
      </c>
      <c r="B826">
        <v>318.95999999999998</v>
      </c>
      <c r="C826">
        <v>346.89</v>
      </c>
      <c r="D826">
        <v>348.93</v>
      </c>
      <c r="E826">
        <v>315.23</v>
      </c>
      <c r="F826" t="s">
        <v>1447</v>
      </c>
      <c r="G826" s="21">
        <v>-9.4E-2</v>
      </c>
    </row>
    <row r="827" spans="1:7" x14ac:dyDescent="0.35">
      <c r="A827" s="22">
        <v>39702</v>
      </c>
      <c r="B827">
        <v>352.07</v>
      </c>
      <c r="C827">
        <v>368.38</v>
      </c>
      <c r="D827">
        <v>372.27</v>
      </c>
      <c r="E827">
        <v>334.51</v>
      </c>
      <c r="F827" t="s">
        <v>1448</v>
      </c>
      <c r="G827" s="21">
        <v>-3.7999999999999999E-2</v>
      </c>
    </row>
    <row r="828" spans="1:7" x14ac:dyDescent="0.35">
      <c r="A828" s="22">
        <v>39489</v>
      </c>
      <c r="B828">
        <v>365.97</v>
      </c>
      <c r="C828">
        <v>347.73</v>
      </c>
      <c r="D828">
        <v>388.27</v>
      </c>
      <c r="E828">
        <v>343.74</v>
      </c>
      <c r="F828" t="s">
        <v>1449</v>
      </c>
      <c r="G828" s="21">
        <v>5.45E-2</v>
      </c>
    </row>
    <row r="829" spans="1:7" x14ac:dyDescent="0.35">
      <c r="A829" s="22" t="s">
        <v>1450</v>
      </c>
      <c r="B829">
        <v>347.05</v>
      </c>
      <c r="C829">
        <v>329.43</v>
      </c>
      <c r="D829">
        <v>347.05</v>
      </c>
      <c r="E829">
        <v>313.63</v>
      </c>
      <c r="F829" t="s">
        <v>1451</v>
      </c>
      <c r="G829" s="21">
        <v>5.5999999999999999E-3</v>
      </c>
    </row>
    <row r="830" spans="1:7" x14ac:dyDescent="0.35">
      <c r="A830" s="22" t="s">
        <v>1452</v>
      </c>
      <c r="B830">
        <v>345.11</v>
      </c>
      <c r="C830">
        <v>377.2</v>
      </c>
      <c r="D830">
        <v>379.94</v>
      </c>
      <c r="E830">
        <v>345.11</v>
      </c>
      <c r="F830" t="s">
        <v>1453</v>
      </c>
      <c r="G830" s="21">
        <v>-9.7799999999999998E-2</v>
      </c>
    </row>
    <row r="831" spans="1:7" x14ac:dyDescent="0.35">
      <c r="A831" s="22">
        <v>39792</v>
      </c>
      <c r="B831">
        <v>382.51</v>
      </c>
      <c r="C831">
        <v>377.77</v>
      </c>
      <c r="D831">
        <v>399.86</v>
      </c>
      <c r="E831">
        <v>371.4</v>
      </c>
      <c r="F831" t="s">
        <v>1454</v>
      </c>
      <c r="G831" s="21">
        <v>9.1000000000000004E-3</v>
      </c>
    </row>
    <row r="832" spans="1:7" x14ac:dyDescent="0.35">
      <c r="A832" s="22">
        <v>39578</v>
      </c>
      <c r="B832">
        <v>379.06</v>
      </c>
      <c r="C832">
        <v>436.7</v>
      </c>
      <c r="D832">
        <v>437.37</v>
      </c>
      <c r="E832">
        <v>378.66</v>
      </c>
      <c r="F832" t="s">
        <v>1455</v>
      </c>
      <c r="G832" s="21">
        <v>-0.16159999999999999</v>
      </c>
    </row>
    <row r="833" spans="1:7" x14ac:dyDescent="0.35">
      <c r="A833" s="22" t="s">
        <v>1456</v>
      </c>
      <c r="B833">
        <v>452.14</v>
      </c>
      <c r="C833">
        <v>476.72</v>
      </c>
      <c r="D833">
        <v>487.24</v>
      </c>
      <c r="E833">
        <v>448.03</v>
      </c>
      <c r="F833" t="s">
        <v>1457</v>
      </c>
      <c r="G833" s="21">
        <v>-6.5500000000000003E-2</v>
      </c>
    </row>
    <row r="834" spans="1:7" x14ac:dyDescent="0.35">
      <c r="A834" s="22" t="s">
        <v>1458</v>
      </c>
      <c r="B834">
        <v>483.81</v>
      </c>
      <c r="C834">
        <v>459.64</v>
      </c>
      <c r="D834">
        <v>490.26</v>
      </c>
      <c r="E834">
        <v>452.76</v>
      </c>
      <c r="F834" t="s">
        <v>1459</v>
      </c>
      <c r="G834" s="21">
        <v>0.1019</v>
      </c>
    </row>
    <row r="835" spans="1:7" x14ac:dyDescent="0.35">
      <c r="A835" s="22" t="s">
        <v>1460</v>
      </c>
      <c r="B835">
        <v>439.06</v>
      </c>
      <c r="C835">
        <v>470.38</v>
      </c>
      <c r="D835">
        <v>493.16</v>
      </c>
      <c r="E835">
        <v>416.88</v>
      </c>
      <c r="F835" t="s">
        <v>1461</v>
      </c>
      <c r="G835" s="21">
        <v>-7.7600000000000002E-2</v>
      </c>
    </row>
    <row r="836" spans="1:7" x14ac:dyDescent="0.35">
      <c r="A836" s="22">
        <v>39638</v>
      </c>
      <c r="B836">
        <v>476</v>
      </c>
      <c r="C836">
        <v>527.84</v>
      </c>
      <c r="D836">
        <v>542.96</v>
      </c>
      <c r="E836">
        <v>475.14</v>
      </c>
      <c r="F836" t="s">
        <v>1462</v>
      </c>
      <c r="G836" s="21">
        <v>-0.1293</v>
      </c>
    </row>
    <row r="837" spans="1:7" x14ac:dyDescent="0.35">
      <c r="A837" s="22" t="s">
        <v>1463</v>
      </c>
      <c r="B837">
        <v>546.66</v>
      </c>
      <c r="C837">
        <v>552.6</v>
      </c>
      <c r="D837">
        <v>559.34</v>
      </c>
      <c r="E837">
        <v>546.66</v>
      </c>
      <c r="F837" t="s">
        <v>1464</v>
      </c>
      <c r="G837" s="21">
        <v>1.4E-2</v>
      </c>
    </row>
    <row r="838" spans="1:7" x14ac:dyDescent="0.35">
      <c r="A838" s="22" t="s">
        <v>1465</v>
      </c>
      <c r="B838">
        <v>539.1</v>
      </c>
      <c r="C838">
        <v>544.75</v>
      </c>
      <c r="D838">
        <v>575.71</v>
      </c>
      <c r="E838">
        <v>531.37</v>
      </c>
      <c r="F838" t="s">
        <v>1466</v>
      </c>
      <c r="G838" s="21">
        <v>2.3E-2</v>
      </c>
    </row>
    <row r="839" spans="1:7" x14ac:dyDescent="0.35">
      <c r="A839" s="22" t="s">
        <v>1467</v>
      </c>
      <c r="B839">
        <v>526.98</v>
      </c>
      <c r="C839">
        <v>504.14</v>
      </c>
      <c r="D839">
        <v>536.61</v>
      </c>
      <c r="E839">
        <v>497.75</v>
      </c>
      <c r="F839" t="s">
        <v>1468</v>
      </c>
      <c r="G839" s="21">
        <v>7.7799999999999994E-2</v>
      </c>
    </row>
    <row r="840" spans="1:7" x14ac:dyDescent="0.35">
      <c r="A840" s="22">
        <v>39729</v>
      </c>
      <c r="B840">
        <v>488.94</v>
      </c>
      <c r="C840">
        <v>454.87</v>
      </c>
      <c r="D840">
        <v>489.18</v>
      </c>
      <c r="E840">
        <v>454.04</v>
      </c>
      <c r="F840" t="s">
        <v>1469</v>
      </c>
      <c r="G840" s="21">
        <v>0.10050000000000001</v>
      </c>
    </row>
    <row r="841" spans="1:7" x14ac:dyDescent="0.35">
      <c r="A841" s="22">
        <v>39515</v>
      </c>
      <c r="B841">
        <v>444.28</v>
      </c>
      <c r="C841">
        <v>439.49</v>
      </c>
      <c r="D841">
        <v>446.87</v>
      </c>
      <c r="E841">
        <v>428.63</v>
      </c>
      <c r="F841" t="s">
        <v>1470</v>
      </c>
      <c r="G841" s="21">
        <v>-6.3E-3</v>
      </c>
    </row>
    <row r="842" spans="1:7" x14ac:dyDescent="0.35">
      <c r="A842" s="22" t="s">
        <v>1471</v>
      </c>
      <c r="B842">
        <v>447.11</v>
      </c>
      <c r="C842">
        <v>426.23</v>
      </c>
      <c r="D842">
        <v>451.36</v>
      </c>
      <c r="E842">
        <v>425.94</v>
      </c>
      <c r="F842" t="s">
        <v>1472</v>
      </c>
      <c r="G842" s="21">
        <v>4.1099999999999998E-2</v>
      </c>
    </row>
    <row r="843" spans="1:7" x14ac:dyDescent="0.35">
      <c r="A843" s="22" t="s">
        <v>1473</v>
      </c>
      <c r="B843">
        <v>429.46</v>
      </c>
      <c r="C843">
        <v>472.95</v>
      </c>
      <c r="D843">
        <v>473.45</v>
      </c>
      <c r="E843">
        <v>427.4</v>
      </c>
      <c r="F843" t="s">
        <v>1474</v>
      </c>
      <c r="G843" s="21">
        <v>-0.1109</v>
      </c>
    </row>
    <row r="844" spans="1:7" x14ac:dyDescent="0.35">
      <c r="A844" s="22" t="s">
        <v>1475</v>
      </c>
      <c r="B844">
        <v>483.05</v>
      </c>
      <c r="C844">
        <v>466.31</v>
      </c>
      <c r="D844">
        <v>493.17</v>
      </c>
      <c r="E844">
        <v>465.39</v>
      </c>
      <c r="F844" t="s">
        <v>1476</v>
      </c>
      <c r="G844" s="21">
        <v>5.7799999999999997E-2</v>
      </c>
    </row>
    <row r="845" spans="1:7" x14ac:dyDescent="0.35">
      <c r="A845" s="22">
        <v>39606</v>
      </c>
      <c r="B845">
        <v>456.64</v>
      </c>
      <c r="C845">
        <v>448.49</v>
      </c>
      <c r="D845">
        <v>456.64</v>
      </c>
      <c r="E845">
        <v>426.49</v>
      </c>
      <c r="F845" t="s">
        <v>1477</v>
      </c>
      <c r="G845" s="21">
        <v>3.8600000000000002E-2</v>
      </c>
    </row>
    <row r="846" spans="1:7" x14ac:dyDescent="0.35">
      <c r="A846" s="22" t="s">
        <v>1478</v>
      </c>
      <c r="B846">
        <v>439.68</v>
      </c>
      <c r="C846">
        <v>395.27</v>
      </c>
      <c r="D846">
        <v>441.5</v>
      </c>
      <c r="E846">
        <v>394.97</v>
      </c>
      <c r="F846" t="s">
        <v>1479</v>
      </c>
      <c r="G846" s="21">
        <v>0.11990000000000001</v>
      </c>
    </row>
    <row r="847" spans="1:7" x14ac:dyDescent="0.35">
      <c r="A847" s="22" t="s">
        <v>1480</v>
      </c>
      <c r="B847">
        <v>392.61</v>
      </c>
      <c r="C847">
        <v>367.08</v>
      </c>
      <c r="D847">
        <v>392.78</v>
      </c>
      <c r="E847">
        <v>367</v>
      </c>
      <c r="F847" t="s">
        <v>1481</v>
      </c>
      <c r="G847" s="21">
        <v>7.2599999999999998E-2</v>
      </c>
    </row>
    <row r="848" spans="1:7" x14ac:dyDescent="0.35">
      <c r="A848" s="22" t="s">
        <v>1482</v>
      </c>
      <c r="B848">
        <v>366.02</v>
      </c>
      <c r="C848">
        <v>376.23</v>
      </c>
      <c r="D848">
        <v>389.01</v>
      </c>
      <c r="E848">
        <v>364.32</v>
      </c>
      <c r="F848" t="s">
        <v>1483</v>
      </c>
      <c r="G848" s="21">
        <v>-1.7899999999999999E-2</v>
      </c>
    </row>
    <row r="849" spans="1:7" x14ac:dyDescent="0.35">
      <c r="A849" s="22">
        <v>39666</v>
      </c>
      <c r="B849">
        <v>372.68</v>
      </c>
      <c r="C849">
        <v>380.23</v>
      </c>
      <c r="D849">
        <v>380.23</v>
      </c>
      <c r="E849">
        <v>367.46</v>
      </c>
      <c r="F849" t="s">
        <v>1484</v>
      </c>
      <c r="G849" s="21">
        <v>-3.0099999999999998E-2</v>
      </c>
    </row>
    <row r="850" spans="1:7" x14ac:dyDescent="0.35">
      <c r="A850" s="22">
        <v>39453</v>
      </c>
      <c r="B850">
        <v>384.24</v>
      </c>
      <c r="C850">
        <v>408.2</v>
      </c>
      <c r="D850">
        <v>408.2</v>
      </c>
      <c r="E850">
        <v>384.05</v>
      </c>
      <c r="F850" t="s">
        <v>1485</v>
      </c>
      <c r="G850" s="21">
        <v>-7.2099999999999997E-2</v>
      </c>
    </row>
    <row r="851" spans="1:7" x14ac:dyDescent="0.35">
      <c r="A851" s="22" t="s">
        <v>1486</v>
      </c>
      <c r="B851">
        <v>414.1</v>
      </c>
      <c r="C851">
        <v>422.48</v>
      </c>
      <c r="D851">
        <v>422.48</v>
      </c>
      <c r="E851">
        <v>413.77</v>
      </c>
      <c r="F851" t="s">
        <v>1487</v>
      </c>
      <c r="G851" s="21">
        <v>-3.2599999999999997E-2</v>
      </c>
    </row>
    <row r="852" spans="1:7" x14ac:dyDescent="0.35">
      <c r="A852" s="22" t="s">
        <v>1488</v>
      </c>
      <c r="B852">
        <v>428.05</v>
      </c>
      <c r="C852">
        <v>453.93</v>
      </c>
      <c r="D852">
        <v>455.67</v>
      </c>
      <c r="E852">
        <v>427.53</v>
      </c>
      <c r="F852" t="s">
        <v>1489</v>
      </c>
      <c r="G852" s="21">
        <v>-6.9500000000000006E-2</v>
      </c>
    </row>
    <row r="853" spans="1:7" x14ac:dyDescent="0.35">
      <c r="A853" s="22">
        <v>39757</v>
      </c>
      <c r="B853">
        <v>460.04</v>
      </c>
      <c r="C853">
        <v>492.95</v>
      </c>
      <c r="D853">
        <v>493.27</v>
      </c>
      <c r="E853">
        <v>459.37</v>
      </c>
      <c r="F853" t="s">
        <v>1490</v>
      </c>
      <c r="G853" s="21">
        <v>-8.0500000000000002E-2</v>
      </c>
    </row>
    <row r="854" spans="1:7" x14ac:dyDescent="0.35">
      <c r="A854" s="22">
        <v>39543</v>
      </c>
      <c r="B854">
        <v>500.33</v>
      </c>
      <c r="C854">
        <v>523.29</v>
      </c>
      <c r="D854">
        <v>523.75</v>
      </c>
      <c r="E854">
        <v>499.42</v>
      </c>
      <c r="F854" t="s">
        <v>1491</v>
      </c>
      <c r="G854" s="21">
        <v>-4.2200000000000001E-2</v>
      </c>
    </row>
    <row r="855" spans="1:7" x14ac:dyDescent="0.35">
      <c r="A855" s="22" t="s">
        <v>1492</v>
      </c>
      <c r="B855">
        <v>522.36</v>
      </c>
      <c r="C855">
        <v>514.79</v>
      </c>
      <c r="D855">
        <v>524.07000000000005</v>
      </c>
      <c r="E855">
        <v>514.44000000000005</v>
      </c>
      <c r="F855" t="s">
        <v>1493</v>
      </c>
      <c r="G855" s="21">
        <v>1.26E-2</v>
      </c>
    </row>
    <row r="856" spans="1:7" x14ac:dyDescent="0.35">
      <c r="A856" s="22" t="s">
        <v>1494</v>
      </c>
      <c r="B856">
        <v>515.88</v>
      </c>
      <c r="C856">
        <v>534.62</v>
      </c>
      <c r="D856">
        <v>534.91999999999996</v>
      </c>
      <c r="E856">
        <v>513.92999999999995</v>
      </c>
      <c r="F856" t="s">
        <v>1495</v>
      </c>
      <c r="G856" s="21">
        <v>-3.9899999999999998E-2</v>
      </c>
    </row>
    <row r="857" spans="1:7" x14ac:dyDescent="0.35">
      <c r="A857" s="22" t="s">
        <v>1496</v>
      </c>
      <c r="B857">
        <v>537.30999999999995</v>
      </c>
      <c r="C857">
        <v>530.9</v>
      </c>
      <c r="D857">
        <v>540.08000000000004</v>
      </c>
      <c r="E857">
        <v>523.45000000000005</v>
      </c>
      <c r="F857" t="s">
        <v>1497</v>
      </c>
      <c r="G857" s="21">
        <v>-3.2000000000000002E-3</v>
      </c>
    </row>
    <row r="858" spans="1:7" x14ac:dyDescent="0.35">
      <c r="A858" s="22">
        <v>39603</v>
      </c>
      <c r="B858">
        <v>539.01</v>
      </c>
      <c r="C858">
        <v>541.41999999999996</v>
      </c>
      <c r="D858">
        <v>552.41999999999996</v>
      </c>
      <c r="E858">
        <v>536.97</v>
      </c>
      <c r="F858" t="s">
        <v>1498</v>
      </c>
      <c r="G858" s="21">
        <v>1.1299999999999999E-2</v>
      </c>
    </row>
    <row r="859" spans="1:7" x14ac:dyDescent="0.35">
      <c r="A859" s="22" t="s">
        <v>1499</v>
      </c>
      <c r="B859">
        <v>533</v>
      </c>
      <c r="C859">
        <v>516.59</v>
      </c>
      <c r="D859">
        <v>533</v>
      </c>
      <c r="E859">
        <v>516.58000000000004</v>
      </c>
      <c r="F859" t="s">
        <v>1500</v>
      </c>
      <c r="G859" s="21">
        <v>3.9600000000000003E-2</v>
      </c>
    </row>
    <row r="860" spans="1:7" x14ac:dyDescent="0.35">
      <c r="A860" s="22" t="s">
        <v>1501</v>
      </c>
      <c r="B860">
        <v>512.70000000000005</v>
      </c>
      <c r="C860">
        <v>524.72</v>
      </c>
      <c r="D860">
        <v>525.24</v>
      </c>
      <c r="E860">
        <v>494.4</v>
      </c>
      <c r="F860" t="s">
        <v>1502</v>
      </c>
      <c r="G860" s="21">
        <v>-6.0400000000000002E-2</v>
      </c>
    </row>
    <row r="861" spans="1:7" x14ac:dyDescent="0.35">
      <c r="A861" s="22" t="s">
        <v>1503</v>
      </c>
      <c r="B861">
        <v>545.67999999999995</v>
      </c>
      <c r="C861">
        <v>623.23</v>
      </c>
      <c r="D861">
        <v>624.30999999999995</v>
      </c>
      <c r="E861">
        <v>545.67999999999995</v>
      </c>
      <c r="F861" t="s">
        <v>1504</v>
      </c>
      <c r="G861" s="21">
        <v>-0.15240000000000001</v>
      </c>
    </row>
    <row r="862" spans="1:7" x14ac:dyDescent="0.35">
      <c r="A862" s="22">
        <v>39694</v>
      </c>
      <c r="B862">
        <v>643.79999999999995</v>
      </c>
      <c r="C862">
        <v>667.63</v>
      </c>
      <c r="D862">
        <v>669.24</v>
      </c>
      <c r="E862">
        <v>632.08000000000004</v>
      </c>
      <c r="F862" t="s">
        <v>1505</v>
      </c>
      <c r="G862" s="21">
        <v>5.7000000000000002E-3</v>
      </c>
    </row>
    <row r="863" spans="1:7" x14ac:dyDescent="0.35">
      <c r="A863" s="22">
        <v>39481</v>
      </c>
      <c r="B863">
        <v>640.14</v>
      </c>
      <c r="C863">
        <v>646.08000000000004</v>
      </c>
      <c r="D863">
        <v>646.30999999999995</v>
      </c>
      <c r="E863">
        <v>580.4</v>
      </c>
      <c r="F863" t="s">
        <v>1506</v>
      </c>
      <c r="G863" s="21">
        <v>-3.49E-2</v>
      </c>
    </row>
    <row r="864" spans="1:7" x14ac:dyDescent="0.35">
      <c r="A864" s="22" t="s">
        <v>1507</v>
      </c>
      <c r="B864">
        <v>663.3</v>
      </c>
      <c r="C864">
        <v>706</v>
      </c>
      <c r="D864">
        <v>715.25</v>
      </c>
      <c r="E864">
        <v>661.75</v>
      </c>
      <c r="F864" t="s">
        <v>1508</v>
      </c>
      <c r="G864" s="21">
        <v>-3.4599999999999999E-2</v>
      </c>
    </row>
    <row r="865" spans="1:7" x14ac:dyDescent="0.35">
      <c r="A865" s="22" t="s">
        <v>1509</v>
      </c>
      <c r="B865">
        <v>687.1</v>
      </c>
      <c r="C865">
        <v>784.8</v>
      </c>
      <c r="D865">
        <v>786.45</v>
      </c>
      <c r="E865">
        <v>677.79</v>
      </c>
      <c r="F865" t="s">
        <v>1510</v>
      </c>
      <c r="G865" s="21">
        <v>-0.158</v>
      </c>
    </row>
    <row r="866" spans="1:7" x14ac:dyDescent="0.35">
      <c r="A866" s="22">
        <v>39723</v>
      </c>
      <c r="B866">
        <v>816.03</v>
      </c>
      <c r="C866">
        <v>857.02</v>
      </c>
      <c r="D866">
        <v>857.02</v>
      </c>
      <c r="E866">
        <v>813.89</v>
      </c>
      <c r="F866" t="s">
        <v>1511</v>
      </c>
      <c r="G866" s="21">
        <v>-5.0700000000000002E-2</v>
      </c>
    </row>
    <row r="867" spans="1:7" x14ac:dyDescent="0.35">
      <c r="A867" s="22" t="s">
        <v>1512</v>
      </c>
      <c r="B867">
        <v>859.62</v>
      </c>
      <c r="C867">
        <v>781.92</v>
      </c>
      <c r="D867">
        <v>859.62</v>
      </c>
      <c r="E867">
        <v>775.9</v>
      </c>
      <c r="F867" t="s">
        <v>1513</v>
      </c>
      <c r="G867" s="21">
        <v>0.1077</v>
      </c>
    </row>
    <row r="868" spans="1:7" x14ac:dyDescent="0.35">
      <c r="A868" s="22" t="s">
        <v>1514</v>
      </c>
      <c r="B868">
        <v>776.04</v>
      </c>
      <c r="C868">
        <v>839.31</v>
      </c>
      <c r="D868">
        <v>839.37</v>
      </c>
      <c r="E868">
        <v>762.99</v>
      </c>
      <c r="F868" t="s">
        <v>1515</v>
      </c>
      <c r="G868" s="21">
        <v>-8.3799999999999999E-2</v>
      </c>
    </row>
    <row r="869" spans="1:7" x14ac:dyDescent="0.35">
      <c r="A869" s="22" t="s">
        <v>1516</v>
      </c>
      <c r="B869">
        <v>847.05</v>
      </c>
      <c r="C869">
        <v>859.29</v>
      </c>
      <c r="D869">
        <v>861.78</v>
      </c>
      <c r="E869">
        <v>807.72</v>
      </c>
      <c r="F869" t="s">
        <v>1517</v>
      </c>
      <c r="G869" s="21">
        <v>-1.5900000000000001E-2</v>
      </c>
    </row>
    <row r="870" spans="1:7" x14ac:dyDescent="0.35">
      <c r="A870" s="22">
        <v>39600</v>
      </c>
      <c r="B870">
        <v>860.77</v>
      </c>
      <c r="C870">
        <v>899.53</v>
      </c>
      <c r="D870">
        <v>899.53</v>
      </c>
      <c r="E870">
        <v>849.69</v>
      </c>
      <c r="F870" t="s">
        <v>1518</v>
      </c>
      <c r="G870" s="21">
        <v>-4.6899999999999997E-2</v>
      </c>
    </row>
    <row r="871" spans="1:7" x14ac:dyDescent="0.35">
      <c r="A871" s="22" t="s">
        <v>1519</v>
      </c>
      <c r="B871">
        <v>903.09</v>
      </c>
      <c r="C871">
        <v>925.66</v>
      </c>
      <c r="D871">
        <v>926.01</v>
      </c>
      <c r="E871">
        <v>903.09</v>
      </c>
      <c r="F871" t="s">
        <v>1520</v>
      </c>
      <c r="G871" s="21">
        <v>-2.58E-2</v>
      </c>
    </row>
    <row r="872" spans="1:7" x14ac:dyDescent="0.35">
      <c r="A872" s="22" t="s">
        <v>1521</v>
      </c>
      <c r="B872">
        <v>927.02</v>
      </c>
      <c r="C872">
        <v>933.66</v>
      </c>
      <c r="D872">
        <v>933.66</v>
      </c>
      <c r="E872">
        <v>917.31</v>
      </c>
      <c r="F872" t="s">
        <v>1522</v>
      </c>
      <c r="G872" s="21">
        <v>-8.6E-3</v>
      </c>
    </row>
    <row r="873" spans="1:7" x14ac:dyDescent="0.35">
      <c r="A873" s="22" t="s">
        <v>1523</v>
      </c>
      <c r="B873">
        <v>935.07</v>
      </c>
      <c r="C873">
        <v>918.61</v>
      </c>
      <c r="D873">
        <v>949.15</v>
      </c>
      <c r="E873">
        <v>911.15</v>
      </c>
      <c r="F873" t="s">
        <v>1524</v>
      </c>
      <c r="G873" s="21">
        <v>1.41E-2</v>
      </c>
    </row>
    <row r="874" spans="1:7" x14ac:dyDescent="0.35">
      <c r="A874" s="22">
        <v>39337</v>
      </c>
      <c r="B874">
        <v>922.09</v>
      </c>
      <c r="C874">
        <v>966.72</v>
      </c>
      <c r="D874">
        <v>966.72</v>
      </c>
      <c r="E874">
        <v>922.09</v>
      </c>
      <c r="F874" t="s">
        <v>1525</v>
      </c>
      <c r="G874" s="21">
        <v>-5.3900000000000003E-2</v>
      </c>
    </row>
    <row r="875" spans="1:7" x14ac:dyDescent="0.35">
      <c r="A875" s="22">
        <v>39125</v>
      </c>
      <c r="B875">
        <v>974.63</v>
      </c>
      <c r="C875">
        <v>977.86</v>
      </c>
      <c r="D875">
        <v>990.51</v>
      </c>
      <c r="E875">
        <v>970.15</v>
      </c>
      <c r="F875" t="s">
        <v>1526</v>
      </c>
      <c r="G875" s="21">
        <v>2.3E-3</v>
      </c>
    </row>
    <row r="876" spans="1:7" x14ac:dyDescent="0.35">
      <c r="A876" s="22" t="s">
        <v>1527</v>
      </c>
      <c r="B876">
        <v>972.35</v>
      </c>
      <c r="C876">
        <v>982.18</v>
      </c>
      <c r="D876">
        <v>998.72</v>
      </c>
      <c r="E876">
        <v>972.35</v>
      </c>
      <c r="F876" t="s">
        <v>1528</v>
      </c>
      <c r="G876" s="21">
        <v>-3.7000000000000002E-3</v>
      </c>
    </row>
    <row r="877" spans="1:7" x14ac:dyDescent="0.35">
      <c r="A877" s="22" t="s">
        <v>1529</v>
      </c>
      <c r="B877">
        <v>975.92</v>
      </c>
      <c r="C877">
        <v>996.48</v>
      </c>
      <c r="D877">
        <v>998.75</v>
      </c>
      <c r="E877">
        <v>963.56</v>
      </c>
      <c r="F877" t="s">
        <v>1530</v>
      </c>
      <c r="G877" s="21">
        <v>-2.23E-2</v>
      </c>
    </row>
    <row r="878" spans="1:7" x14ac:dyDescent="0.35">
      <c r="A878" s="22">
        <v>39397</v>
      </c>
      <c r="B878">
        <v>998.22</v>
      </c>
      <c r="C878" s="3">
        <v>1012.5</v>
      </c>
      <c r="D878" s="3">
        <v>1012.5</v>
      </c>
      <c r="E878">
        <v>973.59</v>
      </c>
      <c r="F878" t="s">
        <v>1531</v>
      </c>
      <c r="G878" s="21">
        <v>-1.9699999999999999E-2</v>
      </c>
    </row>
    <row r="879" spans="1:7" x14ac:dyDescent="0.35">
      <c r="A879" s="22">
        <v>39183</v>
      </c>
      <c r="B879" s="3">
        <v>1018.29</v>
      </c>
      <c r="C879" s="3">
        <v>1045.31</v>
      </c>
      <c r="D879" s="3">
        <v>1047.6500000000001</v>
      </c>
      <c r="E879" s="3">
        <v>1011.09</v>
      </c>
      <c r="F879" t="s">
        <v>1532</v>
      </c>
      <c r="G879" s="21">
        <v>-4.53E-2</v>
      </c>
    </row>
    <row r="880" spans="1:7" x14ac:dyDescent="0.35">
      <c r="A880" s="22" t="s">
        <v>1533</v>
      </c>
      <c r="B880" s="3">
        <v>1066.6300000000001</v>
      </c>
      <c r="C880" s="3">
        <v>1074.8699999999999</v>
      </c>
      <c r="D880" s="3">
        <v>1075.92</v>
      </c>
      <c r="E880" s="3">
        <v>1064.2</v>
      </c>
      <c r="F880" t="s">
        <v>1534</v>
      </c>
      <c r="G880" s="21">
        <v>-2.3699999999999999E-2</v>
      </c>
    </row>
    <row r="881" spans="1:7" x14ac:dyDescent="0.35">
      <c r="A881" s="22" t="s">
        <v>1535</v>
      </c>
      <c r="B881" s="3">
        <v>1092.48</v>
      </c>
      <c r="C881" s="3">
        <v>1091.76</v>
      </c>
      <c r="D881" s="3">
        <v>1103.0899999999999</v>
      </c>
      <c r="E881" s="3">
        <v>1075.29</v>
      </c>
      <c r="F881" t="s">
        <v>1536</v>
      </c>
      <c r="G881" s="21">
        <v>-4.1999999999999997E-3</v>
      </c>
    </row>
    <row r="882" spans="1:7" x14ac:dyDescent="0.35">
      <c r="A882" s="22" t="s">
        <v>1537</v>
      </c>
      <c r="B882" s="3">
        <v>1097.07</v>
      </c>
      <c r="C882" s="3">
        <v>1104.42</v>
      </c>
      <c r="D882" s="3">
        <v>1106.72</v>
      </c>
      <c r="E882" s="3">
        <v>1078.21</v>
      </c>
      <c r="F882" t="s">
        <v>1538</v>
      </c>
      <c r="G882" s="21">
        <v>-6.7999999999999996E-3</v>
      </c>
    </row>
    <row r="883" spans="1:7" x14ac:dyDescent="0.35">
      <c r="A883" s="22">
        <v>39273</v>
      </c>
      <c r="B883" s="3">
        <v>1104.6099999999999</v>
      </c>
      <c r="C883" s="3">
        <v>1084.58</v>
      </c>
      <c r="D883" s="3">
        <v>1110.78</v>
      </c>
      <c r="E883" s="3">
        <v>1084.58</v>
      </c>
      <c r="F883" t="s">
        <v>1539</v>
      </c>
      <c r="G883" s="21">
        <v>2.12E-2</v>
      </c>
    </row>
    <row r="884" spans="1:7" x14ac:dyDescent="0.35">
      <c r="A884" s="22" t="s">
        <v>1540</v>
      </c>
      <c r="B884" s="3">
        <v>1081.6300000000001</v>
      </c>
      <c r="C884" s="3">
        <v>1072.72</v>
      </c>
      <c r="D884" s="3">
        <v>1107.8</v>
      </c>
      <c r="E884" s="3">
        <v>1072.72</v>
      </c>
      <c r="F884" t="s">
        <v>1541</v>
      </c>
      <c r="G884" s="21">
        <v>3.32E-2</v>
      </c>
    </row>
    <row r="885" spans="1:7" x14ac:dyDescent="0.35">
      <c r="A885" s="22" t="s">
        <v>1542</v>
      </c>
      <c r="B885" s="3">
        <v>1046.8599999999999</v>
      </c>
      <c r="C885">
        <v>967.89</v>
      </c>
      <c r="D885" s="3">
        <v>1046.8599999999999</v>
      </c>
      <c r="E885">
        <v>967.89</v>
      </c>
      <c r="F885" t="s">
        <v>1543</v>
      </c>
      <c r="G885" s="21">
        <v>9.1999999999999998E-2</v>
      </c>
    </row>
    <row r="886" spans="1:7" x14ac:dyDescent="0.35">
      <c r="A886" s="22" t="s">
        <v>1544</v>
      </c>
      <c r="B886">
        <v>958.67</v>
      </c>
      <c r="C886">
        <v>932.38</v>
      </c>
      <c r="D886">
        <v>965.2</v>
      </c>
      <c r="E886">
        <v>932.38</v>
      </c>
      <c r="F886" t="s">
        <v>1545</v>
      </c>
      <c r="G886" s="21">
        <v>3.0300000000000001E-2</v>
      </c>
    </row>
    <row r="887" spans="1:7" x14ac:dyDescent="0.35">
      <c r="A887" s="22">
        <v>39334</v>
      </c>
      <c r="B887">
        <v>930.46</v>
      </c>
      <c r="C887">
        <v>933.02</v>
      </c>
      <c r="D887">
        <v>933.02</v>
      </c>
      <c r="E887">
        <v>920.48</v>
      </c>
      <c r="F887" t="s">
        <v>1546</v>
      </c>
      <c r="G887" s="21">
        <v>-3.8999999999999998E-3</v>
      </c>
    </row>
    <row r="888" spans="1:7" x14ac:dyDescent="0.35">
      <c r="A888" s="22">
        <v>39122</v>
      </c>
      <c r="B888">
        <v>934.13</v>
      </c>
      <c r="C888">
        <v>919.87</v>
      </c>
      <c r="D888">
        <v>938.76</v>
      </c>
      <c r="E888">
        <v>919.87</v>
      </c>
      <c r="F888" t="s">
        <v>1547</v>
      </c>
      <c r="G888" s="21">
        <v>2.8400000000000002E-2</v>
      </c>
    </row>
    <row r="889" spans="1:7" x14ac:dyDescent="0.35">
      <c r="A889" s="22" t="s">
        <v>1548</v>
      </c>
      <c r="B889">
        <v>908.37</v>
      </c>
      <c r="C889">
        <v>911.01</v>
      </c>
      <c r="D889">
        <v>911.01</v>
      </c>
      <c r="E889">
        <v>894.67</v>
      </c>
      <c r="F889" t="s">
        <v>1549</v>
      </c>
      <c r="G889" s="21">
        <v>3.2000000000000002E-3</v>
      </c>
    </row>
    <row r="890" spans="1:7" x14ac:dyDescent="0.35">
      <c r="A890" s="22" t="s">
        <v>1550</v>
      </c>
      <c r="B890">
        <v>905.48</v>
      </c>
      <c r="C890">
        <v>875.87</v>
      </c>
      <c r="D890">
        <v>905.48</v>
      </c>
      <c r="E890">
        <v>875.87</v>
      </c>
      <c r="F890" t="s">
        <v>1551</v>
      </c>
      <c r="G890" s="21">
        <v>1.9800000000000002E-2</v>
      </c>
    </row>
    <row r="891" spans="1:7" x14ac:dyDescent="0.35">
      <c r="A891" s="22">
        <v>39424</v>
      </c>
      <c r="B891">
        <v>887.93</v>
      </c>
      <c r="C891">
        <v>916</v>
      </c>
      <c r="D891">
        <v>923.15</v>
      </c>
      <c r="E891">
        <v>886.92</v>
      </c>
      <c r="F891" t="s">
        <v>1552</v>
      </c>
      <c r="G891" s="21">
        <v>-5.0999999999999997E-2</v>
      </c>
    </row>
    <row r="892" spans="1:7" x14ac:dyDescent="0.35">
      <c r="A892" s="22">
        <v>39210</v>
      </c>
      <c r="B892">
        <v>935.68</v>
      </c>
      <c r="C892">
        <v>892.41</v>
      </c>
      <c r="D892">
        <v>942.33</v>
      </c>
      <c r="E892">
        <v>883.9</v>
      </c>
      <c r="F892" t="s">
        <v>1553</v>
      </c>
      <c r="G892" s="21">
        <v>4.7899999999999998E-2</v>
      </c>
    </row>
    <row r="893" spans="1:7" x14ac:dyDescent="0.35">
      <c r="A893" s="22" t="s">
        <v>1554</v>
      </c>
      <c r="B893">
        <v>892.88</v>
      </c>
      <c r="C893">
        <v>928.69</v>
      </c>
      <c r="D893">
        <v>928.69</v>
      </c>
      <c r="E893">
        <v>892.88</v>
      </c>
      <c r="F893" t="s">
        <v>1555</v>
      </c>
      <c r="G893" s="21">
        <v>-5.0500000000000003E-2</v>
      </c>
    </row>
    <row r="894" spans="1:7" x14ac:dyDescent="0.35">
      <c r="A894" s="22" t="s">
        <v>1556</v>
      </c>
      <c r="B894">
        <v>940.36</v>
      </c>
      <c r="C894">
        <v>981.11</v>
      </c>
      <c r="D894">
        <v>983.53</v>
      </c>
      <c r="E894">
        <v>939.94</v>
      </c>
      <c r="F894" t="s">
        <v>1547</v>
      </c>
      <c r="G894" s="21">
        <v>-4.1700000000000001E-2</v>
      </c>
    </row>
    <row r="895" spans="1:7" x14ac:dyDescent="0.35">
      <c r="A895" s="22" t="s">
        <v>1557</v>
      </c>
      <c r="B895">
        <v>981.31</v>
      </c>
      <c r="C895" s="3">
        <v>1005.16</v>
      </c>
      <c r="D895" s="3">
        <v>1005.16</v>
      </c>
      <c r="E895">
        <v>980.35</v>
      </c>
      <c r="F895" t="s">
        <v>1558</v>
      </c>
      <c r="G895" s="21">
        <v>-3.39E-2</v>
      </c>
    </row>
    <row r="896" spans="1:7" x14ac:dyDescent="0.35">
      <c r="A896" s="22">
        <v>39301</v>
      </c>
      <c r="B896" s="3">
        <v>1015.73</v>
      </c>
      <c r="C896" s="3">
        <v>1004.39</v>
      </c>
      <c r="D896" s="3">
        <v>1032.71</v>
      </c>
      <c r="E896" s="3">
        <v>1004.39</v>
      </c>
      <c r="F896" t="s">
        <v>1559</v>
      </c>
      <c r="G896" s="21">
        <v>5.1000000000000004E-3</v>
      </c>
    </row>
    <row r="897" spans="1:7" x14ac:dyDescent="0.35">
      <c r="A897" s="22">
        <v>39089</v>
      </c>
      <c r="B897" s="3">
        <v>1010.53</v>
      </c>
      <c r="C897" s="3">
        <v>1015.71</v>
      </c>
      <c r="D897" s="3">
        <v>1015.71</v>
      </c>
      <c r="E897">
        <v>975.4</v>
      </c>
      <c r="F897" t="s">
        <v>1560</v>
      </c>
      <c r="G897" s="21">
        <v>-1.38E-2</v>
      </c>
    </row>
    <row r="898" spans="1:7" x14ac:dyDescent="0.35">
      <c r="A898" s="22" t="s">
        <v>1561</v>
      </c>
      <c r="B898" s="3">
        <v>1024.68</v>
      </c>
      <c r="C898" s="3">
        <v>1047.97</v>
      </c>
      <c r="D898" s="3">
        <v>1064.1500000000001</v>
      </c>
      <c r="E898" s="3">
        <v>1020.64</v>
      </c>
      <c r="F898" t="s">
        <v>1562</v>
      </c>
      <c r="G898" s="21">
        <v>-8.6999999999999994E-3</v>
      </c>
    </row>
    <row r="899" spans="1:7" x14ac:dyDescent="0.35">
      <c r="A899" s="22" t="s">
        <v>1563</v>
      </c>
      <c r="B899" s="3">
        <v>1033.69</v>
      </c>
      <c r="C899" s="3">
        <v>1046.42</v>
      </c>
      <c r="D899" s="3">
        <v>1050.8800000000001</v>
      </c>
      <c r="E899" s="3">
        <v>1031.26</v>
      </c>
      <c r="F899" t="s">
        <v>1564</v>
      </c>
      <c r="G899" s="21">
        <v>-1.38E-2</v>
      </c>
    </row>
    <row r="900" spans="1:7" x14ac:dyDescent="0.35">
      <c r="A900" s="22">
        <v>39361</v>
      </c>
      <c r="B900" s="3">
        <v>1048.19</v>
      </c>
      <c r="C900" s="3">
        <v>1042.0899999999999</v>
      </c>
      <c r="D900" s="3">
        <v>1050.6300000000001</v>
      </c>
      <c r="E900" s="3">
        <v>1033.71</v>
      </c>
      <c r="F900" t="s">
        <v>1565</v>
      </c>
      <c r="G900" s="21">
        <v>-8.6999999999999994E-3</v>
      </c>
    </row>
    <row r="901" spans="1:7" x14ac:dyDescent="0.35">
      <c r="A901" s="22">
        <v>39147</v>
      </c>
      <c r="B901" s="3">
        <v>1057.3599999999999</v>
      </c>
      <c r="C901" s="3">
        <v>1074.18</v>
      </c>
      <c r="D901" s="3">
        <v>1074.18</v>
      </c>
      <c r="E901" s="3">
        <v>1038.9000000000001</v>
      </c>
      <c r="F901" t="s">
        <v>1566</v>
      </c>
      <c r="G901" s="21">
        <v>-1.8599999999999998E-2</v>
      </c>
    </row>
    <row r="902" spans="1:7" x14ac:dyDescent="0.35">
      <c r="A902" s="22" t="s">
        <v>1567</v>
      </c>
      <c r="B902" s="3">
        <v>1077.3599999999999</v>
      </c>
      <c r="C902" s="3">
        <v>1113.24</v>
      </c>
      <c r="D902" s="3">
        <v>1113.24</v>
      </c>
      <c r="E902" s="3">
        <v>1075.55</v>
      </c>
      <c r="F902" t="s">
        <v>1568</v>
      </c>
      <c r="G902" s="21">
        <v>-1.12E-2</v>
      </c>
    </row>
    <row r="903" spans="1:7" x14ac:dyDescent="0.35">
      <c r="A903" s="22" t="s">
        <v>1569</v>
      </c>
      <c r="B903" s="3">
        <v>1089.5999999999999</v>
      </c>
      <c r="C903" s="3">
        <v>1077.6199999999999</v>
      </c>
      <c r="D903" s="3">
        <v>1127.75</v>
      </c>
      <c r="E903" s="3">
        <v>1073.52</v>
      </c>
      <c r="F903" t="s">
        <v>1570</v>
      </c>
      <c r="G903" s="21">
        <v>2.1600000000000001E-2</v>
      </c>
    </row>
    <row r="904" spans="1:7" x14ac:dyDescent="0.35">
      <c r="A904" s="22" t="s">
        <v>1571</v>
      </c>
      <c r="B904" s="3">
        <v>1066.56</v>
      </c>
      <c r="C904" s="3">
        <v>1061.8900000000001</v>
      </c>
      <c r="D904" s="3">
        <v>1069.1500000000001</v>
      </c>
      <c r="E904" s="3">
        <v>1039.27</v>
      </c>
      <c r="F904" t="s">
        <v>1572</v>
      </c>
      <c r="G904" s="21">
        <v>2.5899999999999999E-2</v>
      </c>
    </row>
    <row r="905" spans="1:7" x14ac:dyDescent="0.35">
      <c r="A905" s="22">
        <v>39238</v>
      </c>
      <c r="B905" s="3">
        <v>1039.6300000000001</v>
      </c>
      <c r="C905">
        <v>969.48</v>
      </c>
      <c r="D905" s="3">
        <v>1039.6300000000001</v>
      </c>
      <c r="E905">
        <v>969.48</v>
      </c>
      <c r="F905" t="s">
        <v>1573</v>
      </c>
      <c r="G905" s="21">
        <v>9.7600000000000006E-2</v>
      </c>
    </row>
    <row r="906" spans="1:7" x14ac:dyDescent="0.35">
      <c r="A906" s="22" t="s">
        <v>1574</v>
      </c>
      <c r="B906">
        <v>947.19</v>
      </c>
      <c r="C906">
        <v>933.3</v>
      </c>
      <c r="D906">
        <v>947.19</v>
      </c>
      <c r="E906">
        <v>933.3</v>
      </c>
      <c r="F906" t="s">
        <v>1575</v>
      </c>
      <c r="G906" s="21">
        <v>2.52E-2</v>
      </c>
    </row>
    <row r="907" spans="1:7" x14ac:dyDescent="0.35">
      <c r="A907" s="22" t="s">
        <v>1576</v>
      </c>
      <c r="B907">
        <v>923.89</v>
      </c>
      <c r="C907">
        <v>940.58</v>
      </c>
      <c r="D907">
        <v>940.58</v>
      </c>
      <c r="E907">
        <v>903.94</v>
      </c>
      <c r="F907" t="s">
        <v>1577</v>
      </c>
      <c r="G907" s="21">
        <v>-4.6399999999999997E-2</v>
      </c>
    </row>
    <row r="908" spans="1:7" x14ac:dyDescent="0.35">
      <c r="A908" s="22" t="s">
        <v>1578</v>
      </c>
      <c r="B908">
        <v>968.88</v>
      </c>
      <c r="C908">
        <v>998.14</v>
      </c>
      <c r="D908" s="3">
        <v>1015.1</v>
      </c>
      <c r="E908">
        <v>965.72</v>
      </c>
      <c r="F908" t="s">
        <v>1579</v>
      </c>
      <c r="G908" s="21">
        <v>-4.3499999999999997E-2</v>
      </c>
    </row>
    <row r="909" spans="1:7" x14ac:dyDescent="0.35">
      <c r="A909" s="22">
        <v>39298</v>
      </c>
      <c r="B909" s="3">
        <v>1012.98</v>
      </c>
      <c r="C909" s="3">
        <v>1041.29</v>
      </c>
      <c r="D909" s="3">
        <v>1044.9000000000001</v>
      </c>
      <c r="E909" s="3">
        <v>1012.98</v>
      </c>
      <c r="F909" t="s">
        <v>1580</v>
      </c>
      <c r="G909" s="21">
        <v>-2.0299999999999999E-2</v>
      </c>
    </row>
    <row r="910" spans="1:7" x14ac:dyDescent="0.35">
      <c r="A910" s="22">
        <v>39086</v>
      </c>
      <c r="B910" s="3">
        <v>1033.92</v>
      </c>
      <c r="C910" s="3">
        <v>1059.18</v>
      </c>
      <c r="D910" s="3">
        <v>1061.75</v>
      </c>
      <c r="E910" s="3">
        <v>1027.43</v>
      </c>
      <c r="F910" t="s">
        <v>1581</v>
      </c>
      <c r="G910" s="21">
        <v>-3.49E-2</v>
      </c>
    </row>
    <row r="911" spans="1:7" x14ac:dyDescent="0.35">
      <c r="A911" s="22" t="s">
        <v>1582</v>
      </c>
      <c r="B911" s="3">
        <v>1071.33</v>
      </c>
      <c r="C911" s="3">
        <v>1085.46</v>
      </c>
      <c r="D911" s="3">
        <v>1091.23</v>
      </c>
      <c r="E911">
        <v>999.35</v>
      </c>
      <c r="F911" t="s">
        <v>1583</v>
      </c>
      <c r="G911" s="21">
        <v>-1.7600000000000001E-2</v>
      </c>
    </row>
    <row r="912" spans="1:7" x14ac:dyDescent="0.35">
      <c r="A912" s="22" t="s">
        <v>1584</v>
      </c>
      <c r="B912" s="3">
        <v>1090.56</v>
      </c>
      <c r="C912" s="3">
        <v>1152.06</v>
      </c>
      <c r="D912" s="3">
        <v>1152.06</v>
      </c>
      <c r="E912" s="3">
        <v>1090.56</v>
      </c>
      <c r="F912" t="s">
        <v>1585</v>
      </c>
      <c r="G912" s="21">
        <v>-1.7299999999999999E-2</v>
      </c>
    </row>
    <row r="913" spans="1:7" x14ac:dyDescent="0.35">
      <c r="A913" s="22">
        <v>39389</v>
      </c>
      <c r="B913" s="3">
        <v>1109.76</v>
      </c>
      <c r="C913" s="3">
        <v>1179.32</v>
      </c>
      <c r="D913" s="3">
        <v>1179.32</v>
      </c>
      <c r="E913" s="3">
        <v>1065.52</v>
      </c>
      <c r="F913" t="s">
        <v>1586</v>
      </c>
      <c r="G913" s="21">
        <v>-3.9699999999999999E-2</v>
      </c>
    </row>
    <row r="914" spans="1:7" x14ac:dyDescent="0.35">
      <c r="A914" s="22">
        <v>39175</v>
      </c>
      <c r="B914" s="3">
        <v>1155.68</v>
      </c>
      <c r="C914" s="3">
        <v>1165.05</v>
      </c>
      <c r="D914" s="3">
        <v>1168.67</v>
      </c>
      <c r="E914" s="3">
        <v>1132.23</v>
      </c>
      <c r="F914" t="s">
        <v>1587</v>
      </c>
      <c r="G914" s="21">
        <v>7.0000000000000001E-3</v>
      </c>
    </row>
    <row r="915" spans="1:7" x14ac:dyDescent="0.35">
      <c r="A915" s="22" t="s">
        <v>1588</v>
      </c>
      <c r="B915" s="3">
        <v>1147.6600000000001</v>
      </c>
      <c r="C915" s="3">
        <v>1121.18</v>
      </c>
      <c r="D915" s="3">
        <v>1174.0999999999999</v>
      </c>
      <c r="E915" s="3">
        <v>1121.18</v>
      </c>
      <c r="F915" t="s">
        <v>1589</v>
      </c>
      <c r="G915" s="21">
        <v>5.9499999999999997E-2</v>
      </c>
    </row>
    <row r="916" spans="1:7" x14ac:dyDescent="0.35">
      <c r="A916" s="22">
        <v>39388</v>
      </c>
      <c r="B916" s="3">
        <v>1083.25</v>
      </c>
      <c r="C916" s="3">
        <v>1041.43</v>
      </c>
      <c r="D916" s="3">
        <v>1083.25</v>
      </c>
      <c r="E916" s="3">
        <v>1041.43</v>
      </c>
      <c r="F916" t="s">
        <v>1590</v>
      </c>
      <c r="G916" s="21">
        <v>5.0799999999999998E-2</v>
      </c>
    </row>
    <row r="917" spans="1:7" x14ac:dyDescent="0.35">
      <c r="A917" s="22">
        <v>39174</v>
      </c>
      <c r="B917" s="3">
        <v>1030.9000000000001</v>
      </c>
      <c r="C917" s="3">
        <v>1091.02</v>
      </c>
      <c r="D917" s="3">
        <v>1095.75</v>
      </c>
      <c r="E917" s="3">
        <v>1010.38</v>
      </c>
      <c r="F917" t="s">
        <v>1591</v>
      </c>
      <c r="G917" s="21">
        <v>-4.0599999999999997E-2</v>
      </c>
    </row>
    <row r="918" spans="1:7" x14ac:dyDescent="0.35">
      <c r="A918" s="22" t="s">
        <v>1592</v>
      </c>
      <c r="B918" s="3">
        <v>1074.55</v>
      </c>
      <c r="C918">
        <v>976.51</v>
      </c>
      <c r="D918" s="3">
        <v>1074.55</v>
      </c>
      <c r="E918">
        <v>976.51</v>
      </c>
      <c r="F918" t="s">
        <v>1593</v>
      </c>
      <c r="G918" s="21">
        <v>0.1024</v>
      </c>
    </row>
    <row r="919" spans="1:7" x14ac:dyDescent="0.35">
      <c r="A919" s="22" t="s">
        <v>1594</v>
      </c>
      <c r="B919">
        <v>974.76</v>
      </c>
      <c r="C919" s="3">
        <v>1044.26</v>
      </c>
      <c r="D919" s="3">
        <v>1049.82</v>
      </c>
      <c r="E919">
        <v>966.6</v>
      </c>
      <c r="F919" t="s">
        <v>1595</v>
      </c>
      <c r="G919" s="21">
        <v>-4.7199999999999999E-2</v>
      </c>
    </row>
    <row r="920" spans="1:7" x14ac:dyDescent="0.35">
      <c r="A920" s="22" t="s">
        <v>1596</v>
      </c>
      <c r="B920" s="3">
        <v>1023.05</v>
      </c>
      <c r="C920">
        <v>941.73</v>
      </c>
      <c r="D920" s="3">
        <v>1024</v>
      </c>
      <c r="E920">
        <v>941.73</v>
      </c>
      <c r="F920" t="s">
        <v>1597</v>
      </c>
      <c r="G920" s="21">
        <v>0.1183</v>
      </c>
    </row>
    <row r="921" spans="1:7" x14ac:dyDescent="0.35">
      <c r="A921" s="22">
        <v>39264</v>
      </c>
      <c r="B921">
        <v>914.79</v>
      </c>
      <c r="C921">
        <v>840.22</v>
      </c>
      <c r="D921">
        <v>914.79</v>
      </c>
      <c r="E921">
        <v>825.11</v>
      </c>
      <c r="F921" t="s">
        <v>1598</v>
      </c>
      <c r="G921" s="21">
        <v>0.12039999999999999</v>
      </c>
    </row>
    <row r="922" spans="1:7" x14ac:dyDescent="0.35">
      <c r="A922" s="22" t="s">
        <v>1599</v>
      </c>
      <c r="B922">
        <v>816.51</v>
      </c>
      <c r="C922">
        <v>751.04</v>
      </c>
      <c r="D922">
        <v>818.04</v>
      </c>
      <c r="E922">
        <v>741.27</v>
      </c>
      <c r="F922" t="s">
        <v>1600</v>
      </c>
      <c r="G922" s="21">
        <v>8.6099999999999996E-2</v>
      </c>
    </row>
    <row r="923" spans="1:7" x14ac:dyDescent="0.35">
      <c r="A923" s="22" t="s">
        <v>1601</v>
      </c>
      <c r="B923">
        <v>751.77</v>
      </c>
      <c r="C923">
        <v>717.68</v>
      </c>
      <c r="D923">
        <v>762.33</v>
      </c>
      <c r="E923">
        <v>717.68</v>
      </c>
      <c r="F923" t="s">
        <v>1602</v>
      </c>
      <c r="G923" s="21">
        <v>1.0200000000000001E-2</v>
      </c>
    </row>
    <row r="924" spans="1:7" x14ac:dyDescent="0.35">
      <c r="A924" s="22" t="s">
        <v>1603</v>
      </c>
      <c r="B924">
        <v>744.15</v>
      </c>
      <c r="C924">
        <v>790.18</v>
      </c>
      <c r="D924">
        <v>815.98</v>
      </c>
      <c r="E924">
        <v>744.15</v>
      </c>
      <c r="F924" t="s">
        <v>1604</v>
      </c>
      <c r="G924" s="21">
        <v>-4.0500000000000001E-2</v>
      </c>
    </row>
    <row r="925" spans="1:7" x14ac:dyDescent="0.35">
      <c r="A925" s="22">
        <v>39002</v>
      </c>
      <c r="B925">
        <v>775.56</v>
      </c>
      <c r="C925">
        <v>721.6</v>
      </c>
      <c r="D925">
        <v>775.56</v>
      </c>
      <c r="E925">
        <v>716.64</v>
      </c>
      <c r="F925" t="s">
        <v>1605</v>
      </c>
      <c r="G925" s="21">
        <v>0.11409999999999999</v>
      </c>
    </row>
    <row r="926" spans="1:7" x14ac:dyDescent="0.35">
      <c r="A926" s="22">
        <v>38788</v>
      </c>
      <c r="B926">
        <v>696.12</v>
      </c>
      <c r="C926">
        <v>638.89</v>
      </c>
      <c r="D926">
        <v>696.12</v>
      </c>
      <c r="E926">
        <v>638.89</v>
      </c>
      <c r="F926" t="s">
        <v>1606</v>
      </c>
      <c r="G926" s="21">
        <v>0.1027</v>
      </c>
    </row>
    <row r="927" spans="1:7" x14ac:dyDescent="0.35">
      <c r="A927" s="22" t="s">
        <v>1607</v>
      </c>
      <c r="B927">
        <v>631.29</v>
      </c>
      <c r="C927">
        <v>687.72</v>
      </c>
      <c r="D927">
        <v>687.72</v>
      </c>
      <c r="E927">
        <v>612.16</v>
      </c>
      <c r="F927" t="s">
        <v>1608</v>
      </c>
      <c r="G927" s="21">
        <v>-5.1400000000000001E-2</v>
      </c>
    </row>
    <row r="928" spans="1:7" x14ac:dyDescent="0.35">
      <c r="A928" s="22" t="s">
        <v>1609</v>
      </c>
      <c r="B928">
        <v>665.53</v>
      </c>
      <c r="C928">
        <v>590.07000000000005</v>
      </c>
      <c r="D928">
        <v>666.26</v>
      </c>
      <c r="E928">
        <v>584.26</v>
      </c>
      <c r="F928" t="s">
        <v>1610</v>
      </c>
      <c r="G928" s="21">
        <v>0.15989999999999999</v>
      </c>
    </row>
    <row r="929" spans="1:7" x14ac:dyDescent="0.35">
      <c r="A929" s="22">
        <v>39062</v>
      </c>
      <c r="B929">
        <v>573.79</v>
      </c>
      <c r="C929">
        <v>534.04</v>
      </c>
      <c r="D929">
        <v>573.79</v>
      </c>
      <c r="E929">
        <v>534.04</v>
      </c>
      <c r="F929" t="s">
        <v>1611</v>
      </c>
      <c r="G929" s="21">
        <v>8.1000000000000003E-2</v>
      </c>
    </row>
    <row r="930" spans="1:7" x14ac:dyDescent="0.35">
      <c r="A930" s="22">
        <v>38848</v>
      </c>
      <c r="B930">
        <v>530.80999999999995</v>
      </c>
      <c r="C930">
        <v>513.89</v>
      </c>
      <c r="D930">
        <v>537.42999999999995</v>
      </c>
      <c r="E930">
        <v>513.89</v>
      </c>
      <c r="F930" t="s">
        <v>1612</v>
      </c>
      <c r="G930" s="21">
        <v>3.32E-2</v>
      </c>
    </row>
    <row r="931" spans="1:7" x14ac:dyDescent="0.35">
      <c r="A931" s="22" t="s">
        <v>1613</v>
      </c>
      <c r="B931">
        <v>513.74</v>
      </c>
      <c r="C931">
        <v>518.01</v>
      </c>
      <c r="D931">
        <v>523.1</v>
      </c>
      <c r="E931">
        <v>505.23</v>
      </c>
      <c r="F931" t="s">
        <v>1614</v>
      </c>
      <c r="G931" s="21">
        <v>-1.4E-2</v>
      </c>
    </row>
    <row r="932" spans="1:7" x14ac:dyDescent="0.35">
      <c r="A932" s="22" t="s">
        <v>1615</v>
      </c>
      <c r="B932">
        <v>521.04</v>
      </c>
      <c r="C932">
        <v>526.04999999999995</v>
      </c>
      <c r="D932">
        <v>526.08000000000004</v>
      </c>
      <c r="E932">
        <v>520.71</v>
      </c>
      <c r="F932" t="s">
        <v>1616</v>
      </c>
      <c r="G932" s="21">
        <v>-1.4E-2</v>
      </c>
    </row>
    <row r="933" spans="1:7" x14ac:dyDescent="0.35">
      <c r="A933" s="22" t="s">
        <v>1617</v>
      </c>
      <c r="B933">
        <v>528.41999999999996</v>
      </c>
      <c r="C933">
        <v>527.01</v>
      </c>
      <c r="D933">
        <v>528.41999999999996</v>
      </c>
      <c r="E933">
        <v>517.88</v>
      </c>
      <c r="F933" t="s">
        <v>1618</v>
      </c>
      <c r="G933" s="21">
        <v>4.7000000000000002E-3</v>
      </c>
    </row>
    <row r="934" spans="1:7" x14ac:dyDescent="0.35">
      <c r="A934" s="22">
        <v>38939</v>
      </c>
      <c r="B934">
        <v>525.92999999999995</v>
      </c>
      <c r="C934">
        <v>537.52</v>
      </c>
      <c r="D934">
        <v>537.52</v>
      </c>
      <c r="E934">
        <v>524.66999999999996</v>
      </c>
      <c r="F934" t="s">
        <v>1619</v>
      </c>
      <c r="G934" s="21">
        <v>-1.9699999999999999E-2</v>
      </c>
    </row>
    <row r="935" spans="1:7" x14ac:dyDescent="0.35">
      <c r="A935" s="22">
        <v>38727</v>
      </c>
      <c r="B935">
        <v>536.48</v>
      </c>
      <c r="C935">
        <v>529.57000000000005</v>
      </c>
      <c r="D935">
        <v>545.54999999999995</v>
      </c>
      <c r="E935">
        <v>529.57000000000005</v>
      </c>
      <c r="F935" t="s">
        <v>1620</v>
      </c>
      <c r="G935" s="21">
        <v>1.8499999999999999E-2</v>
      </c>
    </row>
    <row r="936" spans="1:7" x14ac:dyDescent="0.35">
      <c r="A936" s="22" t="s">
        <v>1621</v>
      </c>
      <c r="B936">
        <v>526.73</v>
      </c>
      <c r="C936">
        <v>514.51</v>
      </c>
      <c r="D936">
        <v>531.88</v>
      </c>
      <c r="E936">
        <v>514.25</v>
      </c>
      <c r="F936" t="s">
        <v>1622</v>
      </c>
      <c r="G936" s="21">
        <v>2.53E-2</v>
      </c>
    </row>
    <row r="937" spans="1:7" x14ac:dyDescent="0.35">
      <c r="A937" s="22" t="s">
        <v>1623</v>
      </c>
      <c r="B937">
        <v>513.75</v>
      </c>
      <c r="C937">
        <v>511.1</v>
      </c>
      <c r="D937">
        <v>519.54</v>
      </c>
      <c r="E937">
        <v>509</v>
      </c>
      <c r="F937" t="s">
        <v>1624</v>
      </c>
      <c r="G937" s="21">
        <v>8.6999999999999994E-3</v>
      </c>
    </row>
    <row r="938" spans="1:7" x14ac:dyDescent="0.35">
      <c r="A938" s="22">
        <v>38999</v>
      </c>
      <c r="B938">
        <v>509.32</v>
      </c>
      <c r="C938">
        <v>514.87</v>
      </c>
      <c r="D938">
        <v>514.87</v>
      </c>
      <c r="E938">
        <v>500.42</v>
      </c>
      <c r="F938" t="s">
        <v>1625</v>
      </c>
      <c r="G938" s="21">
        <v>-7.3000000000000001E-3</v>
      </c>
    </row>
    <row r="939" spans="1:7" x14ac:dyDescent="0.35">
      <c r="A939" s="22">
        <v>38785</v>
      </c>
      <c r="B939">
        <v>513.04</v>
      </c>
      <c r="C939">
        <v>509.87</v>
      </c>
      <c r="D939">
        <v>526.87</v>
      </c>
      <c r="E939">
        <v>509.87</v>
      </c>
      <c r="F939" t="s">
        <v>1626</v>
      </c>
      <c r="G939" s="21">
        <v>2.98E-2</v>
      </c>
    </row>
    <row r="940" spans="1:7" x14ac:dyDescent="0.35">
      <c r="A940" s="22" t="s">
        <v>1627</v>
      </c>
      <c r="B940">
        <v>498.21</v>
      </c>
      <c r="C940">
        <v>477.45</v>
      </c>
      <c r="D940">
        <v>498.21</v>
      </c>
      <c r="E940">
        <v>477.45</v>
      </c>
      <c r="F940" t="s">
        <v>1628</v>
      </c>
      <c r="G940" s="21">
        <v>4.3499999999999997E-2</v>
      </c>
    </row>
    <row r="941" spans="1:7" x14ac:dyDescent="0.35">
      <c r="A941" s="22" t="s">
        <v>1629</v>
      </c>
      <c r="B941">
        <v>477.43</v>
      </c>
      <c r="C941">
        <v>485.18</v>
      </c>
      <c r="D941">
        <v>485.18</v>
      </c>
      <c r="E941">
        <v>466.97</v>
      </c>
      <c r="F941" t="s">
        <v>1630</v>
      </c>
      <c r="G941" s="21">
        <v>-1.01E-2</v>
      </c>
    </row>
    <row r="942" spans="1:7" x14ac:dyDescent="0.35">
      <c r="A942" s="22" t="s">
        <v>1631</v>
      </c>
      <c r="B942">
        <v>482.31</v>
      </c>
      <c r="C942">
        <v>458.97</v>
      </c>
      <c r="D942">
        <v>488.78</v>
      </c>
      <c r="E942">
        <v>458.97</v>
      </c>
      <c r="F942" t="s">
        <v>1632</v>
      </c>
      <c r="G942" s="21">
        <v>8.7599999999999997E-2</v>
      </c>
    </row>
    <row r="943" spans="1:7" x14ac:dyDescent="0.35">
      <c r="A943" s="22">
        <v>38876</v>
      </c>
      <c r="B943">
        <v>443.45</v>
      </c>
      <c r="C943">
        <v>439.95</v>
      </c>
      <c r="D943">
        <v>443.45</v>
      </c>
      <c r="E943">
        <v>423.49</v>
      </c>
      <c r="F943" t="s">
        <v>1633</v>
      </c>
      <c r="G943" s="21">
        <v>1.83E-2</v>
      </c>
    </row>
    <row r="944" spans="1:7" x14ac:dyDescent="0.35">
      <c r="A944" s="22" t="s">
        <v>1634</v>
      </c>
      <c r="B944">
        <v>435.5</v>
      </c>
      <c r="C944">
        <v>431.47</v>
      </c>
      <c r="D944">
        <v>436.12</v>
      </c>
      <c r="E944">
        <v>388.82</v>
      </c>
      <c r="F944" t="s">
        <v>1635</v>
      </c>
      <c r="G944" s="21">
        <v>-9.2999999999999992E-3</v>
      </c>
    </row>
    <row r="945" spans="1:7" x14ac:dyDescent="0.35">
      <c r="A945" s="22" t="s">
        <v>1636</v>
      </c>
      <c r="B945">
        <v>439.57</v>
      </c>
      <c r="C945">
        <v>466.6</v>
      </c>
      <c r="D945">
        <v>466.6</v>
      </c>
      <c r="E945">
        <v>431.06</v>
      </c>
      <c r="F945" t="s">
        <v>1637</v>
      </c>
      <c r="G945" s="21">
        <v>-7.0400000000000004E-2</v>
      </c>
    </row>
    <row r="946" spans="1:7" x14ac:dyDescent="0.35">
      <c r="A946" s="22" t="s">
        <v>1638</v>
      </c>
      <c r="B946">
        <v>472.86</v>
      </c>
      <c r="C946">
        <v>498.22</v>
      </c>
      <c r="D946">
        <v>498.22</v>
      </c>
      <c r="E946">
        <v>458.54</v>
      </c>
      <c r="F946" t="s">
        <v>1639</v>
      </c>
      <c r="G946" s="21">
        <v>-6.5699999999999995E-2</v>
      </c>
    </row>
    <row r="947" spans="1:7" x14ac:dyDescent="0.35">
      <c r="A947" s="22">
        <v>38967</v>
      </c>
      <c r="B947">
        <v>506.1</v>
      </c>
      <c r="C947">
        <v>509.1</v>
      </c>
      <c r="D947">
        <v>511.99</v>
      </c>
      <c r="E947">
        <v>502.08</v>
      </c>
      <c r="F947" t="s">
        <v>1640</v>
      </c>
      <c r="G947" s="21">
        <v>-4.3E-3</v>
      </c>
    </row>
    <row r="948" spans="1:7" x14ac:dyDescent="0.35">
      <c r="A948" s="22">
        <v>38755</v>
      </c>
      <c r="B948">
        <v>508.31</v>
      </c>
      <c r="C948">
        <v>509.78</v>
      </c>
      <c r="D948">
        <v>510.26</v>
      </c>
      <c r="E948">
        <v>497.95</v>
      </c>
      <c r="F948" t="s">
        <v>1641</v>
      </c>
      <c r="G948" s="21">
        <v>-1.41E-2</v>
      </c>
    </row>
    <row r="949" spans="1:7" x14ac:dyDescent="0.35">
      <c r="A949" s="22" t="s">
        <v>1642</v>
      </c>
      <c r="B949">
        <v>515.59</v>
      </c>
      <c r="C949">
        <v>504.11</v>
      </c>
      <c r="D949">
        <v>515.59</v>
      </c>
      <c r="E949">
        <v>497.79</v>
      </c>
      <c r="F949" t="s">
        <v>1643</v>
      </c>
      <c r="G949" s="21">
        <v>9.7000000000000003E-3</v>
      </c>
    </row>
    <row r="950" spans="1:7" x14ac:dyDescent="0.35">
      <c r="A950" s="22" t="s">
        <v>1644</v>
      </c>
      <c r="B950">
        <v>510.62</v>
      </c>
      <c r="C950">
        <v>522.33000000000004</v>
      </c>
      <c r="D950">
        <v>522.54999999999995</v>
      </c>
      <c r="E950">
        <v>487.86</v>
      </c>
      <c r="F950" t="s">
        <v>1645</v>
      </c>
      <c r="G950" s="21">
        <v>-2.5000000000000001E-2</v>
      </c>
    </row>
    <row r="951" spans="1:7" x14ac:dyDescent="0.35">
      <c r="A951" s="22">
        <v>39027</v>
      </c>
      <c r="B951">
        <v>523.70000000000005</v>
      </c>
      <c r="C951">
        <v>546.95000000000005</v>
      </c>
      <c r="D951">
        <v>546.95000000000005</v>
      </c>
      <c r="E951">
        <v>523.63</v>
      </c>
      <c r="F951" t="s">
        <v>1646</v>
      </c>
      <c r="G951" s="21">
        <v>-4.5699999999999998E-2</v>
      </c>
    </row>
    <row r="952" spans="1:7" x14ac:dyDescent="0.35">
      <c r="A952" s="22">
        <v>38813</v>
      </c>
      <c r="B952">
        <v>548.79</v>
      </c>
      <c r="C952">
        <v>548.91</v>
      </c>
      <c r="D952">
        <v>557.35</v>
      </c>
      <c r="E952">
        <v>544.41</v>
      </c>
      <c r="F952" t="s">
        <v>1647</v>
      </c>
      <c r="G952" s="21">
        <v>1.5800000000000002E-2</v>
      </c>
    </row>
    <row r="953" spans="1:7" x14ac:dyDescent="0.35">
      <c r="A953" s="22" t="s">
        <v>1648</v>
      </c>
      <c r="B953">
        <v>540.23</v>
      </c>
      <c r="C953">
        <v>540.55999999999995</v>
      </c>
      <c r="D953">
        <v>540.55999999999995</v>
      </c>
      <c r="E953">
        <v>526.01</v>
      </c>
      <c r="F953" t="s">
        <v>1649</v>
      </c>
      <c r="G953" s="21">
        <v>-9.4999999999999998E-3</v>
      </c>
    </row>
    <row r="954" spans="1:7" x14ac:dyDescent="0.35">
      <c r="A954" s="22" t="s">
        <v>1650</v>
      </c>
      <c r="B954">
        <v>545.39</v>
      </c>
      <c r="C954">
        <v>558.15</v>
      </c>
      <c r="D954">
        <v>559.54999999999995</v>
      </c>
      <c r="E954">
        <v>538.6</v>
      </c>
      <c r="F954" t="s">
        <v>1651</v>
      </c>
      <c r="G954" s="21">
        <v>-3.0099999999999998E-2</v>
      </c>
    </row>
    <row r="955" spans="1:7" x14ac:dyDescent="0.35">
      <c r="A955" s="22" t="s">
        <v>1652</v>
      </c>
      <c r="B955">
        <v>562.33000000000004</v>
      </c>
      <c r="C955">
        <v>590.04</v>
      </c>
      <c r="D955">
        <v>590.25</v>
      </c>
      <c r="E955">
        <v>557.28</v>
      </c>
      <c r="F955" t="s">
        <v>1653</v>
      </c>
      <c r="G955" s="21">
        <v>-7.7999999999999996E-3</v>
      </c>
    </row>
    <row r="956" spans="1:7" x14ac:dyDescent="0.35">
      <c r="A956" s="22">
        <v>38903</v>
      </c>
      <c r="B956">
        <v>566.76</v>
      </c>
      <c r="C956">
        <v>586.46</v>
      </c>
      <c r="D956">
        <v>586.46</v>
      </c>
      <c r="E956">
        <v>520.82000000000005</v>
      </c>
      <c r="F956" t="s">
        <v>1654</v>
      </c>
      <c r="G956" s="21">
        <v>-4.5699999999999998E-2</v>
      </c>
    </row>
    <row r="957" spans="1:7" x14ac:dyDescent="0.35">
      <c r="A957" s="22" t="s">
        <v>1655</v>
      </c>
      <c r="B957">
        <v>593.89</v>
      </c>
      <c r="C957">
        <v>611.72</v>
      </c>
      <c r="D957">
        <v>612.11</v>
      </c>
      <c r="E957">
        <v>593.89</v>
      </c>
      <c r="F957" t="s">
        <v>1656</v>
      </c>
      <c r="G957" s="21">
        <v>-2.7000000000000001E-3</v>
      </c>
    </row>
    <row r="958" spans="1:7" x14ac:dyDescent="0.35">
      <c r="A958" s="22" t="s">
        <v>1657</v>
      </c>
      <c r="B958">
        <v>595.48</v>
      </c>
      <c r="C958">
        <v>612.79999999999995</v>
      </c>
      <c r="D958">
        <v>638.86</v>
      </c>
      <c r="E958">
        <v>584.08000000000004</v>
      </c>
      <c r="F958" t="s">
        <v>1658</v>
      </c>
      <c r="G958" s="21">
        <v>6.8999999999999999E-3</v>
      </c>
    </row>
    <row r="959" spans="1:7" x14ac:dyDescent="0.35">
      <c r="A959" s="22" t="s">
        <v>1659</v>
      </c>
      <c r="B959">
        <v>591.39</v>
      </c>
      <c r="C959">
        <v>561.32000000000005</v>
      </c>
      <c r="D959">
        <v>591.39</v>
      </c>
      <c r="E959">
        <v>561.09</v>
      </c>
      <c r="F959" t="s">
        <v>1660</v>
      </c>
      <c r="G959" s="21">
        <v>6.5299999999999997E-2</v>
      </c>
    </row>
    <row r="960" spans="1:7" x14ac:dyDescent="0.35">
      <c r="A960" s="22">
        <v>38964</v>
      </c>
      <c r="B960">
        <v>555.15</v>
      </c>
      <c r="C960">
        <v>551.26</v>
      </c>
      <c r="D960">
        <v>558.38</v>
      </c>
      <c r="E960">
        <v>528.63</v>
      </c>
      <c r="F960" t="s">
        <v>1661</v>
      </c>
      <c r="G960" s="21">
        <v>1.9199999999999998E-2</v>
      </c>
    </row>
    <row r="961" spans="1:7" x14ac:dyDescent="0.35">
      <c r="A961" s="22">
        <v>38752</v>
      </c>
      <c r="B961">
        <v>544.71</v>
      </c>
      <c r="C961">
        <v>520.53</v>
      </c>
      <c r="D961">
        <v>544.71</v>
      </c>
      <c r="E961">
        <v>505.42</v>
      </c>
      <c r="F961" t="s">
        <v>1662</v>
      </c>
      <c r="G961" s="21">
        <v>8.1699999999999995E-2</v>
      </c>
    </row>
    <row r="962" spans="1:7" x14ac:dyDescent="0.35">
      <c r="A962" s="22" t="s">
        <v>1663</v>
      </c>
      <c r="B962">
        <v>503.56</v>
      </c>
      <c r="C962">
        <v>460.46</v>
      </c>
      <c r="D962">
        <v>507.1</v>
      </c>
      <c r="E962">
        <v>460.46</v>
      </c>
      <c r="F962" t="s">
        <v>1664</v>
      </c>
      <c r="G962" s="21">
        <v>0.1042</v>
      </c>
    </row>
    <row r="963" spans="1:7" x14ac:dyDescent="0.35">
      <c r="A963" s="22" t="s">
        <v>1665</v>
      </c>
      <c r="B963">
        <v>456.06</v>
      </c>
      <c r="C963">
        <v>450.15</v>
      </c>
      <c r="D963">
        <v>468.73</v>
      </c>
      <c r="E963">
        <v>450.15</v>
      </c>
      <c r="F963" t="s">
        <v>1666</v>
      </c>
      <c r="G963" s="21">
        <v>2.9000000000000001E-2</v>
      </c>
    </row>
    <row r="964" spans="1:7" x14ac:dyDescent="0.35">
      <c r="A964" s="22">
        <v>39054</v>
      </c>
      <c r="B964">
        <v>443.19</v>
      </c>
      <c r="C964">
        <v>422.97</v>
      </c>
      <c r="D964">
        <v>443.19</v>
      </c>
      <c r="E964">
        <v>422.97</v>
      </c>
      <c r="F964" t="s">
        <v>1667</v>
      </c>
      <c r="G964" s="21">
        <v>6.9599999999999995E-2</v>
      </c>
    </row>
    <row r="965" spans="1:7" x14ac:dyDescent="0.35">
      <c r="A965" s="22">
        <v>38840</v>
      </c>
      <c r="B965">
        <v>414.36</v>
      </c>
      <c r="C965">
        <v>401.36</v>
      </c>
      <c r="D965">
        <v>415.45</v>
      </c>
      <c r="E965">
        <v>401.36</v>
      </c>
      <c r="F965" t="s">
        <v>1668</v>
      </c>
      <c r="G965" s="21">
        <v>4.1200000000000001E-2</v>
      </c>
    </row>
    <row r="966" spans="1:7" x14ac:dyDescent="0.35">
      <c r="A966" s="22" t="s">
        <v>1669</v>
      </c>
      <c r="B966">
        <v>397.95</v>
      </c>
      <c r="C966">
        <v>377.4</v>
      </c>
      <c r="D966">
        <v>415.56</v>
      </c>
      <c r="E966">
        <v>377.4</v>
      </c>
      <c r="F966" t="s">
        <v>1670</v>
      </c>
      <c r="G966" s="21">
        <v>6.5500000000000003E-2</v>
      </c>
    </row>
    <row r="967" spans="1:7" x14ac:dyDescent="0.35">
      <c r="A967" s="22" t="s">
        <v>1671</v>
      </c>
      <c r="B967">
        <v>373.5</v>
      </c>
      <c r="C967">
        <v>351.45</v>
      </c>
      <c r="D967">
        <v>373.5</v>
      </c>
      <c r="E967">
        <v>351.45</v>
      </c>
      <c r="F967" t="s">
        <v>1672</v>
      </c>
      <c r="G967" s="21">
        <v>9.9099999999999994E-2</v>
      </c>
    </row>
    <row r="968" spans="1:7" x14ac:dyDescent="0.35">
      <c r="A968" s="22">
        <v>39053</v>
      </c>
      <c r="B968">
        <v>339.83</v>
      </c>
      <c r="C968">
        <v>324.69</v>
      </c>
      <c r="D968">
        <v>339.83</v>
      </c>
      <c r="E968">
        <v>324.45999999999998</v>
      </c>
      <c r="F968" t="s">
        <v>1673</v>
      </c>
      <c r="G968" s="21">
        <v>4.5100000000000001E-2</v>
      </c>
    </row>
    <row r="969" spans="1:7" x14ac:dyDescent="0.35">
      <c r="A969" s="22">
        <v>38839</v>
      </c>
      <c r="B969">
        <v>325.17</v>
      </c>
      <c r="C969">
        <v>314.02999999999997</v>
      </c>
      <c r="D969">
        <v>325.54000000000002</v>
      </c>
      <c r="E969">
        <v>313.14</v>
      </c>
      <c r="F969" t="s">
        <v>1674</v>
      </c>
      <c r="G969" s="21">
        <v>4.1099999999999998E-2</v>
      </c>
    </row>
    <row r="970" spans="1:7" x14ac:dyDescent="0.35">
      <c r="A970" s="22" t="s">
        <v>1675</v>
      </c>
      <c r="B970">
        <v>312.32</v>
      </c>
      <c r="C970">
        <v>313.49</v>
      </c>
      <c r="D970">
        <v>313.49</v>
      </c>
      <c r="E970">
        <v>306.83999999999997</v>
      </c>
      <c r="F970" t="s">
        <v>1676</v>
      </c>
      <c r="G970" s="21">
        <v>-3.3999999999999998E-3</v>
      </c>
    </row>
    <row r="971" spans="1:7" x14ac:dyDescent="0.35">
      <c r="A971" s="22" t="s">
        <v>1677</v>
      </c>
      <c r="B971">
        <v>313.38</v>
      </c>
      <c r="C971">
        <v>307.79000000000002</v>
      </c>
      <c r="D971">
        <v>316.64</v>
      </c>
      <c r="E971">
        <v>307.79000000000002</v>
      </c>
      <c r="F971" t="s">
        <v>1678</v>
      </c>
      <c r="G971" s="21">
        <v>2.1299999999999999E-2</v>
      </c>
    </row>
    <row r="972" spans="1:7" x14ac:dyDescent="0.35">
      <c r="A972" s="22">
        <v>38930</v>
      </c>
      <c r="B972">
        <v>306.83</v>
      </c>
      <c r="C972">
        <v>307.76</v>
      </c>
      <c r="D972">
        <v>307.76</v>
      </c>
      <c r="E972">
        <v>304.23</v>
      </c>
      <c r="F972" t="s">
        <v>1679</v>
      </c>
      <c r="G972" s="21">
        <v>-2.2000000000000001E-3</v>
      </c>
    </row>
    <row r="973" spans="1:7" x14ac:dyDescent="0.35">
      <c r="A973" s="22">
        <v>38718</v>
      </c>
      <c r="B973">
        <v>307.5</v>
      </c>
      <c r="C973">
        <v>306.86</v>
      </c>
      <c r="D973">
        <v>307.5</v>
      </c>
      <c r="E973">
        <v>305.08999999999997</v>
      </c>
      <c r="F973" t="s">
        <v>1680</v>
      </c>
      <c r="G973" s="21">
        <v>0</v>
      </c>
    </row>
    <row r="974" spans="1:7" x14ac:dyDescent="0.35">
      <c r="A974" s="22" t="s">
        <v>1681</v>
      </c>
      <c r="B974">
        <v>307.5</v>
      </c>
      <c r="C974">
        <v>309.56</v>
      </c>
      <c r="D974">
        <v>310.45999999999998</v>
      </c>
      <c r="E974">
        <v>306.60000000000002</v>
      </c>
      <c r="F974" t="s">
        <v>1682</v>
      </c>
      <c r="G974" s="21">
        <v>-5.3E-3</v>
      </c>
    </row>
    <row r="975" spans="1:7" x14ac:dyDescent="0.35">
      <c r="A975" s="22" t="s">
        <v>1683</v>
      </c>
      <c r="B975">
        <v>309.14</v>
      </c>
      <c r="C975">
        <v>314.22000000000003</v>
      </c>
      <c r="D975">
        <v>314.22000000000003</v>
      </c>
      <c r="E975">
        <v>308.43</v>
      </c>
      <c r="F975" t="s">
        <v>1684</v>
      </c>
      <c r="G975" s="21">
        <v>-1.7000000000000001E-2</v>
      </c>
    </row>
    <row r="976" spans="1:7" x14ac:dyDescent="0.35">
      <c r="A976" s="22">
        <v>38668</v>
      </c>
      <c r="B976">
        <v>314.49</v>
      </c>
      <c r="C976">
        <v>317.75</v>
      </c>
      <c r="D976">
        <v>317.75</v>
      </c>
      <c r="E976">
        <v>314.08</v>
      </c>
      <c r="F976" t="s">
        <v>1685</v>
      </c>
      <c r="G976" s="21">
        <v>-4.1000000000000003E-3</v>
      </c>
    </row>
    <row r="977" spans="1:7" x14ac:dyDescent="0.35">
      <c r="A977" s="22">
        <v>38454</v>
      </c>
      <c r="B977">
        <v>315.79000000000002</v>
      </c>
      <c r="C977">
        <v>312.52999999999997</v>
      </c>
      <c r="D977">
        <v>315.79000000000002</v>
      </c>
      <c r="E977">
        <v>312.29000000000002</v>
      </c>
      <c r="F977" t="s">
        <v>1686</v>
      </c>
      <c r="G977" s="21">
        <v>1.0800000000000001E-2</v>
      </c>
    </row>
    <row r="978" spans="1:7" x14ac:dyDescent="0.35">
      <c r="A978" s="22" t="s">
        <v>1687</v>
      </c>
      <c r="B978">
        <v>312.43</v>
      </c>
      <c r="C978">
        <v>310.42</v>
      </c>
      <c r="D978">
        <v>313.01</v>
      </c>
      <c r="E978">
        <v>306.19</v>
      </c>
      <c r="F978" t="s">
        <v>1688</v>
      </c>
      <c r="G978" s="21">
        <v>9.5999999999999992E-3</v>
      </c>
    </row>
    <row r="979" spans="1:7" x14ac:dyDescent="0.35">
      <c r="A979" s="22" t="s">
        <v>1689</v>
      </c>
      <c r="B979">
        <v>309.47000000000003</v>
      </c>
      <c r="C979">
        <v>312.72000000000003</v>
      </c>
      <c r="D979">
        <v>312.72000000000003</v>
      </c>
      <c r="E979">
        <v>301.77999999999997</v>
      </c>
      <c r="F979" t="s">
        <v>1690</v>
      </c>
      <c r="G979" s="21">
        <v>-9.7000000000000003E-3</v>
      </c>
    </row>
    <row r="980" spans="1:7" x14ac:dyDescent="0.35">
      <c r="A980" s="22" t="s">
        <v>1691</v>
      </c>
      <c r="B980">
        <v>312.5</v>
      </c>
      <c r="C980">
        <v>317.77</v>
      </c>
      <c r="D980">
        <v>318.47000000000003</v>
      </c>
      <c r="E980">
        <v>312.5</v>
      </c>
      <c r="F980" t="s">
        <v>1692</v>
      </c>
      <c r="G980" s="21">
        <v>-1.6500000000000001E-2</v>
      </c>
    </row>
    <row r="981" spans="1:7" x14ac:dyDescent="0.35">
      <c r="A981" s="22">
        <v>38514</v>
      </c>
      <c r="B981">
        <v>317.73</v>
      </c>
      <c r="C981">
        <v>321.52</v>
      </c>
      <c r="D981">
        <v>322.81</v>
      </c>
      <c r="E981">
        <v>317.73</v>
      </c>
      <c r="F981" t="s">
        <v>1693</v>
      </c>
      <c r="G981" s="21">
        <v>-1.06E-2</v>
      </c>
    </row>
    <row r="982" spans="1:7" x14ac:dyDescent="0.35">
      <c r="A982" s="22" t="s">
        <v>1694</v>
      </c>
      <c r="B982">
        <v>321.14999999999998</v>
      </c>
      <c r="C982">
        <v>307.31</v>
      </c>
      <c r="D982">
        <v>325.25</v>
      </c>
      <c r="E982">
        <v>307.31</v>
      </c>
      <c r="F982" t="s">
        <v>1695</v>
      </c>
      <c r="G982" s="21">
        <v>5.16E-2</v>
      </c>
    </row>
    <row r="983" spans="1:7" x14ac:dyDescent="0.35">
      <c r="A983" s="22" t="s">
        <v>1696</v>
      </c>
      <c r="B983">
        <v>305.38</v>
      </c>
      <c r="C983">
        <v>306.57</v>
      </c>
      <c r="D983">
        <v>306.89999999999998</v>
      </c>
      <c r="E983">
        <v>297.95</v>
      </c>
      <c r="F983" t="s">
        <v>1697</v>
      </c>
      <c r="G983" s="21">
        <v>-4.4000000000000003E-3</v>
      </c>
    </row>
    <row r="984" spans="1:7" x14ac:dyDescent="0.35">
      <c r="A984" s="22" t="s">
        <v>1698</v>
      </c>
      <c r="B984">
        <v>306.72000000000003</v>
      </c>
      <c r="C984">
        <v>310.01</v>
      </c>
      <c r="D984">
        <v>311.39</v>
      </c>
      <c r="E984">
        <v>305.19</v>
      </c>
      <c r="F984" t="s">
        <v>1699</v>
      </c>
      <c r="G984" s="21">
        <v>8.6E-3</v>
      </c>
    </row>
    <row r="985" spans="1:7" x14ac:dyDescent="0.35">
      <c r="A985" s="22">
        <v>38605</v>
      </c>
      <c r="B985">
        <v>304.10000000000002</v>
      </c>
      <c r="C985">
        <v>292.45</v>
      </c>
      <c r="D985">
        <v>304.10000000000002</v>
      </c>
      <c r="E985">
        <v>291.33999999999997</v>
      </c>
      <c r="F985" t="s">
        <v>1700</v>
      </c>
      <c r="G985" s="21">
        <v>4.3900000000000002E-2</v>
      </c>
    </row>
    <row r="986" spans="1:7" x14ac:dyDescent="0.35">
      <c r="A986" s="22">
        <v>38393</v>
      </c>
      <c r="B986">
        <v>291.3</v>
      </c>
      <c r="C986">
        <v>289.95</v>
      </c>
      <c r="D986">
        <v>291.3</v>
      </c>
      <c r="E986">
        <v>283.86</v>
      </c>
      <c r="F986" t="s">
        <v>1701</v>
      </c>
      <c r="G986" s="21">
        <v>6.7999999999999996E-3</v>
      </c>
    </row>
    <row r="987" spans="1:7" x14ac:dyDescent="0.35">
      <c r="A987" s="22" t="s">
        <v>1702</v>
      </c>
      <c r="B987">
        <v>289.33</v>
      </c>
      <c r="C987">
        <v>278.83999999999997</v>
      </c>
      <c r="D987">
        <v>289.33</v>
      </c>
      <c r="E987">
        <v>275.62</v>
      </c>
      <c r="F987" t="s">
        <v>1703</v>
      </c>
      <c r="G987" s="21">
        <v>3.9399999999999998E-2</v>
      </c>
    </row>
    <row r="988" spans="1:7" x14ac:dyDescent="0.35">
      <c r="A988" s="22" t="s">
        <v>1704</v>
      </c>
      <c r="B988">
        <v>278.35000000000002</v>
      </c>
      <c r="C988">
        <v>270.07</v>
      </c>
      <c r="D988">
        <v>288.45999999999998</v>
      </c>
      <c r="E988">
        <v>270.07</v>
      </c>
      <c r="F988" t="s">
        <v>1705</v>
      </c>
      <c r="G988" s="21">
        <v>3.8300000000000001E-2</v>
      </c>
    </row>
    <row r="989" spans="1:7" x14ac:dyDescent="0.35">
      <c r="A989" s="22">
        <v>38665</v>
      </c>
      <c r="B989">
        <v>268.08</v>
      </c>
      <c r="C989">
        <v>262.89999999999998</v>
      </c>
      <c r="D989">
        <v>268.19</v>
      </c>
      <c r="E989">
        <v>262.18</v>
      </c>
      <c r="F989" t="s">
        <v>1706</v>
      </c>
      <c r="G989" s="21">
        <v>3.1199999999999999E-2</v>
      </c>
    </row>
    <row r="990" spans="1:7" x14ac:dyDescent="0.35">
      <c r="A990" s="22">
        <v>38451</v>
      </c>
      <c r="B990">
        <v>259.95999999999998</v>
      </c>
      <c r="C990">
        <v>254.56</v>
      </c>
      <c r="D990">
        <v>262.27</v>
      </c>
      <c r="E990">
        <v>254.56</v>
      </c>
      <c r="F990" t="s">
        <v>1707</v>
      </c>
      <c r="G990" s="21">
        <v>1.9699999999999999E-2</v>
      </c>
    </row>
    <row r="991" spans="1:7" x14ac:dyDescent="0.35">
      <c r="A991" s="22" t="s">
        <v>1708</v>
      </c>
      <c r="B991">
        <v>254.95</v>
      </c>
      <c r="C991">
        <v>251.05</v>
      </c>
      <c r="D991">
        <v>256.23</v>
      </c>
      <c r="E991">
        <v>251.05</v>
      </c>
      <c r="F991" t="s">
        <v>1709</v>
      </c>
      <c r="G991" s="21">
        <v>2.0899999999999998E-2</v>
      </c>
    </row>
    <row r="992" spans="1:7" x14ac:dyDescent="0.35">
      <c r="A992" s="22" t="s">
        <v>1710</v>
      </c>
      <c r="B992">
        <v>249.74</v>
      </c>
      <c r="C992">
        <v>247.82</v>
      </c>
      <c r="D992">
        <v>249.74</v>
      </c>
      <c r="E992">
        <v>247.82</v>
      </c>
      <c r="F992" t="s">
        <v>1711</v>
      </c>
      <c r="G992" s="21">
        <v>7.7000000000000002E-3</v>
      </c>
    </row>
    <row r="993" spans="1:7" x14ac:dyDescent="0.35">
      <c r="A993" s="22" t="s">
        <v>1712</v>
      </c>
      <c r="B993">
        <v>247.84</v>
      </c>
      <c r="C993">
        <v>249.09</v>
      </c>
      <c r="D993">
        <v>249.09</v>
      </c>
      <c r="E993">
        <v>247.3</v>
      </c>
      <c r="F993" t="s">
        <v>1713</v>
      </c>
      <c r="G993" s="21">
        <v>-5.5999999999999999E-3</v>
      </c>
    </row>
    <row r="994" spans="1:7" x14ac:dyDescent="0.35">
      <c r="A994" s="22">
        <v>38541</v>
      </c>
      <c r="B994">
        <v>249.23</v>
      </c>
      <c r="C994">
        <v>250.27</v>
      </c>
      <c r="D994">
        <v>250.27</v>
      </c>
      <c r="E994">
        <v>248.87</v>
      </c>
      <c r="F994" t="s">
        <v>1714</v>
      </c>
      <c r="G994" s="21">
        <v>-6.7999999999999996E-3</v>
      </c>
    </row>
    <row r="995" spans="1:7" x14ac:dyDescent="0.35">
      <c r="A995" s="22" t="s">
        <v>1715</v>
      </c>
      <c r="B995">
        <v>250.93</v>
      </c>
      <c r="C995">
        <v>245.48</v>
      </c>
      <c r="D995">
        <v>253.51</v>
      </c>
      <c r="E995">
        <v>245.48</v>
      </c>
      <c r="F995" t="s">
        <v>1716</v>
      </c>
      <c r="G995" s="21">
        <v>2.1999999999999999E-2</v>
      </c>
    </row>
    <row r="996" spans="1:7" x14ac:dyDescent="0.35">
      <c r="A996" s="22" t="s">
        <v>1717</v>
      </c>
      <c r="B996">
        <v>245.53</v>
      </c>
      <c r="C996">
        <v>246.31</v>
      </c>
      <c r="D996">
        <v>246.31</v>
      </c>
      <c r="E996">
        <v>243.67</v>
      </c>
      <c r="F996" t="s">
        <v>1718</v>
      </c>
      <c r="G996" s="21">
        <v>-1E-3</v>
      </c>
    </row>
    <row r="997" spans="1:7" x14ac:dyDescent="0.35">
      <c r="A997" s="22" t="s">
        <v>1719</v>
      </c>
      <c r="B997">
        <v>245.77</v>
      </c>
      <c r="C997">
        <v>249.1</v>
      </c>
      <c r="D997">
        <v>249.1</v>
      </c>
      <c r="E997">
        <v>245.77</v>
      </c>
      <c r="F997" t="s">
        <v>1720</v>
      </c>
      <c r="G997" s="21">
        <v>-1.2699999999999999E-2</v>
      </c>
    </row>
    <row r="998" spans="1:7" x14ac:dyDescent="0.35">
      <c r="A998" s="22">
        <v>38632</v>
      </c>
      <c r="B998">
        <v>248.94</v>
      </c>
      <c r="C998">
        <v>248.7</v>
      </c>
      <c r="D998">
        <v>249.81</v>
      </c>
      <c r="E998">
        <v>248.67</v>
      </c>
      <c r="F998" t="s">
        <v>1721</v>
      </c>
      <c r="G998" s="21">
        <v>2.5000000000000001E-3</v>
      </c>
    </row>
    <row r="999" spans="1:7" x14ac:dyDescent="0.35">
      <c r="A999" s="22">
        <v>38418</v>
      </c>
      <c r="B999">
        <v>248.32</v>
      </c>
      <c r="C999">
        <v>246.92</v>
      </c>
      <c r="D999">
        <v>248.32</v>
      </c>
      <c r="E999">
        <v>246.78</v>
      </c>
      <c r="F999" t="s">
        <v>1722</v>
      </c>
      <c r="G999" s="21">
        <v>7.3000000000000001E-3</v>
      </c>
    </row>
    <row r="1000" spans="1:7" x14ac:dyDescent="0.35">
      <c r="A1000" s="22" t="s">
        <v>1723</v>
      </c>
      <c r="B1000">
        <v>246.51</v>
      </c>
      <c r="C1000">
        <v>245.94</v>
      </c>
      <c r="D1000">
        <v>247.45</v>
      </c>
      <c r="E1000">
        <v>244.83</v>
      </c>
      <c r="F1000" t="s">
        <v>1724</v>
      </c>
      <c r="G1000" s="21">
        <v>-1.1000000000000001E-3</v>
      </c>
    </row>
    <row r="1001" spans="1:7" x14ac:dyDescent="0.35">
      <c r="A1001" s="22" t="s">
        <v>1725</v>
      </c>
      <c r="B1001">
        <v>246.78</v>
      </c>
      <c r="C1001">
        <v>247.31</v>
      </c>
      <c r="D1001">
        <v>247.71</v>
      </c>
      <c r="E1001">
        <v>246.42</v>
      </c>
      <c r="F1001" t="s">
        <v>1726</v>
      </c>
      <c r="G1001" s="21">
        <v>8.9999999999999998E-4</v>
      </c>
    </row>
    <row r="1002" spans="1:7" x14ac:dyDescent="0.35">
      <c r="A1002" s="22">
        <v>38692</v>
      </c>
      <c r="B1002">
        <v>246.56</v>
      </c>
      <c r="C1002">
        <v>246.57</v>
      </c>
      <c r="D1002">
        <v>246.57</v>
      </c>
      <c r="E1002">
        <v>245.46</v>
      </c>
      <c r="F1002" t="s">
        <v>1727</v>
      </c>
      <c r="G1002" s="21">
        <v>-1E-4</v>
      </c>
    </row>
    <row r="1003" spans="1:7" x14ac:dyDescent="0.35">
      <c r="A1003" s="22">
        <v>38478</v>
      </c>
      <c r="B1003">
        <v>246.59</v>
      </c>
      <c r="C1003">
        <v>245.67</v>
      </c>
      <c r="D1003">
        <v>247.21</v>
      </c>
      <c r="E1003">
        <v>245.67</v>
      </c>
      <c r="F1003" t="s">
        <v>1728</v>
      </c>
      <c r="G1003" s="21">
        <v>4.8999999999999998E-3</v>
      </c>
    </row>
    <row r="1004" spans="1:7" x14ac:dyDescent="0.35">
      <c r="A1004" s="22" t="s">
        <v>1729</v>
      </c>
      <c r="B1004">
        <v>245.38</v>
      </c>
      <c r="C1004">
        <v>243.27</v>
      </c>
      <c r="D1004">
        <v>245.38</v>
      </c>
      <c r="E1004">
        <v>243.27</v>
      </c>
      <c r="F1004" t="s">
        <v>1730</v>
      </c>
      <c r="G1004" s="21">
        <v>5.1000000000000004E-3</v>
      </c>
    </row>
    <row r="1005" spans="1:7" x14ac:dyDescent="0.35">
      <c r="A1005" s="22" t="s">
        <v>1731</v>
      </c>
      <c r="B1005">
        <v>244.13</v>
      </c>
      <c r="C1005">
        <v>243.55</v>
      </c>
      <c r="D1005">
        <v>244.13</v>
      </c>
      <c r="E1005">
        <v>242.85</v>
      </c>
      <c r="F1005" t="s">
        <v>1685</v>
      </c>
      <c r="G1005" s="21">
        <v>1.8E-3</v>
      </c>
    </row>
    <row r="1006" spans="1:7" x14ac:dyDescent="0.35">
      <c r="A1006" s="22" t="s">
        <v>1732</v>
      </c>
      <c r="B1006">
        <v>243.69</v>
      </c>
      <c r="C1006">
        <v>243.58</v>
      </c>
      <c r="D1006">
        <v>243.69</v>
      </c>
      <c r="E1006">
        <v>241.39</v>
      </c>
      <c r="F1006" t="s">
        <v>1733</v>
      </c>
      <c r="G1006" s="21">
        <v>1.4E-3</v>
      </c>
    </row>
    <row r="1007" spans="1:7" x14ac:dyDescent="0.35">
      <c r="A1007" s="22">
        <v>38569</v>
      </c>
      <c r="B1007">
        <v>243.36</v>
      </c>
      <c r="C1007">
        <v>245.23</v>
      </c>
      <c r="D1007">
        <v>245.23</v>
      </c>
      <c r="E1007">
        <v>242.69</v>
      </c>
      <c r="F1007" t="s">
        <v>1734</v>
      </c>
      <c r="G1007" s="21">
        <v>-7.7000000000000002E-3</v>
      </c>
    </row>
    <row r="1008" spans="1:7" x14ac:dyDescent="0.35">
      <c r="A1008" s="22">
        <v>38357</v>
      </c>
      <c r="B1008">
        <v>245.24</v>
      </c>
      <c r="C1008">
        <v>245.56</v>
      </c>
      <c r="D1008">
        <v>245.56</v>
      </c>
      <c r="E1008">
        <v>244.03</v>
      </c>
      <c r="F1008" t="s">
        <v>1735</v>
      </c>
      <c r="G1008" s="21">
        <v>-4.1000000000000003E-3</v>
      </c>
    </row>
    <row r="1009" spans="1:7" x14ac:dyDescent="0.35">
      <c r="A1009" s="22" t="s">
        <v>1736</v>
      </c>
      <c r="B1009">
        <v>246.25</v>
      </c>
      <c r="C1009">
        <v>246.37</v>
      </c>
      <c r="D1009">
        <v>247.2</v>
      </c>
      <c r="E1009">
        <v>244.95</v>
      </c>
      <c r="F1009" t="s">
        <v>1737</v>
      </c>
      <c r="G1009" s="21">
        <v>2.5000000000000001E-3</v>
      </c>
    </row>
    <row r="1010" spans="1:7" x14ac:dyDescent="0.35">
      <c r="A1010" s="22" t="s">
        <v>1738</v>
      </c>
      <c r="B1010">
        <v>245.63</v>
      </c>
      <c r="C1010">
        <v>246.75</v>
      </c>
      <c r="D1010">
        <v>247.45</v>
      </c>
      <c r="E1010">
        <v>244.87</v>
      </c>
      <c r="F1010" t="s">
        <v>1739</v>
      </c>
      <c r="G1010" s="21">
        <v>-4.8999999999999998E-3</v>
      </c>
    </row>
    <row r="1011" spans="1:7" x14ac:dyDescent="0.35">
      <c r="A1011" s="22">
        <v>38629</v>
      </c>
      <c r="B1011">
        <v>246.83</v>
      </c>
      <c r="C1011">
        <v>245.81</v>
      </c>
      <c r="D1011">
        <v>248.79</v>
      </c>
      <c r="E1011">
        <v>245.81</v>
      </c>
      <c r="F1011" t="s">
        <v>1740</v>
      </c>
      <c r="G1011" s="21">
        <v>3.8999999999999998E-3</v>
      </c>
    </row>
    <row r="1012" spans="1:7" x14ac:dyDescent="0.35">
      <c r="A1012" s="22">
        <v>38415</v>
      </c>
      <c r="B1012">
        <v>245.88</v>
      </c>
      <c r="C1012">
        <v>247</v>
      </c>
      <c r="D1012">
        <v>247.42</v>
      </c>
      <c r="E1012">
        <v>244.93</v>
      </c>
      <c r="F1012" t="s">
        <v>1741</v>
      </c>
      <c r="G1012" s="21">
        <v>1.2999999999999999E-3</v>
      </c>
    </row>
    <row r="1013" spans="1:7" x14ac:dyDescent="0.35">
      <c r="A1013" s="22" t="s">
        <v>1742</v>
      </c>
      <c r="B1013">
        <v>245.55</v>
      </c>
      <c r="C1013">
        <v>246.54</v>
      </c>
      <c r="D1013">
        <v>247.05</v>
      </c>
      <c r="E1013">
        <v>243.96</v>
      </c>
      <c r="F1013" t="s">
        <v>1743</v>
      </c>
      <c r="G1013" s="21">
        <v>-1.1599999999999999E-2</v>
      </c>
    </row>
    <row r="1014" spans="1:7" x14ac:dyDescent="0.35">
      <c r="A1014" s="22" t="s">
        <v>1744</v>
      </c>
      <c r="B1014">
        <v>248.43</v>
      </c>
      <c r="C1014">
        <v>238.11</v>
      </c>
      <c r="D1014">
        <v>252.64</v>
      </c>
      <c r="E1014">
        <v>238.11</v>
      </c>
      <c r="F1014" t="s">
        <v>1745</v>
      </c>
      <c r="G1014" s="21">
        <v>4.2099999999999999E-2</v>
      </c>
    </row>
    <row r="1015" spans="1:7" x14ac:dyDescent="0.35">
      <c r="A1015" s="22" t="s">
        <v>1746</v>
      </c>
      <c r="B1015">
        <v>238.39</v>
      </c>
      <c r="C1015">
        <v>237.16</v>
      </c>
      <c r="D1015">
        <v>238.47</v>
      </c>
      <c r="E1015">
        <v>236.67</v>
      </c>
      <c r="F1015" t="s">
        <v>1747</v>
      </c>
      <c r="G1015" s="21">
        <v>5.7999999999999996E-3</v>
      </c>
    </row>
    <row r="1016" spans="1:7" x14ac:dyDescent="0.35">
      <c r="A1016" s="22">
        <v>38506</v>
      </c>
      <c r="B1016">
        <v>237.01</v>
      </c>
      <c r="C1016">
        <v>237.92</v>
      </c>
      <c r="D1016">
        <v>238.13</v>
      </c>
      <c r="E1016">
        <v>236.81</v>
      </c>
      <c r="F1016" t="s">
        <v>1748</v>
      </c>
      <c r="G1016" s="21">
        <v>-3.2000000000000002E-3</v>
      </c>
    </row>
    <row r="1017" spans="1:7" x14ac:dyDescent="0.35">
      <c r="A1017" s="22" t="s">
        <v>1749</v>
      </c>
      <c r="B1017">
        <v>237.78</v>
      </c>
      <c r="C1017">
        <v>235.21</v>
      </c>
      <c r="D1017">
        <v>237.92</v>
      </c>
      <c r="E1017">
        <v>235.1</v>
      </c>
      <c r="F1017" t="s">
        <v>1750</v>
      </c>
      <c r="G1017" s="21">
        <v>1.12E-2</v>
      </c>
    </row>
    <row r="1018" spans="1:7" x14ac:dyDescent="0.35">
      <c r="A1018" s="22" t="s">
        <v>1751</v>
      </c>
      <c r="B1018">
        <v>235.14</v>
      </c>
      <c r="C1018">
        <v>233.72</v>
      </c>
      <c r="D1018">
        <v>235.14</v>
      </c>
      <c r="E1018">
        <v>233.03</v>
      </c>
      <c r="F1018" t="s">
        <v>1752</v>
      </c>
      <c r="G1018" s="21">
        <v>6.4999999999999997E-3</v>
      </c>
    </row>
    <row r="1019" spans="1:7" x14ac:dyDescent="0.35">
      <c r="A1019" s="22" t="s">
        <v>1753</v>
      </c>
      <c r="B1019">
        <v>233.62</v>
      </c>
      <c r="C1019">
        <v>235.78</v>
      </c>
      <c r="D1019">
        <v>235.78</v>
      </c>
      <c r="E1019">
        <v>233.62</v>
      </c>
      <c r="F1019" t="s">
        <v>1754</v>
      </c>
      <c r="G1019" s="21">
        <v>-1.0200000000000001E-2</v>
      </c>
    </row>
    <row r="1020" spans="1:7" x14ac:dyDescent="0.35">
      <c r="A1020" s="22" t="s">
        <v>1755</v>
      </c>
      <c r="B1020">
        <v>236.02</v>
      </c>
      <c r="C1020">
        <v>233.21</v>
      </c>
      <c r="D1020">
        <v>236.02</v>
      </c>
      <c r="E1020">
        <v>232.41</v>
      </c>
      <c r="F1020" t="s">
        <v>1756</v>
      </c>
      <c r="G1020" s="21">
        <v>7.9000000000000008E-3</v>
      </c>
    </row>
    <row r="1021" spans="1:7" x14ac:dyDescent="0.35">
      <c r="A1021" s="22" t="s">
        <v>1757</v>
      </c>
      <c r="B1021">
        <v>234.18</v>
      </c>
      <c r="C1021">
        <v>235.98</v>
      </c>
      <c r="D1021">
        <v>235.98</v>
      </c>
      <c r="E1021">
        <v>233.76</v>
      </c>
      <c r="F1021" t="s">
        <v>1758</v>
      </c>
      <c r="G1021" s="21">
        <v>-8.0000000000000002E-3</v>
      </c>
    </row>
    <row r="1022" spans="1:7" x14ac:dyDescent="0.35">
      <c r="A1022" s="22" t="s">
        <v>1759</v>
      </c>
      <c r="B1022">
        <v>236.07</v>
      </c>
      <c r="C1022">
        <v>236.05</v>
      </c>
      <c r="D1022">
        <v>236.32</v>
      </c>
      <c r="E1022">
        <v>234.15</v>
      </c>
      <c r="F1022" t="s">
        <v>1760</v>
      </c>
      <c r="G1022" s="21">
        <v>8.9999999999999998E-4</v>
      </c>
    </row>
    <row r="1023" spans="1:7" x14ac:dyDescent="0.35">
      <c r="A1023" s="22">
        <v>38596</v>
      </c>
      <c r="B1023">
        <v>235.85</v>
      </c>
      <c r="C1023">
        <v>234.57</v>
      </c>
      <c r="D1023">
        <v>235.85</v>
      </c>
      <c r="E1023">
        <v>233.97</v>
      </c>
      <c r="F1023" t="s">
        <v>1761</v>
      </c>
      <c r="G1023" s="21">
        <v>2E-3</v>
      </c>
    </row>
    <row r="1024" spans="1:7" x14ac:dyDescent="0.35">
      <c r="A1024" s="22">
        <v>38384</v>
      </c>
      <c r="B1024">
        <v>235.38</v>
      </c>
      <c r="C1024">
        <v>238.39</v>
      </c>
      <c r="D1024">
        <v>238.39</v>
      </c>
      <c r="E1024">
        <v>235.17</v>
      </c>
      <c r="F1024" t="s">
        <v>1762</v>
      </c>
      <c r="G1024" s="21">
        <v>-1.6299999999999999E-2</v>
      </c>
    </row>
    <row r="1025" spans="1:7" x14ac:dyDescent="0.35">
      <c r="A1025" s="22" t="s">
        <v>1763</v>
      </c>
      <c r="B1025">
        <v>239.29</v>
      </c>
      <c r="C1025">
        <v>240.49</v>
      </c>
      <c r="D1025">
        <v>240.5</v>
      </c>
      <c r="E1025">
        <v>237.03</v>
      </c>
      <c r="F1025" t="s">
        <v>1713</v>
      </c>
      <c r="G1025" s="21">
        <v>-4.0000000000000001E-3</v>
      </c>
    </row>
    <row r="1026" spans="1:7" x14ac:dyDescent="0.35">
      <c r="A1026" s="22" t="s">
        <v>1764</v>
      </c>
      <c r="B1026">
        <v>240.24</v>
      </c>
      <c r="C1026">
        <v>234.12</v>
      </c>
      <c r="D1026">
        <v>240.24</v>
      </c>
      <c r="E1026">
        <v>233.59</v>
      </c>
      <c r="F1026" t="s">
        <v>1765</v>
      </c>
      <c r="G1026" s="21">
        <v>2.7E-2</v>
      </c>
    </row>
    <row r="1027" spans="1:7" x14ac:dyDescent="0.35">
      <c r="A1027" s="22">
        <v>38333</v>
      </c>
      <c r="B1027">
        <v>233.93</v>
      </c>
      <c r="C1027">
        <v>231.02</v>
      </c>
      <c r="D1027">
        <v>233.93</v>
      </c>
      <c r="E1027">
        <v>230.71</v>
      </c>
      <c r="F1027" t="s">
        <v>1766</v>
      </c>
      <c r="G1027" s="21">
        <v>1.66E-2</v>
      </c>
    </row>
    <row r="1028" spans="1:7" x14ac:dyDescent="0.35">
      <c r="A1028" s="22">
        <v>38119</v>
      </c>
      <c r="B1028">
        <v>230.1</v>
      </c>
      <c r="C1028">
        <v>229.59</v>
      </c>
      <c r="D1028">
        <v>230.11</v>
      </c>
      <c r="E1028">
        <v>228.93</v>
      </c>
      <c r="F1028" t="s">
        <v>1767</v>
      </c>
      <c r="G1028" s="21">
        <v>4.5999999999999999E-3</v>
      </c>
    </row>
    <row r="1029" spans="1:7" x14ac:dyDescent="0.35">
      <c r="A1029" s="22" t="s">
        <v>1768</v>
      </c>
      <c r="B1029">
        <v>229.04</v>
      </c>
      <c r="C1029">
        <v>222.12</v>
      </c>
      <c r="D1029">
        <v>233.51</v>
      </c>
      <c r="E1029">
        <v>222.12</v>
      </c>
      <c r="F1029" t="s">
        <v>1769</v>
      </c>
      <c r="G1029" s="21">
        <v>3.32E-2</v>
      </c>
    </row>
    <row r="1030" spans="1:7" x14ac:dyDescent="0.35">
      <c r="A1030" s="22" t="s">
        <v>1770</v>
      </c>
      <c r="B1030">
        <v>221.69</v>
      </c>
      <c r="C1030">
        <v>224.82</v>
      </c>
      <c r="D1030">
        <v>224.82</v>
      </c>
      <c r="E1030">
        <v>221.06</v>
      </c>
      <c r="F1030" t="s">
        <v>1771</v>
      </c>
      <c r="G1030" s="21">
        <v>-1.35E-2</v>
      </c>
    </row>
    <row r="1031" spans="1:7" x14ac:dyDescent="0.35">
      <c r="A1031" s="22" t="s">
        <v>1772</v>
      </c>
      <c r="B1031">
        <v>224.72</v>
      </c>
      <c r="C1031">
        <v>226.89</v>
      </c>
      <c r="D1031">
        <v>226.89</v>
      </c>
      <c r="E1031">
        <v>224.14</v>
      </c>
      <c r="F1031" t="s">
        <v>1773</v>
      </c>
      <c r="G1031" s="21">
        <v>-0.01</v>
      </c>
    </row>
    <row r="1032" spans="1:7" x14ac:dyDescent="0.35">
      <c r="A1032" s="22">
        <v>38179</v>
      </c>
      <c r="B1032">
        <v>226.99</v>
      </c>
      <c r="C1032">
        <v>229.92</v>
      </c>
      <c r="D1032">
        <v>230.11</v>
      </c>
      <c r="E1032">
        <v>226.99</v>
      </c>
      <c r="F1032" t="s">
        <v>1774</v>
      </c>
      <c r="G1032" s="21">
        <v>-1.54E-2</v>
      </c>
    </row>
    <row r="1033" spans="1:7" x14ac:dyDescent="0.35">
      <c r="A1033" s="22" t="s">
        <v>1775</v>
      </c>
      <c r="B1033">
        <v>230.55</v>
      </c>
      <c r="C1033">
        <v>232.57</v>
      </c>
      <c r="D1033">
        <v>232.67</v>
      </c>
      <c r="E1033">
        <v>230.55</v>
      </c>
      <c r="F1033" t="s">
        <v>1776</v>
      </c>
      <c r="G1033" s="21">
        <v>-8.8000000000000005E-3</v>
      </c>
    </row>
    <row r="1034" spans="1:7" x14ac:dyDescent="0.35">
      <c r="A1034" s="22" t="s">
        <v>1777</v>
      </c>
      <c r="B1034">
        <v>232.59</v>
      </c>
      <c r="C1034">
        <v>233.2</v>
      </c>
      <c r="D1034">
        <v>234.57</v>
      </c>
      <c r="E1034">
        <v>231.8</v>
      </c>
      <c r="F1034" t="s">
        <v>1778</v>
      </c>
      <c r="G1034" s="21">
        <v>-1.1000000000000001E-3</v>
      </c>
    </row>
    <row r="1035" spans="1:7" x14ac:dyDescent="0.35">
      <c r="A1035" s="22" t="s">
        <v>1779</v>
      </c>
      <c r="B1035">
        <v>232.85</v>
      </c>
      <c r="C1035">
        <v>233.76</v>
      </c>
      <c r="D1035">
        <v>236.05</v>
      </c>
      <c r="E1035">
        <v>232.85</v>
      </c>
      <c r="F1035" t="s">
        <v>1780</v>
      </c>
      <c r="G1035" s="21">
        <v>3.0000000000000001E-3</v>
      </c>
    </row>
    <row r="1036" spans="1:7" x14ac:dyDescent="0.35">
      <c r="A1036" s="22">
        <v>38270</v>
      </c>
      <c r="B1036">
        <v>232.16</v>
      </c>
      <c r="C1036">
        <v>231.12</v>
      </c>
      <c r="D1036">
        <v>232.16</v>
      </c>
      <c r="E1036">
        <v>230.28</v>
      </c>
      <c r="F1036" t="s">
        <v>1781</v>
      </c>
      <c r="G1036" s="21">
        <v>-1.6000000000000001E-3</v>
      </c>
    </row>
    <row r="1037" spans="1:7" x14ac:dyDescent="0.35">
      <c r="A1037" s="22">
        <v>38056</v>
      </c>
      <c r="B1037">
        <v>232.54</v>
      </c>
      <c r="C1037">
        <v>232.52</v>
      </c>
      <c r="D1037">
        <v>233.35</v>
      </c>
      <c r="E1037">
        <v>232.44</v>
      </c>
      <c r="F1037" t="s">
        <v>1774</v>
      </c>
      <c r="G1037" s="21">
        <v>-1E-4</v>
      </c>
    </row>
    <row r="1038" spans="1:7" x14ac:dyDescent="0.35">
      <c r="A1038" s="22" t="s">
        <v>1782</v>
      </c>
      <c r="B1038">
        <v>232.57</v>
      </c>
      <c r="C1038">
        <v>231.06</v>
      </c>
      <c r="D1038">
        <v>233.32</v>
      </c>
      <c r="E1038">
        <v>230.86</v>
      </c>
      <c r="F1038" t="s">
        <v>1783</v>
      </c>
      <c r="G1038" s="21">
        <v>8.6E-3</v>
      </c>
    </row>
    <row r="1039" spans="1:7" x14ac:dyDescent="0.35">
      <c r="A1039" s="22" t="s">
        <v>1784</v>
      </c>
      <c r="B1039">
        <v>230.58</v>
      </c>
      <c r="C1039">
        <v>231.02</v>
      </c>
      <c r="D1039">
        <v>231.12</v>
      </c>
      <c r="E1039">
        <v>229.89</v>
      </c>
      <c r="F1039" t="s">
        <v>1785</v>
      </c>
      <c r="G1039" s="21">
        <v>-2.8999999999999998E-3</v>
      </c>
    </row>
    <row r="1040" spans="1:7" x14ac:dyDescent="0.35">
      <c r="A1040" s="22">
        <v>38330</v>
      </c>
      <c r="B1040">
        <v>231.25</v>
      </c>
      <c r="C1040">
        <v>231.68</v>
      </c>
      <c r="D1040">
        <v>232.03</v>
      </c>
      <c r="E1040">
        <v>231</v>
      </c>
      <c r="F1040" t="s">
        <v>1786</v>
      </c>
      <c r="G1040" s="21">
        <v>5.0000000000000001E-4</v>
      </c>
    </row>
    <row r="1041" spans="1:7" x14ac:dyDescent="0.35">
      <c r="A1041" s="22">
        <v>38116</v>
      </c>
      <c r="B1041">
        <v>231.13</v>
      </c>
      <c r="C1041">
        <v>231.32</v>
      </c>
      <c r="D1041">
        <v>231.32</v>
      </c>
      <c r="E1041">
        <v>229.89</v>
      </c>
      <c r="F1041" t="s">
        <v>1787</v>
      </c>
      <c r="G1041" s="21">
        <v>-1.6000000000000001E-3</v>
      </c>
    </row>
    <row r="1042" spans="1:7" x14ac:dyDescent="0.35">
      <c r="A1042" s="22" t="s">
        <v>1788</v>
      </c>
      <c r="B1042">
        <v>231.51</v>
      </c>
      <c r="C1042">
        <v>233.46</v>
      </c>
      <c r="D1042">
        <v>233.46</v>
      </c>
      <c r="E1042">
        <v>231.51</v>
      </c>
      <c r="F1042" t="s">
        <v>1789</v>
      </c>
      <c r="G1042" s="21">
        <v>-1.03E-2</v>
      </c>
    </row>
    <row r="1043" spans="1:7" x14ac:dyDescent="0.35">
      <c r="A1043" s="22" t="s">
        <v>1790</v>
      </c>
      <c r="B1043">
        <v>233.91</v>
      </c>
      <c r="C1043">
        <v>232.86</v>
      </c>
      <c r="D1043">
        <v>238.46</v>
      </c>
      <c r="E1043">
        <v>231.17</v>
      </c>
      <c r="F1043" t="s">
        <v>1791</v>
      </c>
      <c r="G1043" s="21">
        <v>2.07E-2</v>
      </c>
    </row>
    <row r="1044" spans="1:7" x14ac:dyDescent="0.35">
      <c r="A1044" s="22" t="s">
        <v>1792</v>
      </c>
      <c r="B1044">
        <v>229.16</v>
      </c>
      <c r="C1044">
        <v>221.13</v>
      </c>
      <c r="D1044">
        <v>229.16</v>
      </c>
      <c r="E1044">
        <v>220.23</v>
      </c>
      <c r="F1044" t="s">
        <v>1793</v>
      </c>
      <c r="G1044" s="21">
        <v>2.6700000000000002E-2</v>
      </c>
    </row>
    <row r="1045" spans="1:7" x14ac:dyDescent="0.35">
      <c r="A1045" s="22">
        <v>38207</v>
      </c>
      <c r="B1045">
        <v>223.2</v>
      </c>
      <c r="C1045">
        <v>215.59</v>
      </c>
      <c r="D1045">
        <v>228.17</v>
      </c>
      <c r="E1045">
        <v>209.41</v>
      </c>
      <c r="F1045" t="s">
        <v>1794</v>
      </c>
      <c r="G1045" s="21">
        <v>-4.1999999999999997E-3</v>
      </c>
    </row>
    <row r="1046" spans="1:7" x14ac:dyDescent="0.35">
      <c r="A1046" s="22">
        <v>37994</v>
      </c>
      <c r="B1046">
        <v>224.14</v>
      </c>
      <c r="C1046">
        <v>238.41</v>
      </c>
      <c r="D1046">
        <v>238.41</v>
      </c>
      <c r="E1046">
        <v>224.14</v>
      </c>
      <c r="F1046" t="s">
        <v>1795</v>
      </c>
      <c r="G1046" s="21">
        <v>-0.06</v>
      </c>
    </row>
    <row r="1047" spans="1:7" x14ac:dyDescent="0.35">
      <c r="A1047" s="22" t="s">
        <v>1796</v>
      </c>
      <c r="B1047">
        <v>238.44</v>
      </c>
      <c r="C1047">
        <v>242.87</v>
      </c>
      <c r="D1047">
        <v>242.87</v>
      </c>
      <c r="E1047">
        <v>235.3</v>
      </c>
      <c r="F1047" t="s">
        <v>1797</v>
      </c>
      <c r="G1047" s="21">
        <v>-2.1000000000000001E-2</v>
      </c>
    </row>
    <row r="1048" spans="1:7" x14ac:dyDescent="0.35">
      <c r="A1048" s="22" t="s">
        <v>1798</v>
      </c>
      <c r="B1048">
        <v>243.55</v>
      </c>
      <c r="C1048">
        <v>244.17</v>
      </c>
      <c r="D1048">
        <v>244.24</v>
      </c>
      <c r="E1048">
        <v>242.26</v>
      </c>
      <c r="F1048" t="s">
        <v>1799</v>
      </c>
      <c r="G1048" s="21">
        <v>-8.2000000000000007E-3</v>
      </c>
    </row>
    <row r="1049" spans="1:7" x14ac:dyDescent="0.35">
      <c r="A1049" s="22">
        <v>38298</v>
      </c>
      <c r="B1049">
        <v>245.57</v>
      </c>
      <c r="C1049">
        <v>245.8</v>
      </c>
      <c r="D1049">
        <v>246.11</v>
      </c>
      <c r="E1049">
        <v>242.24</v>
      </c>
      <c r="F1049" t="s">
        <v>1800</v>
      </c>
      <c r="G1049" s="21">
        <v>-3.0000000000000001E-3</v>
      </c>
    </row>
    <row r="1050" spans="1:7" x14ac:dyDescent="0.35">
      <c r="A1050" s="22">
        <v>38084</v>
      </c>
      <c r="B1050">
        <v>246.32</v>
      </c>
      <c r="C1050">
        <v>247.93</v>
      </c>
      <c r="D1050">
        <v>247.93</v>
      </c>
      <c r="E1050">
        <v>246.32</v>
      </c>
      <c r="F1050" t="s">
        <v>1801</v>
      </c>
      <c r="G1050" s="21">
        <v>-7.3000000000000001E-3</v>
      </c>
    </row>
    <row r="1051" spans="1:7" x14ac:dyDescent="0.35">
      <c r="A1051" s="22" t="s">
        <v>1802</v>
      </c>
      <c r="B1051">
        <v>248.13</v>
      </c>
      <c r="C1051">
        <v>249.37</v>
      </c>
      <c r="D1051">
        <v>249.7</v>
      </c>
      <c r="E1051">
        <v>248.04</v>
      </c>
      <c r="F1051" t="s">
        <v>1803</v>
      </c>
      <c r="G1051" s="21">
        <v>-6.7999999999999996E-3</v>
      </c>
    </row>
    <row r="1052" spans="1:7" x14ac:dyDescent="0.35">
      <c r="A1052" s="22" t="s">
        <v>1804</v>
      </c>
      <c r="B1052">
        <v>249.82</v>
      </c>
      <c r="C1052">
        <v>249.32</v>
      </c>
      <c r="D1052">
        <v>250</v>
      </c>
      <c r="E1052">
        <v>248.9</v>
      </c>
      <c r="F1052" t="s">
        <v>1805</v>
      </c>
      <c r="G1052" s="21">
        <v>2.0999999999999999E-3</v>
      </c>
    </row>
    <row r="1053" spans="1:7" x14ac:dyDescent="0.35">
      <c r="A1053" s="22" t="s">
        <v>1806</v>
      </c>
      <c r="B1053">
        <v>249.29</v>
      </c>
      <c r="C1053">
        <v>251.9</v>
      </c>
      <c r="D1053">
        <v>256.11</v>
      </c>
      <c r="E1053">
        <v>249.28</v>
      </c>
      <c r="F1053" t="s">
        <v>1807</v>
      </c>
      <c r="G1053" s="21">
        <v>3.3999999999999998E-3</v>
      </c>
    </row>
    <row r="1054" spans="1:7" x14ac:dyDescent="0.35">
      <c r="A1054" s="22">
        <v>38144</v>
      </c>
      <c r="B1054">
        <v>248.44</v>
      </c>
      <c r="C1054">
        <v>248.95</v>
      </c>
      <c r="D1054">
        <v>248.95</v>
      </c>
      <c r="E1054">
        <v>244.76</v>
      </c>
      <c r="F1054" t="s">
        <v>1808</v>
      </c>
      <c r="G1054" s="21">
        <v>-2.2000000000000001E-3</v>
      </c>
    </row>
    <row r="1055" spans="1:7" x14ac:dyDescent="0.35">
      <c r="A1055" s="22" t="s">
        <v>1809</v>
      </c>
      <c r="B1055">
        <v>248.99</v>
      </c>
      <c r="C1055">
        <v>252.23</v>
      </c>
      <c r="D1055">
        <v>252.69</v>
      </c>
      <c r="E1055">
        <v>248.99</v>
      </c>
      <c r="F1055" t="s">
        <v>1810</v>
      </c>
      <c r="G1055" s="21">
        <v>-9.7999999999999997E-3</v>
      </c>
    </row>
    <row r="1056" spans="1:7" x14ac:dyDescent="0.35">
      <c r="A1056" s="22" t="s">
        <v>1811</v>
      </c>
      <c r="B1056">
        <v>251.46</v>
      </c>
      <c r="C1056">
        <v>262.33</v>
      </c>
      <c r="D1056">
        <v>262.33</v>
      </c>
      <c r="E1056">
        <v>251.16</v>
      </c>
      <c r="F1056" t="s">
        <v>1812</v>
      </c>
      <c r="G1056" s="21">
        <v>-3.6999999999999998E-2</v>
      </c>
    </row>
    <row r="1057" spans="1:7" x14ac:dyDescent="0.35">
      <c r="A1057" s="22" t="s">
        <v>1813</v>
      </c>
      <c r="B1057">
        <v>261.13</v>
      </c>
      <c r="C1057">
        <v>260.87</v>
      </c>
      <c r="D1057">
        <v>262.20999999999998</v>
      </c>
      <c r="E1057">
        <v>260.23</v>
      </c>
      <c r="F1057" t="s">
        <v>1814</v>
      </c>
      <c r="G1057" s="21">
        <v>-1.4E-3</v>
      </c>
    </row>
    <row r="1058" spans="1:7" x14ac:dyDescent="0.35">
      <c r="A1058" s="22">
        <v>38235</v>
      </c>
      <c r="B1058">
        <v>261.49</v>
      </c>
      <c r="C1058">
        <v>260.27999999999997</v>
      </c>
      <c r="D1058">
        <v>264.94</v>
      </c>
      <c r="E1058">
        <v>256.16000000000003</v>
      </c>
      <c r="F1058" t="s">
        <v>1815</v>
      </c>
      <c r="G1058" s="21">
        <v>6.9999999999999999E-4</v>
      </c>
    </row>
    <row r="1059" spans="1:7" x14ac:dyDescent="0.35">
      <c r="A1059" s="22">
        <v>38022</v>
      </c>
      <c r="B1059">
        <v>261.32</v>
      </c>
      <c r="C1059">
        <v>265.02999999999997</v>
      </c>
      <c r="D1059">
        <v>265.60000000000002</v>
      </c>
      <c r="E1059">
        <v>261.02999999999997</v>
      </c>
      <c r="F1059" t="s">
        <v>1816</v>
      </c>
      <c r="G1059" s="21">
        <v>-1.18E-2</v>
      </c>
    </row>
    <row r="1060" spans="1:7" x14ac:dyDescent="0.35">
      <c r="A1060" s="22" t="s">
        <v>1817</v>
      </c>
      <c r="B1060">
        <v>264.43</v>
      </c>
      <c r="C1060">
        <v>259.75</v>
      </c>
      <c r="D1060">
        <v>264.43</v>
      </c>
      <c r="E1060">
        <v>259.75</v>
      </c>
      <c r="F1060" t="s">
        <v>1818</v>
      </c>
      <c r="G1060" s="21">
        <v>1.7999999999999999E-2</v>
      </c>
    </row>
    <row r="1061" spans="1:7" x14ac:dyDescent="0.35">
      <c r="A1061" s="22" t="s">
        <v>1819</v>
      </c>
      <c r="B1061">
        <v>259.76</v>
      </c>
      <c r="C1061">
        <v>258.62</v>
      </c>
      <c r="D1061">
        <v>259.76</v>
      </c>
      <c r="E1061">
        <v>252.78</v>
      </c>
      <c r="F1061" t="s">
        <v>1820</v>
      </c>
      <c r="G1061" s="21">
        <v>1.2999999999999999E-3</v>
      </c>
    </row>
    <row r="1062" spans="1:7" x14ac:dyDescent="0.35">
      <c r="A1062" s="22">
        <v>38295</v>
      </c>
      <c r="B1062">
        <v>259.43</v>
      </c>
      <c r="C1062">
        <v>258.52</v>
      </c>
      <c r="D1062">
        <v>259.67</v>
      </c>
      <c r="E1062">
        <v>250.45</v>
      </c>
      <c r="F1062" t="s">
        <v>1821</v>
      </c>
      <c r="G1062" s="21">
        <v>-8.0000000000000004E-4</v>
      </c>
    </row>
    <row r="1063" spans="1:7" x14ac:dyDescent="0.35">
      <c r="A1063" s="22">
        <v>38081</v>
      </c>
      <c r="B1063">
        <v>259.64999999999998</v>
      </c>
      <c r="C1063">
        <v>270.63</v>
      </c>
      <c r="D1063">
        <v>272.02999999999997</v>
      </c>
      <c r="E1063">
        <v>259.64999999999998</v>
      </c>
      <c r="F1063" t="s">
        <v>1822</v>
      </c>
      <c r="G1063" s="21">
        <v>-4.8500000000000001E-2</v>
      </c>
    </row>
    <row r="1064" spans="1:7" x14ac:dyDescent="0.35">
      <c r="A1064" s="22" t="s">
        <v>1823</v>
      </c>
      <c r="B1064">
        <v>272.89</v>
      </c>
      <c r="C1064">
        <v>278.25</v>
      </c>
      <c r="D1064">
        <v>280.52999999999997</v>
      </c>
      <c r="E1064">
        <v>272.89</v>
      </c>
      <c r="F1064" t="s">
        <v>1824</v>
      </c>
      <c r="G1064" s="21">
        <v>2.2000000000000001E-3</v>
      </c>
    </row>
    <row r="1065" spans="1:7" x14ac:dyDescent="0.35">
      <c r="A1065" s="22" t="s">
        <v>1825</v>
      </c>
      <c r="B1065">
        <v>272.3</v>
      </c>
      <c r="C1065">
        <v>263.31</v>
      </c>
      <c r="D1065">
        <v>272.3</v>
      </c>
      <c r="E1065">
        <v>255.8</v>
      </c>
      <c r="F1065" t="s">
        <v>1826</v>
      </c>
      <c r="G1065" s="21">
        <v>3.9699999999999999E-2</v>
      </c>
    </row>
    <row r="1066" spans="1:7" x14ac:dyDescent="0.35">
      <c r="A1066" s="22" t="s">
        <v>1827</v>
      </c>
      <c r="B1066">
        <v>261.91000000000003</v>
      </c>
      <c r="C1066">
        <v>262.42</v>
      </c>
      <c r="D1066">
        <v>264.51</v>
      </c>
      <c r="E1066">
        <v>258.79000000000002</v>
      </c>
      <c r="F1066" t="s">
        <v>1828</v>
      </c>
      <c r="G1066" s="21">
        <v>-3.7000000000000002E-3</v>
      </c>
    </row>
    <row r="1067" spans="1:7" x14ac:dyDescent="0.35">
      <c r="A1067" s="22">
        <v>38171</v>
      </c>
      <c r="B1067">
        <v>262.88</v>
      </c>
      <c r="C1067">
        <v>266.20999999999998</v>
      </c>
      <c r="D1067">
        <v>266.20999999999998</v>
      </c>
      <c r="E1067">
        <v>247.79</v>
      </c>
      <c r="F1067" t="s">
        <v>1829</v>
      </c>
      <c r="G1067" s="21">
        <v>-1.7399999999999999E-2</v>
      </c>
    </row>
    <row r="1068" spans="1:7" x14ac:dyDescent="0.35">
      <c r="A1068" s="22" t="s">
        <v>1830</v>
      </c>
      <c r="B1068">
        <v>267.52999999999997</v>
      </c>
      <c r="C1068">
        <v>271.44</v>
      </c>
      <c r="D1068">
        <v>275.83999999999997</v>
      </c>
      <c r="E1068">
        <v>264.18</v>
      </c>
      <c r="F1068" t="s">
        <v>1831</v>
      </c>
      <c r="G1068" s="21">
        <v>2.6599999999999999E-2</v>
      </c>
    </row>
    <row r="1069" spans="1:7" x14ac:dyDescent="0.35">
      <c r="A1069" s="22" t="s">
        <v>1832</v>
      </c>
      <c r="B1069">
        <v>260.60000000000002</v>
      </c>
      <c r="C1069">
        <v>244.35</v>
      </c>
      <c r="D1069">
        <v>262.04000000000002</v>
      </c>
      <c r="E1069">
        <v>244.35</v>
      </c>
      <c r="F1069" t="s">
        <v>1833</v>
      </c>
      <c r="G1069" s="21">
        <v>0.1075</v>
      </c>
    </row>
    <row r="1070" spans="1:7" x14ac:dyDescent="0.35">
      <c r="A1070" s="22" t="s">
        <v>1834</v>
      </c>
      <c r="B1070">
        <v>235.3</v>
      </c>
      <c r="C1070">
        <v>219.54</v>
      </c>
      <c r="D1070">
        <v>235.3</v>
      </c>
      <c r="E1070">
        <v>214.2</v>
      </c>
      <c r="F1070" t="s">
        <v>1835</v>
      </c>
      <c r="G1070" s="21">
        <v>8.3799999999999999E-2</v>
      </c>
    </row>
    <row r="1071" spans="1:7" x14ac:dyDescent="0.35">
      <c r="A1071" s="22">
        <v>38201</v>
      </c>
      <c r="B1071">
        <v>217.1</v>
      </c>
      <c r="C1071">
        <v>212.7</v>
      </c>
      <c r="D1071">
        <v>217.1</v>
      </c>
      <c r="E1071">
        <v>212.49</v>
      </c>
      <c r="F1071" t="s">
        <v>1836</v>
      </c>
      <c r="G1071" s="21">
        <v>1.72E-2</v>
      </c>
    </row>
    <row r="1072" spans="1:7" x14ac:dyDescent="0.35">
      <c r="A1072" s="22">
        <v>37988</v>
      </c>
      <c r="B1072">
        <v>213.42</v>
      </c>
      <c r="C1072">
        <v>213.26</v>
      </c>
      <c r="D1072">
        <v>217.85</v>
      </c>
      <c r="E1072">
        <v>199.56</v>
      </c>
      <c r="F1072" t="s">
        <v>1837</v>
      </c>
      <c r="G1072" s="21">
        <v>-4.1999999999999997E-3</v>
      </c>
    </row>
    <row r="1073" spans="1:7" x14ac:dyDescent="0.35">
      <c r="A1073" s="22" t="s">
        <v>1838</v>
      </c>
      <c r="B1073">
        <v>214.32</v>
      </c>
      <c r="C1073">
        <v>190.88</v>
      </c>
      <c r="D1073">
        <v>217.7</v>
      </c>
      <c r="E1073">
        <v>190.88</v>
      </c>
      <c r="F1073" t="s">
        <v>1839</v>
      </c>
      <c r="G1073" s="21">
        <v>0.17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6846-51F3-41F9-A58A-975B9BED82E7}">
  <dimension ref="A1:F888"/>
  <sheetViews>
    <sheetView workbookViewId="0">
      <selection sqref="A1:A1048576"/>
    </sheetView>
  </sheetViews>
  <sheetFormatPr defaultRowHeight="14.5" x14ac:dyDescent="0.35"/>
  <cols>
    <col min="1" max="1" width="10.453125" style="22" bestFit="1" customWidth="1"/>
  </cols>
  <sheetData>
    <row r="1" spans="1:6" x14ac:dyDescent="0.35">
      <c r="A1" s="22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211</v>
      </c>
    </row>
    <row r="2" spans="1:6" x14ac:dyDescent="0.35">
      <c r="A2" s="22" t="s">
        <v>212</v>
      </c>
      <c r="B2">
        <v>1.95</v>
      </c>
      <c r="C2">
        <v>1.95</v>
      </c>
      <c r="D2">
        <v>2</v>
      </c>
      <c r="E2">
        <v>1.95</v>
      </c>
      <c r="F2" s="21">
        <v>-2.5499999999999998E-2</v>
      </c>
    </row>
    <row r="3" spans="1:6" x14ac:dyDescent="0.35">
      <c r="A3" s="22" t="s">
        <v>213</v>
      </c>
      <c r="B3">
        <v>2.0009999999999999</v>
      </c>
      <c r="C3">
        <v>2.0009999999999999</v>
      </c>
      <c r="D3">
        <v>2.0009999999999999</v>
      </c>
      <c r="E3">
        <v>2</v>
      </c>
      <c r="F3" s="21">
        <v>0</v>
      </c>
    </row>
    <row r="4" spans="1:6" x14ac:dyDescent="0.35">
      <c r="A4" s="22">
        <v>45453</v>
      </c>
      <c r="B4">
        <v>2.0009999999999999</v>
      </c>
      <c r="C4">
        <v>2.0009999999999999</v>
      </c>
      <c r="D4">
        <v>2.0009999999999999</v>
      </c>
      <c r="E4">
        <v>2.0009999999999999</v>
      </c>
      <c r="F4" s="21">
        <v>0</v>
      </c>
    </row>
    <row r="5" spans="1:6" x14ac:dyDescent="0.35">
      <c r="A5" s="22" t="s">
        <v>216</v>
      </c>
      <c r="B5">
        <v>2.0009999999999999</v>
      </c>
      <c r="C5">
        <v>2.004</v>
      </c>
      <c r="D5">
        <v>2.0059999999999998</v>
      </c>
      <c r="E5">
        <v>2.0009999999999999</v>
      </c>
      <c r="F5" s="21">
        <v>-1.5E-3</v>
      </c>
    </row>
    <row r="6" spans="1:6" x14ac:dyDescent="0.35">
      <c r="A6" s="22" t="s">
        <v>218</v>
      </c>
      <c r="B6">
        <v>2.004</v>
      </c>
      <c r="C6">
        <v>2.0129999999999999</v>
      </c>
      <c r="D6">
        <v>2.0129999999999999</v>
      </c>
      <c r="E6">
        <v>2.004</v>
      </c>
      <c r="F6" s="21">
        <v>-4.4999999999999997E-3</v>
      </c>
    </row>
    <row r="7" spans="1:6" x14ac:dyDescent="0.35">
      <c r="A7" s="22" t="s">
        <v>220</v>
      </c>
      <c r="B7">
        <v>2.0129999999999999</v>
      </c>
      <c r="C7">
        <v>2.0219999999999998</v>
      </c>
      <c r="D7">
        <v>2.0219999999999998</v>
      </c>
      <c r="E7">
        <v>2.0129999999999999</v>
      </c>
      <c r="F7" s="21">
        <v>-4.4999999999999997E-3</v>
      </c>
    </row>
    <row r="8" spans="1:6" x14ac:dyDescent="0.35">
      <c r="A8" s="22">
        <v>45513</v>
      </c>
      <c r="B8">
        <v>2.0219999999999998</v>
      </c>
      <c r="C8">
        <v>2.0219999999999998</v>
      </c>
      <c r="D8">
        <v>2.0230000000000001</v>
      </c>
      <c r="E8">
        <v>2.0219999999999998</v>
      </c>
      <c r="F8" s="21">
        <v>-5.0000000000000001E-4</v>
      </c>
    </row>
    <row r="9" spans="1:6" x14ac:dyDescent="0.35">
      <c r="A9" s="22">
        <v>45300</v>
      </c>
      <c r="B9">
        <v>2.0230000000000001</v>
      </c>
      <c r="C9">
        <v>2.0230000000000001</v>
      </c>
      <c r="D9">
        <v>2.0230000000000001</v>
      </c>
      <c r="E9">
        <v>2.0230000000000001</v>
      </c>
      <c r="F9" s="21">
        <v>0</v>
      </c>
    </row>
    <row r="10" spans="1:6" x14ac:dyDescent="0.35">
      <c r="A10" s="22" t="s">
        <v>224</v>
      </c>
      <c r="B10">
        <v>2.0230000000000001</v>
      </c>
      <c r="C10">
        <v>2.0230000000000001</v>
      </c>
      <c r="D10">
        <v>2.024</v>
      </c>
      <c r="E10">
        <v>2.0230000000000001</v>
      </c>
      <c r="F10" s="21">
        <v>0</v>
      </c>
    </row>
    <row r="11" spans="1:6" x14ac:dyDescent="0.35">
      <c r="A11" s="22" t="s">
        <v>226</v>
      </c>
      <c r="B11">
        <v>2.0230000000000001</v>
      </c>
      <c r="C11">
        <v>2.036</v>
      </c>
      <c r="D11">
        <v>2.036</v>
      </c>
      <c r="E11">
        <v>2.0230000000000001</v>
      </c>
      <c r="F11" s="21">
        <v>-6.4000000000000003E-3</v>
      </c>
    </row>
    <row r="12" spans="1:6" x14ac:dyDescent="0.35">
      <c r="A12" s="22">
        <v>45604</v>
      </c>
      <c r="B12">
        <v>2.036</v>
      </c>
      <c r="C12">
        <v>2.036</v>
      </c>
      <c r="D12">
        <v>2.036</v>
      </c>
      <c r="E12">
        <v>2.036</v>
      </c>
      <c r="F12" s="21">
        <v>0</v>
      </c>
    </row>
    <row r="13" spans="1:6" x14ac:dyDescent="0.35">
      <c r="A13" s="22">
        <v>45390</v>
      </c>
      <c r="B13">
        <v>2.036</v>
      </c>
      <c r="C13">
        <v>2.0369999999999999</v>
      </c>
      <c r="D13">
        <v>2.0369999999999999</v>
      </c>
      <c r="E13">
        <v>2.036</v>
      </c>
      <c r="F13" s="21">
        <v>0</v>
      </c>
    </row>
    <row r="14" spans="1:6" x14ac:dyDescent="0.35">
      <c r="A14" s="22" t="s">
        <v>230</v>
      </c>
      <c r="B14">
        <v>2.036</v>
      </c>
      <c r="C14">
        <v>2.0329999999999999</v>
      </c>
      <c r="D14">
        <v>2.0369999999999999</v>
      </c>
      <c r="E14">
        <v>2.0329999999999999</v>
      </c>
      <c r="F14" s="21">
        <v>1.5E-3</v>
      </c>
    </row>
    <row r="15" spans="1:6" x14ac:dyDescent="0.35">
      <c r="A15" s="22" t="s">
        <v>232</v>
      </c>
      <c r="B15">
        <v>2.0329999999999999</v>
      </c>
      <c r="C15">
        <v>2.0249999999999999</v>
      </c>
      <c r="D15">
        <v>2.0329999999999999</v>
      </c>
      <c r="E15">
        <v>2.0249999999999999</v>
      </c>
      <c r="F15" s="21">
        <v>4.0000000000000001E-3</v>
      </c>
    </row>
    <row r="16" spans="1:6" x14ac:dyDescent="0.35">
      <c r="A16" s="22" t="s">
        <v>234</v>
      </c>
      <c r="B16">
        <v>2.0249999999999999</v>
      </c>
      <c r="C16">
        <v>2.0249999999999999</v>
      </c>
      <c r="D16">
        <v>2.0249999999999999</v>
      </c>
      <c r="E16">
        <v>2.0249999999999999</v>
      </c>
      <c r="F16" s="21">
        <v>0</v>
      </c>
    </row>
    <row r="17" spans="1:6" x14ac:dyDescent="0.35">
      <c r="A17" s="22">
        <v>45480</v>
      </c>
      <c r="B17">
        <v>2.0249999999999999</v>
      </c>
      <c r="C17">
        <v>2.0259999999999998</v>
      </c>
      <c r="D17">
        <v>2.0259999999999998</v>
      </c>
      <c r="E17">
        <v>2.0249999999999999</v>
      </c>
      <c r="F17" s="21">
        <v>-5.0000000000000001E-4</v>
      </c>
    </row>
    <row r="18" spans="1:6" x14ac:dyDescent="0.35">
      <c r="A18" s="22" t="s">
        <v>237</v>
      </c>
      <c r="B18">
        <v>2.0259999999999998</v>
      </c>
      <c r="C18">
        <v>2.0259999999999998</v>
      </c>
      <c r="D18">
        <v>2.0259999999999998</v>
      </c>
      <c r="E18">
        <v>2.0259999999999998</v>
      </c>
      <c r="F18" s="21">
        <v>-5.0000000000000001E-4</v>
      </c>
    </row>
    <row r="19" spans="1:6" x14ac:dyDescent="0.35">
      <c r="A19" s="22" t="s">
        <v>239</v>
      </c>
      <c r="B19">
        <v>2.0270000000000001</v>
      </c>
      <c r="C19">
        <v>2.0190000000000001</v>
      </c>
      <c r="D19">
        <v>2.0270000000000001</v>
      </c>
      <c r="E19">
        <v>2.0190000000000001</v>
      </c>
      <c r="F19" s="21">
        <v>4.0000000000000001E-3</v>
      </c>
    </row>
    <row r="20" spans="1:6" x14ac:dyDescent="0.35">
      <c r="A20" s="22" t="s">
        <v>241</v>
      </c>
      <c r="B20">
        <v>2.0190000000000001</v>
      </c>
      <c r="C20">
        <v>2.0190000000000001</v>
      </c>
      <c r="D20">
        <v>2.02</v>
      </c>
      <c r="E20">
        <v>2.0190000000000001</v>
      </c>
      <c r="F20" s="21">
        <v>0</v>
      </c>
    </row>
    <row r="21" spans="1:6" x14ac:dyDescent="0.35">
      <c r="A21" s="22">
        <v>45541</v>
      </c>
      <c r="B21">
        <v>2.0190000000000001</v>
      </c>
      <c r="C21">
        <v>2.024</v>
      </c>
      <c r="D21">
        <v>2.024</v>
      </c>
      <c r="E21">
        <v>2.0190000000000001</v>
      </c>
      <c r="F21" s="21">
        <v>-2.5000000000000001E-3</v>
      </c>
    </row>
    <row r="22" spans="1:6" x14ac:dyDescent="0.35">
      <c r="A22" s="22">
        <v>45328</v>
      </c>
      <c r="B22">
        <v>2.024</v>
      </c>
      <c r="C22">
        <v>2.032</v>
      </c>
      <c r="D22">
        <v>2.032</v>
      </c>
      <c r="E22">
        <v>2.024</v>
      </c>
      <c r="F22" s="21">
        <v>-3.8999999999999998E-3</v>
      </c>
    </row>
    <row r="23" spans="1:6" x14ac:dyDescent="0.35">
      <c r="A23" s="22" t="s">
        <v>245</v>
      </c>
      <c r="B23">
        <v>2.032</v>
      </c>
      <c r="C23">
        <v>2.0329999999999999</v>
      </c>
      <c r="D23">
        <v>2.0329999999999999</v>
      </c>
      <c r="E23">
        <v>2.032</v>
      </c>
      <c r="F23" s="21">
        <v>-5.0000000000000001E-4</v>
      </c>
    </row>
    <row r="24" spans="1:6" x14ac:dyDescent="0.35">
      <c r="A24" s="22" t="s">
        <v>247</v>
      </c>
      <c r="B24">
        <v>2.0329999999999999</v>
      </c>
      <c r="C24">
        <v>1.9830000000000001</v>
      </c>
      <c r="D24">
        <v>2.0329999999999999</v>
      </c>
      <c r="E24">
        <v>1.9830000000000001</v>
      </c>
      <c r="F24" s="21">
        <v>2.52E-2</v>
      </c>
    </row>
    <row r="25" spans="1:6" x14ac:dyDescent="0.35">
      <c r="A25" s="22">
        <v>45631</v>
      </c>
      <c r="B25">
        <v>1.9830000000000001</v>
      </c>
      <c r="C25">
        <v>1.9970000000000001</v>
      </c>
      <c r="D25">
        <v>1.9970000000000001</v>
      </c>
      <c r="E25">
        <v>1.9830000000000001</v>
      </c>
      <c r="F25" s="21">
        <v>-7.4999999999999997E-3</v>
      </c>
    </row>
    <row r="26" spans="1:6" x14ac:dyDescent="0.35">
      <c r="A26" s="22">
        <v>45417</v>
      </c>
      <c r="B26">
        <v>1.998</v>
      </c>
      <c r="C26">
        <v>2.0139999999999998</v>
      </c>
      <c r="D26">
        <v>2.0139999999999998</v>
      </c>
      <c r="E26">
        <v>1.998</v>
      </c>
      <c r="F26" s="21">
        <v>-1.24E-2</v>
      </c>
    </row>
    <row r="27" spans="1:6" x14ac:dyDescent="0.35">
      <c r="A27" s="22" t="s">
        <v>251</v>
      </c>
      <c r="B27">
        <v>2.0230000000000001</v>
      </c>
      <c r="C27">
        <v>2.0230000000000001</v>
      </c>
      <c r="D27">
        <v>2.0230000000000001</v>
      </c>
      <c r="E27">
        <v>2.0230000000000001</v>
      </c>
      <c r="F27" s="21">
        <v>3.0000000000000001E-3</v>
      </c>
    </row>
    <row r="28" spans="1:6" x14ac:dyDescent="0.35">
      <c r="A28" s="22" t="s">
        <v>253</v>
      </c>
      <c r="B28">
        <v>2.0169999999999999</v>
      </c>
      <c r="C28">
        <v>2</v>
      </c>
      <c r="D28">
        <v>2.0169999999999999</v>
      </c>
      <c r="E28">
        <v>2</v>
      </c>
      <c r="F28" s="21">
        <v>8.5000000000000006E-3</v>
      </c>
    </row>
    <row r="29" spans="1:6" x14ac:dyDescent="0.35">
      <c r="A29" s="22" t="s">
        <v>255</v>
      </c>
      <c r="B29">
        <v>2</v>
      </c>
      <c r="C29">
        <v>1.954</v>
      </c>
      <c r="D29">
        <v>2</v>
      </c>
      <c r="E29">
        <v>1.954</v>
      </c>
      <c r="F29" s="21">
        <v>2.5100000000000001E-2</v>
      </c>
    </row>
    <row r="30" spans="1:6" x14ac:dyDescent="0.35">
      <c r="A30" s="22">
        <v>45477</v>
      </c>
      <c r="B30">
        <v>1.9510000000000001</v>
      </c>
      <c r="C30">
        <v>1.976</v>
      </c>
      <c r="D30">
        <v>1.98</v>
      </c>
      <c r="E30">
        <v>1.9390000000000001</v>
      </c>
      <c r="F30" s="21">
        <v>8.8000000000000005E-3</v>
      </c>
    </row>
    <row r="31" spans="1:6" x14ac:dyDescent="0.35">
      <c r="A31" s="22" t="s">
        <v>258</v>
      </c>
      <c r="B31">
        <v>1.9339999999999999</v>
      </c>
      <c r="C31">
        <v>1.772</v>
      </c>
      <c r="D31">
        <v>1.9350000000000001</v>
      </c>
      <c r="E31">
        <v>1.772</v>
      </c>
      <c r="F31" s="21">
        <v>0.10199999999999999</v>
      </c>
    </row>
    <row r="32" spans="1:6" x14ac:dyDescent="0.35">
      <c r="A32" s="22" t="s">
        <v>260</v>
      </c>
      <c r="B32">
        <v>1.7549999999999999</v>
      </c>
      <c r="C32">
        <v>1.611</v>
      </c>
      <c r="D32">
        <v>1.7549999999999999</v>
      </c>
      <c r="E32">
        <v>1.611</v>
      </c>
      <c r="F32" s="21">
        <v>0.12790000000000001</v>
      </c>
    </row>
    <row r="33" spans="1:6" x14ac:dyDescent="0.35">
      <c r="A33" s="22" t="s">
        <v>262</v>
      </c>
      <c r="B33">
        <v>1.556</v>
      </c>
      <c r="C33">
        <v>1.524</v>
      </c>
      <c r="D33">
        <v>1.5669999999999999</v>
      </c>
      <c r="E33">
        <v>1.524</v>
      </c>
      <c r="F33" s="21">
        <v>2.64E-2</v>
      </c>
    </row>
    <row r="34" spans="1:6" x14ac:dyDescent="0.35">
      <c r="A34" s="22">
        <v>45568</v>
      </c>
      <c r="B34">
        <v>1.516</v>
      </c>
      <c r="C34">
        <v>1.466</v>
      </c>
      <c r="D34">
        <v>1.516</v>
      </c>
      <c r="E34">
        <v>1.466</v>
      </c>
      <c r="F34" s="21">
        <v>4.0500000000000001E-2</v>
      </c>
    </row>
    <row r="35" spans="1:6" x14ac:dyDescent="0.35">
      <c r="A35" s="22">
        <v>45354</v>
      </c>
      <c r="B35">
        <v>1.4570000000000001</v>
      </c>
      <c r="C35">
        <v>1.393</v>
      </c>
      <c r="D35">
        <v>1.4570000000000001</v>
      </c>
      <c r="E35">
        <v>1.383</v>
      </c>
      <c r="F35" s="21">
        <v>4.6699999999999998E-2</v>
      </c>
    </row>
    <row r="36" spans="1:6" x14ac:dyDescent="0.35">
      <c r="A36" s="22" t="s">
        <v>266</v>
      </c>
      <c r="B36">
        <v>1.3919999999999999</v>
      </c>
      <c r="C36">
        <v>1.3879999999999999</v>
      </c>
      <c r="D36">
        <v>1.3919999999999999</v>
      </c>
      <c r="E36">
        <v>1.35</v>
      </c>
      <c r="F36" s="21">
        <v>2.2000000000000001E-3</v>
      </c>
    </row>
    <row r="37" spans="1:6" x14ac:dyDescent="0.35">
      <c r="A37" s="22" t="s">
        <v>268</v>
      </c>
      <c r="B37">
        <v>1.389</v>
      </c>
      <c r="C37">
        <v>1.343</v>
      </c>
      <c r="D37">
        <v>1.389</v>
      </c>
      <c r="E37">
        <v>1.343</v>
      </c>
      <c r="F37" s="21">
        <v>3.4299999999999997E-2</v>
      </c>
    </row>
    <row r="38" spans="1:6" x14ac:dyDescent="0.35">
      <c r="A38" s="22">
        <v>45598</v>
      </c>
      <c r="B38">
        <v>1.343</v>
      </c>
      <c r="C38">
        <v>1.377</v>
      </c>
      <c r="D38">
        <v>1.377</v>
      </c>
      <c r="E38">
        <v>1.3220000000000001</v>
      </c>
      <c r="F38" s="21">
        <v>-2.5399999999999999E-2</v>
      </c>
    </row>
    <row r="39" spans="1:6" x14ac:dyDescent="0.35">
      <c r="A39" s="22">
        <v>45384</v>
      </c>
      <c r="B39">
        <v>1.3779999999999999</v>
      </c>
      <c r="C39">
        <v>1.379</v>
      </c>
      <c r="D39">
        <v>1.379</v>
      </c>
      <c r="E39">
        <v>1.3779999999999999</v>
      </c>
      <c r="F39" s="21">
        <v>0</v>
      </c>
    </row>
    <row r="40" spans="1:6" x14ac:dyDescent="0.35">
      <c r="A40" s="22" t="s">
        <v>272</v>
      </c>
      <c r="B40">
        <v>1.3779999999999999</v>
      </c>
      <c r="C40">
        <v>1.375</v>
      </c>
      <c r="D40">
        <v>1.379</v>
      </c>
      <c r="E40">
        <v>1.375</v>
      </c>
      <c r="F40" s="21">
        <v>2.2000000000000001E-3</v>
      </c>
    </row>
    <row r="41" spans="1:6" x14ac:dyDescent="0.35">
      <c r="A41" s="22" t="s">
        <v>273</v>
      </c>
      <c r="B41">
        <v>1.375</v>
      </c>
      <c r="C41">
        <v>1.3959999999999999</v>
      </c>
      <c r="D41">
        <v>1.397</v>
      </c>
      <c r="E41">
        <v>1.375</v>
      </c>
      <c r="F41" s="21">
        <v>-1.5699999999999999E-2</v>
      </c>
    </row>
    <row r="42" spans="1:6" x14ac:dyDescent="0.35">
      <c r="A42" s="22" t="s">
        <v>275</v>
      </c>
      <c r="B42">
        <v>1.397</v>
      </c>
      <c r="C42">
        <v>1.7010000000000001</v>
      </c>
      <c r="D42">
        <v>1.7010000000000001</v>
      </c>
      <c r="E42">
        <v>1.397</v>
      </c>
      <c r="F42" s="21">
        <v>-0.1787</v>
      </c>
    </row>
    <row r="43" spans="1:6" x14ac:dyDescent="0.35">
      <c r="A43" s="22">
        <v>45474</v>
      </c>
      <c r="B43">
        <v>1.7010000000000001</v>
      </c>
      <c r="C43">
        <v>1.776</v>
      </c>
      <c r="D43">
        <v>1.776</v>
      </c>
      <c r="E43">
        <v>1.7010000000000001</v>
      </c>
      <c r="F43" s="21">
        <v>-4.2200000000000001E-2</v>
      </c>
    </row>
    <row r="44" spans="1:6" x14ac:dyDescent="0.35">
      <c r="A44" s="22" t="s">
        <v>278</v>
      </c>
      <c r="B44">
        <v>1.776</v>
      </c>
      <c r="C44">
        <v>1.7869999999999999</v>
      </c>
      <c r="D44">
        <v>1.7869999999999999</v>
      </c>
      <c r="E44">
        <v>1.7649999999999999</v>
      </c>
      <c r="F44" s="21">
        <v>-5.5999999999999999E-3</v>
      </c>
    </row>
    <row r="45" spans="1:6" x14ac:dyDescent="0.35">
      <c r="A45" s="22" t="s">
        <v>280</v>
      </c>
      <c r="B45">
        <v>1.786</v>
      </c>
      <c r="C45">
        <v>1.792</v>
      </c>
      <c r="D45">
        <v>1.792</v>
      </c>
      <c r="E45">
        <v>1.786</v>
      </c>
      <c r="F45" s="21">
        <v>-3.3E-3</v>
      </c>
    </row>
    <row r="46" spans="1:6" x14ac:dyDescent="0.35">
      <c r="A46" s="22" t="s">
        <v>282</v>
      </c>
      <c r="B46">
        <v>1.792</v>
      </c>
      <c r="C46">
        <v>1.8120000000000001</v>
      </c>
      <c r="D46">
        <v>1.8120000000000001</v>
      </c>
      <c r="E46">
        <v>1.792</v>
      </c>
      <c r="F46" s="21">
        <v>-1.0999999999999999E-2</v>
      </c>
    </row>
    <row r="47" spans="1:6" x14ac:dyDescent="0.35">
      <c r="A47" s="22">
        <v>45211</v>
      </c>
      <c r="B47">
        <v>1.8120000000000001</v>
      </c>
      <c r="C47">
        <v>1.86</v>
      </c>
      <c r="D47">
        <v>1.86</v>
      </c>
      <c r="E47">
        <v>1.776</v>
      </c>
      <c r="F47" s="21">
        <v>-2.53E-2</v>
      </c>
    </row>
    <row r="48" spans="1:6" x14ac:dyDescent="0.35">
      <c r="A48" s="22">
        <v>44997</v>
      </c>
      <c r="B48">
        <v>1.859</v>
      </c>
      <c r="C48">
        <v>1.873</v>
      </c>
      <c r="D48">
        <v>1.8740000000000001</v>
      </c>
      <c r="E48">
        <v>1.859</v>
      </c>
      <c r="F48" s="21">
        <v>-7.4999999999999997E-3</v>
      </c>
    </row>
    <row r="49" spans="1:6" x14ac:dyDescent="0.35">
      <c r="A49" s="22" t="s">
        <v>286</v>
      </c>
      <c r="B49">
        <v>1.873</v>
      </c>
      <c r="C49">
        <v>1.891</v>
      </c>
      <c r="D49">
        <v>1.891</v>
      </c>
      <c r="E49">
        <v>1.873</v>
      </c>
      <c r="F49" s="21">
        <v>-1.1599999999999999E-2</v>
      </c>
    </row>
    <row r="50" spans="1:6" x14ac:dyDescent="0.35">
      <c r="A50" s="22" t="s">
        <v>288</v>
      </c>
      <c r="B50">
        <v>1.895</v>
      </c>
      <c r="C50">
        <v>1.9359999999999999</v>
      </c>
      <c r="D50">
        <v>1.9359999999999999</v>
      </c>
      <c r="E50">
        <v>1.895</v>
      </c>
      <c r="F50" s="21">
        <v>-2.7699999999999999E-2</v>
      </c>
    </row>
    <row r="51" spans="1:6" x14ac:dyDescent="0.35">
      <c r="A51" s="22">
        <v>45271</v>
      </c>
      <c r="B51">
        <v>1.9490000000000001</v>
      </c>
      <c r="C51">
        <v>1.964</v>
      </c>
      <c r="D51">
        <v>1.964</v>
      </c>
      <c r="E51">
        <v>1.9490000000000001</v>
      </c>
      <c r="F51" s="21">
        <v>-1.66E-2</v>
      </c>
    </row>
    <row r="52" spans="1:6" x14ac:dyDescent="0.35">
      <c r="A52" s="22">
        <v>45057</v>
      </c>
      <c r="B52">
        <v>1.982</v>
      </c>
      <c r="C52">
        <v>2.0169999999999999</v>
      </c>
      <c r="D52">
        <v>2.0169999999999999</v>
      </c>
      <c r="E52">
        <v>1.982</v>
      </c>
      <c r="F52" s="21">
        <v>-2.0299999999999999E-2</v>
      </c>
    </row>
    <row r="53" spans="1:6" x14ac:dyDescent="0.35">
      <c r="A53" s="22" t="s">
        <v>290</v>
      </c>
      <c r="B53">
        <v>2.0230000000000001</v>
      </c>
      <c r="C53">
        <v>2.0230000000000001</v>
      </c>
      <c r="D53">
        <v>2.0230000000000001</v>
      </c>
      <c r="E53">
        <v>2.0230000000000001</v>
      </c>
      <c r="F53" s="21">
        <v>-2E-3</v>
      </c>
    </row>
    <row r="54" spans="1:6" x14ac:dyDescent="0.35">
      <c r="A54" s="22" t="s">
        <v>291</v>
      </c>
      <c r="B54">
        <v>2.0270000000000001</v>
      </c>
      <c r="C54">
        <v>2.0409999999999999</v>
      </c>
      <c r="D54">
        <v>2.0409999999999999</v>
      </c>
      <c r="E54">
        <v>2.0270000000000001</v>
      </c>
      <c r="F54" s="21">
        <v>-4.4000000000000003E-3</v>
      </c>
    </row>
    <row r="55" spans="1:6" x14ac:dyDescent="0.35">
      <c r="A55" s="22" t="s">
        <v>293</v>
      </c>
      <c r="B55">
        <v>2.036</v>
      </c>
      <c r="C55">
        <v>1.9910000000000001</v>
      </c>
      <c r="D55">
        <v>2.036</v>
      </c>
      <c r="E55">
        <v>1.9910000000000001</v>
      </c>
      <c r="F55" s="21">
        <v>2.06E-2</v>
      </c>
    </row>
    <row r="56" spans="1:6" x14ac:dyDescent="0.35">
      <c r="A56" s="22">
        <v>45148</v>
      </c>
      <c r="B56">
        <v>1.9950000000000001</v>
      </c>
      <c r="C56">
        <v>1.992</v>
      </c>
      <c r="D56">
        <v>1.996</v>
      </c>
      <c r="E56">
        <v>1.986</v>
      </c>
      <c r="F56" s="21">
        <v>4.4999999999999997E-3</v>
      </c>
    </row>
    <row r="57" spans="1:6" x14ac:dyDescent="0.35">
      <c r="A57" s="22">
        <v>44936</v>
      </c>
      <c r="B57">
        <v>1.986</v>
      </c>
      <c r="C57">
        <v>1.92</v>
      </c>
      <c r="D57">
        <v>1.986</v>
      </c>
      <c r="E57">
        <v>1.92</v>
      </c>
      <c r="F57" s="21">
        <v>3.6499999999999998E-2</v>
      </c>
    </row>
    <row r="58" spans="1:6" x14ac:dyDescent="0.35">
      <c r="A58" s="22" t="s">
        <v>296</v>
      </c>
      <c r="B58">
        <v>1.9159999999999999</v>
      </c>
      <c r="C58">
        <v>1.9079999999999999</v>
      </c>
      <c r="D58">
        <v>1.9159999999999999</v>
      </c>
      <c r="E58">
        <v>1.9079999999999999</v>
      </c>
      <c r="F58" s="21">
        <v>4.1999999999999997E-3</v>
      </c>
    </row>
    <row r="59" spans="1:6" x14ac:dyDescent="0.35">
      <c r="A59" s="22" t="s">
        <v>298</v>
      </c>
      <c r="B59">
        <v>1.9079999999999999</v>
      </c>
      <c r="C59">
        <v>1.909</v>
      </c>
      <c r="D59">
        <v>1.909</v>
      </c>
      <c r="E59">
        <v>1.9079999999999999</v>
      </c>
      <c r="F59" s="21">
        <v>-5.0000000000000001E-4</v>
      </c>
    </row>
    <row r="60" spans="1:6" x14ac:dyDescent="0.35">
      <c r="A60" s="22">
        <v>45208</v>
      </c>
      <c r="B60">
        <v>1.909</v>
      </c>
      <c r="C60">
        <v>1.9219999999999999</v>
      </c>
      <c r="D60">
        <v>1.9219999999999999</v>
      </c>
      <c r="E60">
        <v>1.909</v>
      </c>
      <c r="F60" s="21">
        <v>-7.7999999999999996E-3</v>
      </c>
    </row>
    <row r="61" spans="1:6" x14ac:dyDescent="0.35">
      <c r="A61" s="22">
        <v>44994</v>
      </c>
      <c r="B61">
        <v>1.9239999999999999</v>
      </c>
      <c r="C61">
        <v>1.9239999999999999</v>
      </c>
      <c r="D61">
        <v>1.9330000000000001</v>
      </c>
      <c r="E61">
        <v>1.9239999999999999</v>
      </c>
      <c r="F61" s="21">
        <v>3.7000000000000002E-3</v>
      </c>
    </row>
    <row r="62" spans="1:6" x14ac:dyDescent="0.35">
      <c r="A62" s="22" t="s">
        <v>302</v>
      </c>
      <c r="B62">
        <v>1.917</v>
      </c>
      <c r="C62">
        <v>1.917</v>
      </c>
      <c r="D62">
        <v>1.917</v>
      </c>
      <c r="E62">
        <v>1.917</v>
      </c>
      <c r="F62" s="21">
        <v>0</v>
      </c>
    </row>
    <row r="63" spans="1:6" x14ac:dyDescent="0.35">
      <c r="A63" s="22" t="s">
        <v>304</v>
      </c>
      <c r="B63">
        <v>1.917</v>
      </c>
      <c r="C63">
        <v>1.923</v>
      </c>
      <c r="D63">
        <v>1.9259999999999999</v>
      </c>
      <c r="E63">
        <v>1.917</v>
      </c>
      <c r="F63" s="21">
        <v>-3.0999999999999999E-3</v>
      </c>
    </row>
    <row r="64" spans="1:6" x14ac:dyDescent="0.35">
      <c r="A64" s="22" t="s">
        <v>306</v>
      </c>
      <c r="B64">
        <v>1.923</v>
      </c>
      <c r="C64">
        <v>1.9179999999999999</v>
      </c>
      <c r="D64">
        <v>1.9319999999999999</v>
      </c>
      <c r="E64">
        <v>1.9179999999999999</v>
      </c>
      <c r="F64" s="21">
        <v>5.1999999999999998E-3</v>
      </c>
    </row>
    <row r="65" spans="1:6" x14ac:dyDescent="0.35">
      <c r="A65" s="22">
        <v>45085</v>
      </c>
      <c r="B65">
        <v>1.913</v>
      </c>
      <c r="C65">
        <v>1.905</v>
      </c>
      <c r="D65">
        <v>1.923</v>
      </c>
      <c r="E65">
        <v>1.905</v>
      </c>
      <c r="F65" s="21">
        <v>2.0999999999999999E-3</v>
      </c>
    </row>
    <row r="66" spans="1:6" x14ac:dyDescent="0.35">
      <c r="A66" s="22" t="s">
        <v>309</v>
      </c>
      <c r="B66">
        <v>1.909</v>
      </c>
      <c r="C66">
        <v>1.923</v>
      </c>
      <c r="D66">
        <v>1.923</v>
      </c>
      <c r="E66">
        <v>1.909</v>
      </c>
      <c r="F66" s="21">
        <v>-7.3000000000000001E-3</v>
      </c>
    </row>
    <row r="67" spans="1:6" x14ac:dyDescent="0.35">
      <c r="A67" s="22" t="s">
        <v>311</v>
      </c>
      <c r="B67">
        <v>1.923</v>
      </c>
      <c r="C67">
        <v>1.95</v>
      </c>
      <c r="D67">
        <v>1.95</v>
      </c>
      <c r="E67">
        <v>1.923</v>
      </c>
      <c r="F67" s="21">
        <v>-1.38E-2</v>
      </c>
    </row>
    <row r="68" spans="1:6" x14ac:dyDescent="0.35">
      <c r="A68" s="22" t="s">
        <v>313</v>
      </c>
      <c r="B68">
        <v>1.95</v>
      </c>
      <c r="C68">
        <v>2.032</v>
      </c>
      <c r="D68">
        <v>2.032</v>
      </c>
      <c r="E68">
        <v>1.95</v>
      </c>
      <c r="F68" s="21">
        <v>-4.0399999999999998E-2</v>
      </c>
    </row>
    <row r="69" spans="1:6" x14ac:dyDescent="0.35">
      <c r="A69" s="22">
        <v>45176</v>
      </c>
      <c r="B69">
        <v>2.032</v>
      </c>
      <c r="C69">
        <v>2.339</v>
      </c>
      <c r="D69">
        <v>2.3439999999999999</v>
      </c>
      <c r="E69">
        <v>2.032</v>
      </c>
      <c r="F69" s="21">
        <v>-0.1313</v>
      </c>
    </row>
    <row r="70" spans="1:6" x14ac:dyDescent="0.35">
      <c r="A70" s="22">
        <v>44964</v>
      </c>
      <c r="B70">
        <v>2.339</v>
      </c>
      <c r="C70">
        <v>2.3359999999999999</v>
      </c>
      <c r="D70">
        <v>2.339</v>
      </c>
      <c r="E70">
        <v>2.327</v>
      </c>
      <c r="F70" s="21">
        <v>1.2999999999999999E-3</v>
      </c>
    </row>
    <row r="71" spans="1:6" x14ac:dyDescent="0.35">
      <c r="A71" s="22" t="s">
        <v>317</v>
      </c>
      <c r="B71">
        <v>2.3359999999999999</v>
      </c>
      <c r="C71">
        <v>2.327</v>
      </c>
      <c r="D71">
        <v>2.3359999999999999</v>
      </c>
      <c r="E71">
        <v>2.327</v>
      </c>
      <c r="F71" s="21">
        <v>3.8999999999999998E-3</v>
      </c>
    </row>
    <row r="72" spans="1:6" x14ac:dyDescent="0.35">
      <c r="A72" s="22" t="s">
        <v>319</v>
      </c>
      <c r="B72">
        <v>2.327</v>
      </c>
      <c r="C72">
        <v>2.4180000000000001</v>
      </c>
      <c r="D72">
        <v>2.4180000000000001</v>
      </c>
      <c r="E72">
        <v>2.327</v>
      </c>
      <c r="F72" s="21">
        <v>-3.7600000000000001E-2</v>
      </c>
    </row>
    <row r="73" spans="1:6" x14ac:dyDescent="0.35">
      <c r="A73" s="22">
        <v>45236</v>
      </c>
      <c r="B73">
        <v>2.4180000000000001</v>
      </c>
      <c r="C73">
        <v>2.6139999999999999</v>
      </c>
      <c r="D73">
        <v>2.6139999999999999</v>
      </c>
      <c r="E73">
        <v>2.4180000000000001</v>
      </c>
      <c r="F73" s="21">
        <v>-7.6399999999999996E-2</v>
      </c>
    </row>
    <row r="74" spans="1:6" x14ac:dyDescent="0.35">
      <c r="A74" s="22">
        <v>45022</v>
      </c>
      <c r="B74">
        <v>2.6179999999999999</v>
      </c>
      <c r="C74">
        <v>2.673</v>
      </c>
      <c r="D74">
        <v>2.673</v>
      </c>
      <c r="E74">
        <v>2.6179999999999999</v>
      </c>
      <c r="F74" s="21">
        <v>-2.1999999999999999E-2</v>
      </c>
    </row>
    <row r="75" spans="1:6" x14ac:dyDescent="0.35">
      <c r="A75" s="22" t="s">
        <v>323</v>
      </c>
      <c r="B75">
        <v>2.677</v>
      </c>
      <c r="C75">
        <v>2.718</v>
      </c>
      <c r="D75">
        <v>2.718</v>
      </c>
      <c r="E75">
        <v>2.677</v>
      </c>
      <c r="F75" s="21">
        <v>-5.1999999999999998E-3</v>
      </c>
    </row>
    <row r="76" spans="1:6" x14ac:dyDescent="0.35">
      <c r="A76" s="22" t="s">
        <v>325</v>
      </c>
      <c r="B76">
        <v>2.6909999999999998</v>
      </c>
      <c r="C76">
        <v>2.6589999999999998</v>
      </c>
      <c r="D76">
        <v>2.6909999999999998</v>
      </c>
      <c r="E76">
        <v>2.6589999999999998</v>
      </c>
      <c r="F76" s="21">
        <v>8.6E-3</v>
      </c>
    </row>
    <row r="77" spans="1:6" x14ac:dyDescent="0.35">
      <c r="A77" s="22" t="s">
        <v>327</v>
      </c>
      <c r="B77">
        <v>2.6680000000000001</v>
      </c>
      <c r="C77">
        <v>2.6779999999999999</v>
      </c>
      <c r="D77">
        <v>2.6779999999999999</v>
      </c>
      <c r="E77">
        <v>2.6320000000000001</v>
      </c>
      <c r="F77" s="21">
        <v>-3.7000000000000002E-3</v>
      </c>
    </row>
    <row r="78" spans="1:6" x14ac:dyDescent="0.35">
      <c r="A78" s="22">
        <v>45112</v>
      </c>
      <c r="B78">
        <v>2.6779999999999999</v>
      </c>
      <c r="C78">
        <v>2.7149999999999999</v>
      </c>
      <c r="D78">
        <v>2.7149999999999999</v>
      </c>
      <c r="E78">
        <v>2.6779999999999999</v>
      </c>
      <c r="F78" s="21">
        <v>-2.8299999999999999E-2</v>
      </c>
    </row>
    <row r="79" spans="1:6" x14ac:dyDescent="0.35">
      <c r="A79" s="22" t="s">
        <v>330</v>
      </c>
      <c r="B79">
        <v>2.7559999999999998</v>
      </c>
      <c r="C79">
        <v>2.851</v>
      </c>
      <c r="D79">
        <v>2.851</v>
      </c>
      <c r="E79">
        <v>2.7559999999999998</v>
      </c>
      <c r="F79" s="21">
        <v>-3.3700000000000001E-2</v>
      </c>
    </row>
    <row r="80" spans="1:6" x14ac:dyDescent="0.35">
      <c r="A80" s="22" t="s">
        <v>332</v>
      </c>
      <c r="B80">
        <v>2.8519999999999999</v>
      </c>
      <c r="C80">
        <v>2.968</v>
      </c>
      <c r="D80">
        <v>2.968</v>
      </c>
      <c r="E80">
        <v>2.7410000000000001</v>
      </c>
      <c r="F80" s="21">
        <v>-3.7499999999999999E-2</v>
      </c>
    </row>
    <row r="81" spans="1:6" x14ac:dyDescent="0.35">
      <c r="A81" s="22" t="s">
        <v>334</v>
      </c>
      <c r="B81">
        <v>2.9630000000000001</v>
      </c>
      <c r="C81">
        <v>2.976</v>
      </c>
      <c r="D81">
        <v>2.9860000000000002</v>
      </c>
      <c r="E81">
        <v>2.9449999999999998</v>
      </c>
      <c r="F81" s="21">
        <v>-1.2999999999999999E-3</v>
      </c>
    </row>
    <row r="82" spans="1:6" x14ac:dyDescent="0.35">
      <c r="A82" s="22">
        <v>45173</v>
      </c>
      <c r="B82">
        <v>2.9670000000000001</v>
      </c>
      <c r="C82">
        <v>3.0019999999999998</v>
      </c>
      <c r="D82">
        <v>3.0019999999999998</v>
      </c>
      <c r="E82">
        <v>2.9670000000000001</v>
      </c>
      <c r="F82" s="21">
        <v>-2.1399999999999999E-2</v>
      </c>
    </row>
    <row r="83" spans="1:6" x14ac:dyDescent="0.35">
      <c r="A83" s="22">
        <v>44961</v>
      </c>
      <c r="B83">
        <v>3.032</v>
      </c>
      <c r="C83">
        <v>3.0489999999999999</v>
      </c>
      <c r="D83">
        <v>3.0619999999999998</v>
      </c>
      <c r="E83">
        <v>2.988</v>
      </c>
      <c r="F83" s="21">
        <v>-4.2900000000000001E-2</v>
      </c>
    </row>
    <row r="84" spans="1:6" x14ac:dyDescent="0.35">
      <c r="A84" s="22" t="s">
        <v>338</v>
      </c>
      <c r="B84">
        <v>3.1680000000000001</v>
      </c>
      <c r="C84">
        <v>3.5670000000000002</v>
      </c>
      <c r="D84">
        <v>3.5670000000000002</v>
      </c>
      <c r="E84">
        <v>3.1680000000000001</v>
      </c>
      <c r="F84" s="21">
        <v>-0.1263</v>
      </c>
    </row>
    <row r="85" spans="1:6" x14ac:dyDescent="0.35">
      <c r="A85" s="22" t="s">
        <v>340</v>
      </c>
      <c r="B85">
        <v>3.6259999999999999</v>
      </c>
      <c r="C85">
        <v>3.8540000000000001</v>
      </c>
      <c r="D85">
        <v>3.8540000000000001</v>
      </c>
      <c r="E85">
        <v>3.6259999999999999</v>
      </c>
      <c r="F85" s="21">
        <v>-5.9200000000000003E-2</v>
      </c>
    </row>
    <row r="86" spans="1:6" x14ac:dyDescent="0.35">
      <c r="A86" s="22">
        <v>45263</v>
      </c>
      <c r="B86">
        <v>3.8540000000000001</v>
      </c>
      <c r="C86">
        <v>4.0309999999999997</v>
      </c>
      <c r="D86">
        <v>4.0309999999999997</v>
      </c>
      <c r="E86">
        <v>3.8540000000000001</v>
      </c>
      <c r="F86" s="21">
        <v>-5.0299999999999997E-2</v>
      </c>
    </row>
    <row r="87" spans="1:6" x14ac:dyDescent="0.35">
      <c r="A87" s="22">
        <v>45049</v>
      </c>
      <c r="B87">
        <v>4.0579999999999998</v>
      </c>
      <c r="C87">
        <v>4.0599999999999996</v>
      </c>
      <c r="D87">
        <v>4.0650000000000004</v>
      </c>
      <c r="E87">
        <v>4.0579999999999998</v>
      </c>
      <c r="F87" s="21">
        <v>-5.0000000000000001E-4</v>
      </c>
    </row>
    <row r="88" spans="1:6" x14ac:dyDescent="0.35">
      <c r="A88" s="22" t="s">
        <v>344</v>
      </c>
      <c r="B88">
        <v>4.0599999999999996</v>
      </c>
      <c r="C88">
        <v>4.0609999999999999</v>
      </c>
      <c r="D88">
        <v>4.0609999999999999</v>
      </c>
      <c r="E88">
        <v>4.056</v>
      </c>
      <c r="F88" s="21">
        <v>6.9999999999999999E-4</v>
      </c>
    </row>
    <row r="89" spans="1:6" x14ac:dyDescent="0.35">
      <c r="A89" s="22" t="s">
        <v>346</v>
      </c>
      <c r="B89">
        <v>4.0570000000000004</v>
      </c>
      <c r="C89">
        <v>4.0090000000000003</v>
      </c>
      <c r="D89">
        <v>4.0570000000000004</v>
      </c>
      <c r="E89">
        <v>4.0090000000000003</v>
      </c>
      <c r="F89" s="21">
        <v>1.6299999999999999E-2</v>
      </c>
    </row>
    <row r="90" spans="1:6" x14ac:dyDescent="0.35">
      <c r="A90" s="22">
        <v>45262</v>
      </c>
      <c r="B90">
        <v>3.992</v>
      </c>
      <c r="C90">
        <v>3.9860000000000002</v>
      </c>
      <c r="D90">
        <v>3.992</v>
      </c>
      <c r="E90">
        <v>3.9740000000000002</v>
      </c>
      <c r="F90" s="21">
        <v>2.3E-3</v>
      </c>
    </row>
    <row r="91" spans="1:6" x14ac:dyDescent="0.35">
      <c r="A91" s="22">
        <v>45048</v>
      </c>
      <c r="B91">
        <v>3.9830000000000001</v>
      </c>
      <c r="C91">
        <v>4.0030000000000001</v>
      </c>
      <c r="D91">
        <v>4.0060000000000002</v>
      </c>
      <c r="E91">
        <v>3.9830000000000001</v>
      </c>
      <c r="F91" s="21">
        <v>-5.0000000000000001E-3</v>
      </c>
    </row>
    <row r="92" spans="1:6" x14ac:dyDescent="0.35">
      <c r="A92" s="22" t="s">
        <v>349</v>
      </c>
      <c r="B92">
        <v>4.0030000000000001</v>
      </c>
      <c r="C92">
        <v>4.5999999999999996</v>
      </c>
      <c r="D92">
        <v>4.5999999999999996</v>
      </c>
      <c r="E92">
        <v>4.0030000000000001</v>
      </c>
      <c r="F92" s="21">
        <v>-0.1298</v>
      </c>
    </row>
    <row r="93" spans="1:6" x14ac:dyDescent="0.35">
      <c r="A93" s="22" t="s">
        <v>351</v>
      </c>
      <c r="B93">
        <v>4.5999999999999996</v>
      </c>
      <c r="C93">
        <v>4.6360000000000001</v>
      </c>
      <c r="D93">
        <v>4.6360000000000001</v>
      </c>
      <c r="E93">
        <v>4.5999999999999996</v>
      </c>
      <c r="F93" s="21">
        <v>-7.7999999999999996E-3</v>
      </c>
    </row>
    <row r="94" spans="1:6" x14ac:dyDescent="0.35">
      <c r="A94" s="22" t="s">
        <v>353</v>
      </c>
      <c r="B94">
        <v>4.6360000000000001</v>
      </c>
      <c r="C94">
        <v>4.7050000000000001</v>
      </c>
      <c r="D94">
        <v>4.7050000000000001</v>
      </c>
      <c r="E94">
        <v>4.6360000000000001</v>
      </c>
      <c r="F94" s="21">
        <v>-1.47E-2</v>
      </c>
    </row>
    <row r="95" spans="1:6" x14ac:dyDescent="0.35">
      <c r="A95" s="22">
        <v>45139</v>
      </c>
      <c r="B95">
        <v>4.7050000000000001</v>
      </c>
      <c r="C95">
        <v>4.8499999999999996</v>
      </c>
      <c r="D95">
        <v>4.8499999999999996</v>
      </c>
      <c r="E95">
        <v>4.7050000000000001</v>
      </c>
      <c r="F95" s="21">
        <v>-3.3700000000000001E-2</v>
      </c>
    </row>
    <row r="96" spans="1:6" x14ac:dyDescent="0.35">
      <c r="A96" s="22">
        <v>44927</v>
      </c>
      <c r="B96">
        <v>4.8689999999999998</v>
      </c>
      <c r="C96">
        <v>4.8940000000000001</v>
      </c>
      <c r="D96">
        <v>4.8940000000000001</v>
      </c>
      <c r="E96">
        <v>4.8689999999999998</v>
      </c>
      <c r="F96" s="21">
        <v>-4.8999999999999998E-3</v>
      </c>
    </row>
    <row r="97" spans="1:6" x14ac:dyDescent="0.35">
      <c r="A97" s="22" t="s">
        <v>357</v>
      </c>
      <c r="B97">
        <v>4.8929999999999998</v>
      </c>
      <c r="C97">
        <v>4.9359999999999999</v>
      </c>
      <c r="D97">
        <v>4.9370000000000003</v>
      </c>
      <c r="E97">
        <v>4.8929999999999998</v>
      </c>
      <c r="F97" s="21">
        <v>-6.7000000000000002E-3</v>
      </c>
    </row>
    <row r="98" spans="1:6" x14ac:dyDescent="0.35">
      <c r="A98" s="22" t="s">
        <v>359</v>
      </c>
      <c r="B98">
        <v>4.9260000000000002</v>
      </c>
      <c r="C98">
        <v>4.9640000000000004</v>
      </c>
      <c r="D98">
        <v>4.9640000000000004</v>
      </c>
      <c r="E98">
        <v>4.9260000000000002</v>
      </c>
      <c r="F98" s="21">
        <v>-8.6999999999999994E-3</v>
      </c>
    </row>
    <row r="99" spans="1:6" x14ac:dyDescent="0.35">
      <c r="A99" s="22">
        <v>44877</v>
      </c>
      <c r="B99">
        <v>4.9690000000000003</v>
      </c>
      <c r="C99">
        <v>4.9740000000000002</v>
      </c>
      <c r="D99">
        <v>4.9740000000000002</v>
      </c>
      <c r="E99">
        <v>4.968</v>
      </c>
      <c r="F99" s="21">
        <v>-1E-3</v>
      </c>
    </row>
    <row r="100" spans="1:6" x14ac:dyDescent="0.35">
      <c r="A100" s="22">
        <v>44663</v>
      </c>
      <c r="B100">
        <v>4.9740000000000002</v>
      </c>
      <c r="C100">
        <v>4.9909999999999997</v>
      </c>
      <c r="D100">
        <v>4.992</v>
      </c>
      <c r="E100">
        <v>4.9740000000000002</v>
      </c>
      <c r="F100" s="21">
        <v>-4.1999999999999997E-3</v>
      </c>
    </row>
    <row r="101" spans="1:6" x14ac:dyDescent="0.35">
      <c r="A101" s="22" t="s">
        <v>362</v>
      </c>
      <c r="B101">
        <v>4.9950000000000001</v>
      </c>
      <c r="C101">
        <v>4.9909999999999997</v>
      </c>
      <c r="D101">
        <v>4.9960000000000004</v>
      </c>
      <c r="E101">
        <v>4.9909999999999997</v>
      </c>
      <c r="F101" s="21">
        <v>5.9999999999999995E-4</v>
      </c>
    </row>
    <row r="102" spans="1:6" x14ac:dyDescent="0.35">
      <c r="A102" s="22" t="s">
        <v>364</v>
      </c>
      <c r="B102">
        <v>4.992</v>
      </c>
      <c r="C102">
        <v>4.9930000000000003</v>
      </c>
      <c r="D102">
        <v>4.9930000000000003</v>
      </c>
      <c r="E102">
        <v>4.992</v>
      </c>
      <c r="F102" s="21">
        <v>-2.0000000000000001E-4</v>
      </c>
    </row>
    <row r="103" spans="1:6" x14ac:dyDescent="0.35">
      <c r="A103" s="22" t="s">
        <v>366</v>
      </c>
      <c r="B103">
        <v>4.9930000000000003</v>
      </c>
      <c r="C103">
        <v>5.0060000000000002</v>
      </c>
      <c r="D103">
        <v>5.0060000000000002</v>
      </c>
      <c r="E103">
        <v>4.9930000000000003</v>
      </c>
      <c r="F103" s="21">
        <v>-6.1999999999999998E-3</v>
      </c>
    </row>
    <row r="104" spans="1:6" x14ac:dyDescent="0.35">
      <c r="A104" s="22">
        <v>44723</v>
      </c>
      <c r="B104">
        <v>5.024</v>
      </c>
      <c r="C104">
        <v>5.0419999999999998</v>
      </c>
      <c r="D104">
        <v>5.0419999999999998</v>
      </c>
      <c r="E104">
        <v>5.024</v>
      </c>
      <c r="F104" s="21">
        <v>-1.8E-3</v>
      </c>
    </row>
    <row r="105" spans="1:6" x14ac:dyDescent="0.35">
      <c r="A105" s="22" t="s">
        <v>369</v>
      </c>
      <c r="B105">
        <v>5.0330000000000004</v>
      </c>
      <c r="C105">
        <v>5.0090000000000003</v>
      </c>
      <c r="D105">
        <v>5.0330000000000004</v>
      </c>
      <c r="E105">
        <v>5.0090000000000003</v>
      </c>
      <c r="F105" s="21">
        <v>5.5999999999999999E-3</v>
      </c>
    </row>
    <row r="106" spans="1:6" x14ac:dyDescent="0.35">
      <c r="A106" s="22" t="s">
        <v>371</v>
      </c>
      <c r="B106">
        <v>5.0049999999999999</v>
      </c>
      <c r="C106">
        <v>4.9269999999999996</v>
      </c>
      <c r="D106">
        <v>5.0090000000000003</v>
      </c>
      <c r="E106">
        <v>4.9269999999999996</v>
      </c>
      <c r="F106" s="21">
        <v>1.5800000000000002E-2</v>
      </c>
    </row>
    <row r="107" spans="1:6" x14ac:dyDescent="0.35">
      <c r="A107" s="22" t="s">
        <v>373</v>
      </c>
      <c r="B107">
        <v>4.9269999999999996</v>
      </c>
      <c r="C107">
        <v>4.944</v>
      </c>
      <c r="D107">
        <v>4.944</v>
      </c>
      <c r="E107">
        <v>4.8540000000000001</v>
      </c>
      <c r="F107" s="21">
        <v>-9.1999999999999998E-3</v>
      </c>
    </row>
    <row r="108" spans="1:6" x14ac:dyDescent="0.35">
      <c r="A108" s="22">
        <v>44814</v>
      </c>
      <c r="B108">
        <v>4.9729999999999999</v>
      </c>
      <c r="C108">
        <v>4.9480000000000004</v>
      </c>
      <c r="D108">
        <v>4.9859999999999998</v>
      </c>
      <c r="E108">
        <v>4.9459999999999997</v>
      </c>
      <c r="F108" s="21">
        <v>-5.9999999999999995E-4</v>
      </c>
    </row>
    <row r="109" spans="1:6" x14ac:dyDescent="0.35">
      <c r="A109" s="22">
        <v>44602</v>
      </c>
      <c r="B109">
        <v>4.976</v>
      </c>
      <c r="C109">
        <v>4.6959999999999997</v>
      </c>
      <c r="D109">
        <v>4.976</v>
      </c>
      <c r="E109">
        <v>4.6959999999999997</v>
      </c>
      <c r="F109" s="21">
        <v>5.5100000000000003E-2</v>
      </c>
    </row>
    <row r="110" spans="1:6" x14ac:dyDescent="0.35">
      <c r="A110" s="22" t="s">
        <v>377</v>
      </c>
      <c r="B110">
        <v>4.7160000000000002</v>
      </c>
      <c r="C110">
        <v>4.3140000000000001</v>
      </c>
      <c r="D110">
        <v>4.7160000000000002</v>
      </c>
      <c r="E110">
        <v>4.3140000000000001</v>
      </c>
      <c r="F110" s="21">
        <v>0.10390000000000001</v>
      </c>
    </row>
    <row r="111" spans="1:6" x14ac:dyDescent="0.35">
      <c r="A111" s="22" t="s">
        <v>378</v>
      </c>
      <c r="B111">
        <v>4.2720000000000002</v>
      </c>
      <c r="C111">
        <v>3.294</v>
      </c>
      <c r="D111">
        <v>4.2720000000000002</v>
      </c>
      <c r="E111">
        <v>3.294</v>
      </c>
      <c r="F111" s="21">
        <v>0.30399999999999999</v>
      </c>
    </row>
    <row r="112" spans="1:6" x14ac:dyDescent="0.35">
      <c r="A112" s="22">
        <v>44874</v>
      </c>
      <c r="B112">
        <v>3.2759999999999998</v>
      </c>
      <c r="C112">
        <v>3.1909999999999998</v>
      </c>
      <c r="D112">
        <v>3.2759999999999998</v>
      </c>
      <c r="E112">
        <v>3.1869999999999998</v>
      </c>
      <c r="F112" s="21">
        <v>2.41E-2</v>
      </c>
    </row>
    <row r="113" spans="1:6" x14ac:dyDescent="0.35">
      <c r="A113" s="22">
        <v>44660</v>
      </c>
      <c r="B113">
        <v>3.1989999999999998</v>
      </c>
      <c r="C113">
        <v>3.202</v>
      </c>
      <c r="D113">
        <v>3.2450000000000001</v>
      </c>
      <c r="E113">
        <v>3.1909999999999998</v>
      </c>
      <c r="F113" s="21">
        <v>2.9999999999999997E-4</v>
      </c>
    </row>
    <row r="114" spans="1:6" x14ac:dyDescent="0.35">
      <c r="A114" s="22" t="s">
        <v>381</v>
      </c>
      <c r="B114">
        <v>3.198</v>
      </c>
      <c r="C114">
        <v>3.1930000000000001</v>
      </c>
      <c r="D114">
        <v>3.198</v>
      </c>
      <c r="E114">
        <v>3.1920000000000002</v>
      </c>
      <c r="F114" s="21">
        <v>1.04E-2</v>
      </c>
    </row>
    <row r="115" spans="1:6" x14ac:dyDescent="0.35">
      <c r="A115" s="22" t="s">
        <v>383</v>
      </c>
      <c r="B115">
        <v>3.165</v>
      </c>
      <c r="C115">
        <v>3.1</v>
      </c>
      <c r="D115">
        <v>3.1669999999999998</v>
      </c>
      <c r="E115">
        <v>3.1</v>
      </c>
      <c r="F115" s="21">
        <v>2.63E-2</v>
      </c>
    </row>
    <row r="116" spans="1:6" x14ac:dyDescent="0.35">
      <c r="A116" s="22" t="s">
        <v>385</v>
      </c>
      <c r="B116">
        <v>3.0840000000000001</v>
      </c>
      <c r="C116">
        <v>3.0779999999999998</v>
      </c>
      <c r="D116">
        <v>3.0840000000000001</v>
      </c>
      <c r="E116">
        <v>3.06</v>
      </c>
      <c r="F116" s="21">
        <v>4.1999999999999997E-3</v>
      </c>
    </row>
    <row r="117" spans="1:6" x14ac:dyDescent="0.35">
      <c r="A117" s="22">
        <v>44750</v>
      </c>
      <c r="B117">
        <v>3.0710000000000002</v>
      </c>
      <c r="C117">
        <v>3.1579999999999999</v>
      </c>
      <c r="D117">
        <v>3.2210000000000001</v>
      </c>
      <c r="E117">
        <v>3.06</v>
      </c>
      <c r="F117" s="21">
        <v>-2.8199999999999999E-2</v>
      </c>
    </row>
    <row r="118" spans="1:6" x14ac:dyDescent="0.35">
      <c r="A118" s="22" t="s">
        <v>388</v>
      </c>
      <c r="B118">
        <v>3.16</v>
      </c>
      <c r="C118">
        <v>3.137</v>
      </c>
      <c r="D118">
        <v>3.16</v>
      </c>
      <c r="E118">
        <v>3.0880000000000001</v>
      </c>
      <c r="F118" s="21">
        <v>2.2700000000000001E-2</v>
      </c>
    </row>
    <row r="119" spans="1:6" x14ac:dyDescent="0.35">
      <c r="A119" s="22" t="s">
        <v>389</v>
      </c>
      <c r="B119">
        <v>3.09</v>
      </c>
      <c r="C119">
        <v>2.8479999999999999</v>
      </c>
      <c r="D119">
        <v>3.3340000000000001</v>
      </c>
      <c r="E119">
        <v>2.8479999999999999</v>
      </c>
      <c r="F119" s="21">
        <v>0.1119</v>
      </c>
    </row>
    <row r="120" spans="1:6" x14ac:dyDescent="0.35">
      <c r="A120" s="22" t="s">
        <v>391</v>
      </c>
      <c r="B120">
        <v>2.7789999999999999</v>
      </c>
      <c r="C120">
        <v>2.4550000000000001</v>
      </c>
      <c r="D120">
        <v>2.7789999999999999</v>
      </c>
      <c r="E120">
        <v>2.4550000000000001</v>
      </c>
      <c r="F120" s="21">
        <v>0.15310000000000001</v>
      </c>
    </row>
    <row r="121" spans="1:6" x14ac:dyDescent="0.35">
      <c r="A121" s="22">
        <v>44841</v>
      </c>
      <c r="B121">
        <v>2.41</v>
      </c>
      <c r="C121">
        <v>2.379</v>
      </c>
      <c r="D121">
        <v>2.41</v>
      </c>
      <c r="E121">
        <v>2.371</v>
      </c>
      <c r="F121" s="21">
        <v>8.8000000000000005E-3</v>
      </c>
    </row>
    <row r="122" spans="1:6" x14ac:dyDescent="0.35">
      <c r="A122" s="22">
        <v>44627</v>
      </c>
      <c r="B122">
        <v>2.3889999999999998</v>
      </c>
      <c r="C122">
        <v>2.2959999999999998</v>
      </c>
      <c r="D122">
        <v>2.3889999999999998</v>
      </c>
      <c r="E122">
        <v>2.2959999999999998</v>
      </c>
      <c r="F122" s="21">
        <v>4.5499999999999999E-2</v>
      </c>
    </row>
    <row r="123" spans="1:6" x14ac:dyDescent="0.35">
      <c r="A123" s="22" t="s">
        <v>394</v>
      </c>
      <c r="B123">
        <v>2.2850000000000001</v>
      </c>
      <c r="C123">
        <v>2.2229999999999999</v>
      </c>
      <c r="D123">
        <v>2.2850000000000001</v>
      </c>
      <c r="E123">
        <v>2.2229999999999999</v>
      </c>
      <c r="F123" s="21">
        <v>2.7900000000000001E-2</v>
      </c>
    </row>
    <row r="124" spans="1:6" x14ac:dyDescent="0.35">
      <c r="A124" s="22" t="s">
        <v>396</v>
      </c>
      <c r="B124">
        <v>2.2229999999999999</v>
      </c>
      <c r="C124">
        <v>2.2149999999999999</v>
      </c>
      <c r="D124">
        <v>2.2240000000000002</v>
      </c>
      <c r="E124">
        <v>2.2010000000000001</v>
      </c>
      <c r="F124" s="21">
        <v>6.7999999999999996E-3</v>
      </c>
    </row>
    <row r="125" spans="1:6" x14ac:dyDescent="0.35">
      <c r="A125" s="22">
        <v>44901</v>
      </c>
      <c r="B125">
        <v>2.2080000000000002</v>
      </c>
      <c r="C125">
        <v>2.1419999999999999</v>
      </c>
      <c r="D125">
        <v>2.2490000000000001</v>
      </c>
      <c r="E125">
        <v>2.1419999999999999</v>
      </c>
      <c r="F125" s="21">
        <v>5.0900000000000001E-2</v>
      </c>
    </row>
    <row r="126" spans="1:6" x14ac:dyDescent="0.35">
      <c r="A126" s="22">
        <v>44687</v>
      </c>
      <c r="B126">
        <v>2.101</v>
      </c>
      <c r="C126">
        <v>2.1059999999999999</v>
      </c>
      <c r="D126">
        <v>2.125</v>
      </c>
      <c r="E126">
        <v>2.1</v>
      </c>
      <c r="F126" s="21">
        <v>-3.27E-2</v>
      </c>
    </row>
    <row r="127" spans="1:6" x14ac:dyDescent="0.35">
      <c r="A127" s="22" t="s">
        <v>400</v>
      </c>
      <c r="B127">
        <v>2.1720000000000002</v>
      </c>
      <c r="C127">
        <v>2.13</v>
      </c>
      <c r="D127">
        <v>2.1720000000000002</v>
      </c>
      <c r="E127">
        <v>2.125</v>
      </c>
      <c r="F127" s="21">
        <v>1.5900000000000001E-2</v>
      </c>
    </row>
    <row r="128" spans="1:6" x14ac:dyDescent="0.35">
      <c r="A128" s="22" t="s">
        <v>401</v>
      </c>
      <c r="B128">
        <v>2.1379999999999999</v>
      </c>
      <c r="C128">
        <v>2.2090000000000001</v>
      </c>
      <c r="D128">
        <v>2.2090000000000001</v>
      </c>
      <c r="E128">
        <v>2.11</v>
      </c>
      <c r="F128" s="21">
        <v>-3.7400000000000003E-2</v>
      </c>
    </row>
    <row r="129" spans="1:6" x14ac:dyDescent="0.35">
      <c r="A129" s="22" t="s">
        <v>403</v>
      </c>
      <c r="B129">
        <v>2.2210000000000001</v>
      </c>
      <c r="C129">
        <v>2.3029999999999999</v>
      </c>
      <c r="D129">
        <v>2.3029999999999999</v>
      </c>
      <c r="E129">
        <v>2.2040000000000002</v>
      </c>
      <c r="F129" s="21">
        <v>-3.8899999999999997E-2</v>
      </c>
    </row>
    <row r="130" spans="1:6" x14ac:dyDescent="0.35">
      <c r="A130" s="22">
        <v>44778</v>
      </c>
      <c r="B130">
        <v>2.3109999999999999</v>
      </c>
      <c r="C130">
        <v>2.165</v>
      </c>
      <c r="D130">
        <v>2.3119999999999998</v>
      </c>
      <c r="E130">
        <v>2.165</v>
      </c>
      <c r="F130" s="21">
        <v>8.0399999999999999E-2</v>
      </c>
    </row>
    <row r="131" spans="1:6" x14ac:dyDescent="0.35">
      <c r="A131" s="22">
        <v>44566</v>
      </c>
      <c r="B131">
        <v>2.1389999999999998</v>
      </c>
      <c r="C131">
        <v>2.11</v>
      </c>
      <c r="D131">
        <v>2.1389999999999998</v>
      </c>
      <c r="E131">
        <v>2.11</v>
      </c>
      <c r="F131" s="21">
        <v>1.4200000000000001E-2</v>
      </c>
    </row>
    <row r="132" spans="1:6" x14ac:dyDescent="0.35">
      <c r="A132" s="22" t="s">
        <v>406</v>
      </c>
      <c r="B132">
        <v>2.109</v>
      </c>
      <c r="C132">
        <v>2.1379999999999999</v>
      </c>
      <c r="D132">
        <v>2.1440000000000001</v>
      </c>
      <c r="E132">
        <v>2.109</v>
      </c>
      <c r="F132" s="21">
        <v>-9.4000000000000004E-3</v>
      </c>
    </row>
    <row r="133" spans="1:6" x14ac:dyDescent="0.35">
      <c r="A133" s="22" t="s">
        <v>407</v>
      </c>
      <c r="B133">
        <v>2.129</v>
      </c>
      <c r="C133">
        <v>2.2130000000000001</v>
      </c>
      <c r="D133">
        <v>2.2130000000000001</v>
      </c>
      <c r="E133">
        <v>2.0990000000000002</v>
      </c>
      <c r="F133" s="21">
        <v>-3.7499999999999999E-2</v>
      </c>
    </row>
    <row r="134" spans="1:6" x14ac:dyDescent="0.35">
      <c r="A134" s="22">
        <v>44838</v>
      </c>
      <c r="B134">
        <v>2.2120000000000002</v>
      </c>
      <c r="C134">
        <v>2.258</v>
      </c>
      <c r="D134">
        <v>2.258</v>
      </c>
      <c r="E134">
        <v>2.2120000000000002</v>
      </c>
      <c r="F134" s="21">
        <v>5.1299999999999998E-2</v>
      </c>
    </row>
    <row r="135" spans="1:6" x14ac:dyDescent="0.35">
      <c r="A135" s="22">
        <v>44624</v>
      </c>
      <c r="B135">
        <v>2.1040000000000001</v>
      </c>
      <c r="C135">
        <v>1.7669999999999999</v>
      </c>
      <c r="D135">
        <v>2.141</v>
      </c>
      <c r="E135">
        <v>1.7669999999999999</v>
      </c>
      <c r="F135" s="21">
        <v>0.19750000000000001</v>
      </c>
    </row>
    <row r="136" spans="1:6" x14ac:dyDescent="0.35">
      <c r="A136" s="22" t="s">
        <v>410</v>
      </c>
      <c r="B136">
        <v>1.7569999999999999</v>
      </c>
      <c r="C136">
        <v>1.7989999999999999</v>
      </c>
      <c r="D136">
        <v>1.7989999999999999</v>
      </c>
      <c r="E136">
        <v>1.7430000000000001</v>
      </c>
      <c r="F136" s="21">
        <v>-5.9999999999999995E-4</v>
      </c>
    </row>
    <row r="137" spans="1:6" x14ac:dyDescent="0.35">
      <c r="A137" s="22" t="s">
        <v>411</v>
      </c>
      <c r="B137">
        <v>1.758</v>
      </c>
      <c r="C137">
        <v>1.8420000000000001</v>
      </c>
      <c r="D137">
        <v>1.8420000000000001</v>
      </c>
      <c r="E137">
        <v>1.758</v>
      </c>
      <c r="F137" s="21">
        <v>1.38E-2</v>
      </c>
    </row>
    <row r="138" spans="1:6" x14ac:dyDescent="0.35">
      <c r="A138" s="22" t="s">
        <v>413</v>
      </c>
      <c r="B138">
        <v>1.734</v>
      </c>
      <c r="C138">
        <v>1.556</v>
      </c>
      <c r="D138">
        <v>1.734</v>
      </c>
      <c r="E138">
        <v>1.556</v>
      </c>
      <c r="F138" s="21">
        <v>0.12089999999999999</v>
      </c>
    </row>
    <row r="139" spans="1:6" x14ac:dyDescent="0.35">
      <c r="A139" s="22">
        <v>44715</v>
      </c>
      <c r="B139">
        <v>1.5469999999999999</v>
      </c>
      <c r="C139">
        <v>1.593</v>
      </c>
      <c r="D139">
        <v>1.593</v>
      </c>
      <c r="E139">
        <v>1.5029999999999999</v>
      </c>
      <c r="F139" s="21">
        <v>-4.1500000000000002E-2</v>
      </c>
    </row>
    <row r="140" spans="1:6" x14ac:dyDescent="0.35">
      <c r="A140" s="22" t="s">
        <v>415</v>
      </c>
      <c r="B140">
        <v>1.6140000000000001</v>
      </c>
      <c r="C140">
        <v>1.4339999999999999</v>
      </c>
      <c r="D140">
        <v>1.6990000000000001</v>
      </c>
      <c r="E140">
        <v>1.4339999999999999</v>
      </c>
      <c r="F140" s="21">
        <v>0.23680000000000001</v>
      </c>
    </row>
    <row r="141" spans="1:6" x14ac:dyDescent="0.35">
      <c r="A141" s="22" t="s">
        <v>417</v>
      </c>
      <c r="B141">
        <v>1.3049999999999999</v>
      </c>
      <c r="C141">
        <v>1.101</v>
      </c>
      <c r="D141">
        <v>1.3049999999999999</v>
      </c>
      <c r="E141">
        <v>1.091</v>
      </c>
      <c r="F141" s="21">
        <v>0.17460000000000001</v>
      </c>
    </row>
    <row r="142" spans="1:6" x14ac:dyDescent="0.35">
      <c r="A142" s="22" t="s">
        <v>419</v>
      </c>
      <c r="B142">
        <v>1.111</v>
      </c>
      <c r="C142">
        <v>0.82599999999999996</v>
      </c>
      <c r="D142">
        <v>1.111</v>
      </c>
      <c r="E142">
        <v>0.82599999999999996</v>
      </c>
      <c r="F142" s="21">
        <v>0.37159999999999999</v>
      </c>
    </row>
    <row r="143" spans="1:6" x14ac:dyDescent="0.35">
      <c r="A143" s="22">
        <v>44714</v>
      </c>
      <c r="B143">
        <v>0.81</v>
      </c>
      <c r="C143">
        <v>0.68899999999999995</v>
      </c>
      <c r="D143">
        <v>0.81</v>
      </c>
      <c r="E143">
        <v>0.68899999999999995</v>
      </c>
      <c r="F143" s="21">
        <v>0.31919999999999998</v>
      </c>
    </row>
    <row r="144" spans="1:6" x14ac:dyDescent="0.35">
      <c r="A144" s="22" t="s">
        <v>420</v>
      </c>
      <c r="B144">
        <v>0.61399999999999999</v>
      </c>
      <c r="C144">
        <v>0.61399999999999999</v>
      </c>
      <c r="D144">
        <v>0.71399999999999997</v>
      </c>
      <c r="E144">
        <v>0.61399999999999999</v>
      </c>
      <c r="F144" s="21">
        <v>-0.1401</v>
      </c>
    </row>
    <row r="145" spans="1:6" x14ac:dyDescent="0.35">
      <c r="A145" s="22" t="s">
        <v>421</v>
      </c>
      <c r="B145">
        <v>0.71399999999999997</v>
      </c>
      <c r="C145">
        <v>0.72299999999999998</v>
      </c>
      <c r="D145">
        <v>0.73</v>
      </c>
      <c r="E145">
        <v>0.71399999999999997</v>
      </c>
      <c r="F145" s="21">
        <v>-2.9899999999999999E-2</v>
      </c>
    </row>
    <row r="146" spans="1:6" x14ac:dyDescent="0.35">
      <c r="A146" s="22" t="s">
        <v>423</v>
      </c>
      <c r="B146">
        <v>0.73599999999999999</v>
      </c>
      <c r="C146">
        <v>0.77600000000000002</v>
      </c>
      <c r="D146">
        <v>0.77600000000000002</v>
      </c>
      <c r="E146">
        <v>0.73199999999999998</v>
      </c>
      <c r="F146" s="21">
        <v>-5.1499999999999997E-2</v>
      </c>
    </row>
    <row r="147" spans="1:6" x14ac:dyDescent="0.35">
      <c r="A147" s="22">
        <v>44805</v>
      </c>
      <c r="B147">
        <v>0.77600000000000002</v>
      </c>
      <c r="C147">
        <v>0.77500000000000002</v>
      </c>
      <c r="D147">
        <v>0.77900000000000003</v>
      </c>
      <c r="E147">
        <v>0.77400000000000002</v>
      </c>
      <c r="F147" s="21">
        <v>0</v>
      </c>
    </row>
    <row r="148" spans="1:6" x14ac:dyDescent="0.35">
      <c r="A148" s="22">
        <v>44593</v>
      </c>
      <c r="B148">
        <v>0.77600000000000002</v>
      </c>
      <c r="C148">
        <v>0.76500000000000001</v>
      </c>
      <c r="D148">
        <v>0.78300000000000003</v>
      </c>
      <c r="E148">
        <v>0.76500000000000001</v>
      </c>
      <c r="F148" s="21">
        <v>2.3699999999999999E-2</v>
      </c>
    </row>
    <row r="149" spans="1:6" x14ac:dyDescent="0.35">
      <c r="A149" s="22" t="s">
        <v>426</v>
      </c>
      <c r="B149">
        <v>0.75800000000000001</v>
      </c>
      <c r="C149">
        <v>0.74199999999999999</v>
      </c>
      <c r="D149">
        <v>0.75800000000000001</v>
      </c>
      <c r="E149">
        <v>0.74199999999999999</v>
      </c>
      <c r="F149" s="21">
        <v>3.27E-2</v>
      </c>
    </row>
    <row r="150" spans="1:6" x14ac:dyDescent="0.35">
      <c r="A150" s="22" t="s">
        <v>428</v>
      </c>
      <c r="B150">
        <v>0.73399999999999999</v>
      </c>
      <c r="C150">
        <v>0.69499999999999995</v>
      </c>
      <c r="D150">
        <v>0.73499999999999999</v>
      </c>
      <c r="E150">
        <v>0.69499999999999995</v>
      </c>
      <c r="F150" s="21">
        <v>5.7599999999999998E-2</v>
      </c>
    </row>
    <row r="151" spans="1:6" x14ac:dyDescent="0.35">
      <c r="A151" s="22">
        <v>44542</v>
      </c>
      <c r="B151">
        <v>0.69399999999999995</v>
      </c>
      <c r="C151">
        <v>0.67300000000000004</v>
      </c>
      <c r="D151">
        <v>0.69399999999999995</v>
      </c>
      <c r="E151">
        <v>0.67200000000000004</v>
      </c>
      <c r="F151" s="21">
        <v>2.9700000000000001E-2</v>
      </c>
    </row>
    <row r="152" spans="1:6" x14ac:dyDescent="0.35">
      <c r="A152" s="22">
        <v>44328</v>
      </c>
      <c r="B152">
        <v>0.67400000000000004</v>
      </c>
      <c r="C152">
        <v>0.66800000000000004</v>
      </c>
      <c r="D152">
        <v>0.67600000000000005</v>
      </c>
      <c r="E152">
        <v>0.66800000000000004</v>
      </c>
      <c r="F152" s="21">
        <v>-4.4000000000000003E-3</v>
      </c>
    </row>
    <row r="153" spans="1:6" x14ac:dyDescent="0.35">
      <c r="A153" s="22" t="s">
        <v>431</v>
      </c>
      <c r="B153">
        <v>0.67700000000000005</v>
      </c>
      <c r="C153">
        <v>0.68</v>
      </c>
      <c r="D153">
        <v>0.68</v>
      </c>
      <c r="E153">
        <v>0.67700000000000005</v>
      </c>
      <c r="F153" s="21">
        <v>-1.5E-3</v>
      </c>
    </row>
    <row r="154" spans="1:6" x14ac:dyDescent="0.35">
      <c r="A154" s="22" t="s">
        <v>433</v>
      </c>
      <c r="B154">
        <v>0.67800000000000005</v>
      </c>
      <c r="C154">
        <v>0.67900000000000005</v>
      </c>
      <c r="D154">
        <v>0.71899999999999997</v>
      </c>
      <c r="E154">
        <v>0.67800000000000005</v>
      </c>
      <c r="F154" s="21">
        <v>0</v>
      </c>
    </row>
    <row r="155" spans="1:6" x14ac:dyDescent="0.35">
      <c r="A155" s="22" t="s">
        <v>435</v>
      </c>
      <c r="B155">
        <v>0.67800000000000005</v>
      </c>
      <c r="C155">
        <v>0.67900000000000005</v>
      </c>
      <c r="D155">
        <v>0.67900000000000005</v>
      </c>
      <c r="E155">
        <v>0.67800000000000005</v>
      </c>
      <c r="F155" s="21">
        <v>-1.4500000000000001E-2</v>
      </c>
    </row>
    <row r="156" spans="1:6" x14ac:dyDescent="0.35">
      <c r="A156" s="22">
        <v>44388</v>
      </c>
      <c r="B156">
        <v>0.68799999999999994</v>
      </c>
      <c r="C156">
        <v>0.65700000000000003</v>
      </c>
      <c r="D156">
        <v>0.68799999999999994</v>
      </c>
      <c r="E156">
        <v>0.65700000000000003</v>
      </c>
      <c r="F156" s="21">
        <v>-3.78E-2</v>
      </c>
    </row>
    <row r="157" spans="1:6" x14ac:dyDescent="0.35">
      <c r="A157" s="22" t="s">
        <v>438</v>
      </c>
      <c r="B157">
        <v>0.71499999999999997</v>
      </c>
      <c r="C157">
        <v>0.72499999999999998</v>
      </c>
      <c r="D157">
        <v>0.72499999999999998</v>
      </c>
      <c r="E157">
        <v>0.70699999999999996</v>
      </c>
      <c r="F157" s="21">
        <v>4.0800000000000003E-2</v>
      </c>
    </row>
    <row r="158" spans="1:6" x14ac:dyDescent="0.35">
      <c r="A158" s="22" t="s">
        <v>440</v>
      </c>
      <c r="B158">
        <v>0.68700000000000006</v>
      </c>
      <c r="C158">
        <v>0.69199999999999995</v>
      </c>
      <c r="D158">
        <v>0.69899999999999995</v>
      </c>
      <c r="E158">
        <v>0.68700000000000006</v>
      </c>
      <c r="F158" s="21">
        <v>-7.1999999999999998E-3</v>
      </c>
    </row>
    <row r="159" spans="1:6" x14ac:dyDescent="0.35">
      <c r="A159" s="22" t="s">
        <v>441</v>
      </c>
      <c r="B159">
        <v>0.69199999999999995</v>
      </c>
      <c r="C159">
        <v>0.69099999999999995</v>
      </c>
      <c r="D159">
        <v>0.7</v>
      </c>
      <c r="E159">
        <v>0.69099999999999995</v>
      </c>
      <c r="F159" s="21">
        <v>-4.4200000000000003E-2</v>
      </c>
    </row>
    <row r="160" spans="1:6" x14ac:dyDescent="0.35">
      <c r="A160" s="22">
        <v>44479</v>
      </c>
      <c r="B160">
        <v>0.72399999999999998</v>
      </c>
      <c r="C160">
        <v>0.73399999999999999</v>
      </c>
      <c r="D160">
        <v>0.74</v>
      </c>
      <c r="E160">
        <v>0.72399999999999998</v>
      </c>
      <c r="F160" s="21">
        <v>-1.3599999999999999E-2</v>
      </c>
    </row>
    <row r="161" spans="1:6" x14ac:dyDescent="0.35">
      <c r="A161" s="22">
        <v>44265</v>
      </c>
      <c r="B161">
        <v>0.73399999999999999</v>
      </c>
      <c r="C161">
        <v>0.746</v>
      </c>
      <c r="D161">
        <v>0.746</v>
      </c>
      <c r="E161">
        <v>0.73399999999999999</v>
      </c>
      <c r="F161" s="21">
        <v>-1.7399999999999999E-2</v>
      </c>
    </row>
    <row r="162" spans="1:6" x14ac:dyDescent="0.35">
      <c r="A162" s="22" t="s">
        <v>443</v>
      </c>
      <c r="B162">
        <v>0.747</v>
      </c>
      <c r="C162">
        <v>0.69799999999999995</v>
      </c>
      <c r="D162">
        <v>0.752</v>
      </c>
      <c r="E162">
        <v>0.69799999999999995</v>
      </c>
      <c r="F162" s="21">
        <v>7.0199999999999999E-2</v>
      </c>
    </row>
    <row r="163" spans="1:6" x14ac:dyDescent="0.35">
      <c r="A163" s="22" t="s">
        <v>445</v>
      </c>
      <c r="B163">
        <v>0.69799999999999995</v>
      </c>
      <c r="C163">
        <v>0.67100000000000004</v>
      </c>
      <c r="D163">
        <v>0.69799999999999995</v>
      </c>
      <c r="E163">
        <v>0.66900000000000004</v>
      </c>
      <c r="F163" s="21">
        <v>4.02E-2</v>
      </c>
    </row>
    <row r="164" spans="1:6" x14ac:dyDescent="0.35">
      <c r="A164" s="22">
        <v>44539</v>
      </c>
      <c r="B164">
        <v>0.67100000000000004</v>
      </c>
      <c r="C164">
        <v>0.66300000000000003</v>
      </c>
      <c r="D164">
        <v>0.67100000000000004</v>
      </c>
      <c r="E164">
        <v>0.63</v>
      </c>
      <c r="F164" s="21">
        <v>1.21E-2</v>
      </c>
    </row>
    <row r="165" spans="1:6" x14ac:dyDescent="0.35">
      <c r="A165" s="22">
        <v>44325</v>
      </c>
      <c r="B165">
        <v>0.66300000000000003</v>
      </c>
      <c r="C165">
        <v>0.67500000000000004</v>
      </c>
      <c r="D165">
        <v>0.67500000000000004</v>
      </c>
      <c r="E165">
        <v>0.66300000000000003</v>
      </c>
      <c r="F165" s="21">
        <v>-1.78E-2</v>
      </c>
    </row>
    <row r="166" spans="1:6" x14ac:dyDescent="0.35">
      <c r="A166" s="22" t="s">
        <v>448</v>
      </c>
      <c r="B166">
        <v>0.67500000000000004</v>
      </c>
      <c r="C166">
        <v>0.67900000000000005</v>
      </c>
      <c r="D166">
        <v>0.67900000000000005</v>
      </c>
      <c r="E166">
        <v>0.67500000000000004</v>
      </c>
      <c r="F166" s="21">
        <v>-7.4000000000000003E-3</v>
      </c>
    </row>
    <row r="167" spans="1:6" x14ac:dyDescent="0.35">
      <c r="A167" s="22" t="s">
        <v>450</v>
      </c>
      <c r="B167">
        <v>0.68</v>
      </c>
      <c r="C167">
        <v>0.68300000000000005</v>
      </c>
      <c r="D167">
        <v>0.68300000000000005</v>
      </c>
      <c r="E167">
        <v>0.68</v>
      </c>
      <c r="F167" s="21">
        <v>-5.7999999999999996E-3</v>
      </c>
    </row>
    <row r="168" spans="1:6" x14ac:dyDescent="0.35">
      <c r="A168" s="22" t="s">
        <v>452</v>
      </c>
      <c r="B168">
        <v>0.68400000000000005</v>
      </c>
      <c r="C168">
        <v>0.68600000000000005</v>
      </c>
      <c r="D168">
        <v>0.68600000000000005</v>
      </c>
      <c r="E168">
        <v>0.68400000000000005</v>
      </c>
      <c r="F168" s="21">
        <v>-2.8999999999999998E-3</v>
      </c>
    </row>
    <row r="169" spans="1:6" x14ac:dyDescent="0.35">
      <c r="A169" s="22">
        <v>44416</v>
      </c>
      <c r="B169">
        <v>0.68600000000000005</v>
      </c>
      <c r="C169">
        <v>0.69299999999999995</v>
      </c>
      <c r="D169">
        <v>0.69299999999999995</v>
      </c>
      <c r="E169">
        <v>0.68600000000000005</v>
      </c>
      <c r="F169" s="21">
        <v>-5.7999999999999996E-3</v>
      </c>
    </row>
    <row r="170" spans="1:6" x14ac:dyDescent="0.35">
      <c r="A170" s="22">
        <v>44204</v>
      </c>
      <c r="B170">
        <v>0.69</v>
      </c>
      <c r="C170">
        <v>0.66500000000000004</v>
      </c>
      <c r="D170">
        <v>0.71499999999999997</v>
      </c>
      <c r="E170">
        <v>0.66500000000000004</v>
      </c>
      <c r="F170" s="21">
        <v>3.7600000000000001E-2</v>
      </c>
    </row>
    <row r="171" spans="1:6" x14ac:dyDescent="0.35">
      <c r="A171" s="22" t="s">
        <v>455</v>
      </c>
      <c r="B171">
        <v>0.66500000000000004</v>
      </c>
      <c r="C171">
        <v>0.66800000000000004</v>
      </c>
      <c r="D171">
        <v>0.66800000000000004</v>
      </c>
      <c r="E171">
        <v>0.66500000000000004</v>
      </c>
      <c r="F171" s="21">
        <v>-3.0000000000000001E-3</v>
      </c>
    </row>
    <row r="172" spans="1:6" x14ac:dyDescent="0.35">
      <c r="A172" s="22" t="s">
        <v>457</v>
      </c>
      <c r="B172">
        <v>0.66700000000000004</v>
      </c>
      <c r="C172">
        <v>0.67</v>
      </c>
      <c r="D172">
        <v>0.67</v>
      </c>
      <c r="E172">
        <v>0.66700000000000004</v>
      </c>
      <c r="F172" s="21">
        <v>-7.4000000000000003E-3</v>
      </c>
    </row>
    <row r="173" spans="1:6" x14ac:dyDescent="0.35">
      <c r="A173" s="22">
        <v>44507</v>
      </c>
      <c r="B173">
        <v>0.67200000000000004</v>
      </c>
      <c r="C173">
        <v>0.67500000000000004</v>
      </c>
      <c r="D173">
        <v>0.67500000000000004</v>
      </c>
      <c r="E173">
        <v>0.67</v>
      </c>
      <c r="F173" s="21">
        <v>-3.0000000000000001E-3</v>
      </c>
    </row>
    <row r="174" spans="1:6" x14ac:dyDescent="0.35">
      <c r="A174" s="22">
        <v>44293</v>
      </c>
      <c r="B174">
        <v>0.67400000000000004</v>
      </c>
      <c r="C174">
        <v>0.68400000000000005</v>
      </c>
      <c r="D174">
        <v>0.68400000000000005</v>
      </c>
      <c r="E174">
        <v>0.67200000000000004</v>
      </c>
      <c r="F174" s="21">
        <v>-1.17E-2</v>
      </c>
    </row>
    <row r="175" spans="1:6" x14ac:dyDescent="0.35">
      <c r="A175" s="22" t="s">
        <v>460</v>
      </c>
      <c r="B175">
        <v>0.68200000000000005</v>
      </c>
      <c r="C175">
        <v>0.64200000000000002</v>
      </c>
      <c r="D175">
        <v>0.68600000000000005</v>
      </c>
      <c r="E175">
        <v>0.64200000000000002</v>
      </c>
      <c r="F175" s="21">
        <v>6.2300000000000001E-2</v>
      </c>
    </row>
    <row r="176" spans="1:6" x14ac:dyDescent="0.35">
      <c r="A176" s="22" t="s">
        <v>462</v>
      </c>
      <c r="B176">
        <v>0.64200000000000002</v>
      </c>
      <c r="C176">
        <v>0.66300000000000003</v>
      </c>
      <c r="D176">
        <v>0.66800000000000004</v>
      </c>
      <c r="E176">
        <v>0.63900000000000001</v>
      </c>
      <c r="F176" s="21">
        <v>-3.1699999999999999E-2</v>
      </c>
    </row>
    <row r="177" spans="1:6" x14ac:dyDescent="0.35">
      <c r="A177" s="22" t="s">
        <v>463</v>
      </c>
      <c r="B177">
        <v>0.66300000000000003</v>
      </c>
      <c r="C177">
        <v>0.67800000000000005</v>
      </c>
      <c r="D177">
        <v>0.67800000000000005</v>
      </c>
      <c r="E177">
        <v>0.66200000000000003</v>
      </c>
      <c r="F177" s="21">
        <v>-2.2100000000000002E-2</v>
      </c>
    </row>
    <row r="178" spans="1:6" x14ac:dyDescent="0.35">
      <c r="A178" s="22">
        <v>44353</v>
      </c>
      <c r="B178">
        <v>0.67800000000000005</v>
      </c>
      <c r="C178">
        <v>0.67400000000000004</v>
      </c>
      <c r="D178">
        <v>0.68</v>
      </c>
      <c r="E178">
        <v>0.67400000000000004</v>
      </c>
      <c r="F178" s="21">
        <v>5.8999999999999999E-3</v>
      </c>
    </row>
    <row r="179" spans="1:6" x14ac:dyDescent="0.35">
      <c r="A179" s="22" t="s">
        <v>465</v>
      </c>
      <c r="B179">
        <v>0.67400000000000004</v>
      </c>
      <c r="C179">
        <v>0.69099999999999995</v>
      </c>
      <c r="D179">
        <v>0.70399999999999996</v>
      </c>
      <c r="E179">
        <v>0.66900000000000004</v>
      </c>
      <c r="F179" s="21">
        <v>-2.46E-2</v>
      </c>
    </row>
    <row r="180" spans="1:6" x14ac:dyDescent="0.35">
      <c r="A180" s="22" t="s">
        <v>466</v>
      </c>
      <c r="B180">
        <v>0.69099999999999995</v>
      </c>
      <c r="C180">
        <v>0.57399999999999995</v>
      </c>
      <c r="D180">
        <v>0.69099999999999995</v>
      </c>
      <c r="E180">
        <v>0.57199999999999995</v>
      </c>
      <c r="F180" s="21">
        <v>0.2059</v>
      </c>
    </row>
    <row r="181" spans="1:6" x14ac:dyDescent="0.35">
      <c r="A181" s="22" t="s">
        <v>468</v>
      </c>
      <c r="B181">
        <v>0.57299999999999995</v>
      </c>
      <c r="C181">
        <v>0.57499999999999996</v>
      </c>
      <c r="D181">
        <v>0.57499999999999996</v>
      </c>
      <c r="E181">
        <v>0.56799999999999995</v>
      </c>
      <c r="F181" s="21">
        <v>-1.6999999999999999E-3</v>
      </c>
    </row>
    <row r="182" spans="1:6" x14ac:dyDescent="0.35">
      <c r="A182" s="22">
        <v>44444</v>
      </c>
      <c r="B182">
        <v>0.57399999999999995</v>
      </c>
      <c r="C182">
        <v>0.57499999999999996</v>
      </c>
      <c r="D182">
        <v>0.57499999999999996</v>
      </c>
      <c r="E182">
        <v>0.57199999999999995</v>
      </c>
      <c r="F182" s="21">
        <v>-1.6999999999999999E-3</v>
      </c>
    </row>
    <row r="183" spans="1:6" x14ac:dyDescent="0.35">
      <c r="A183" s="22">
        <v>44232</v>
      </c>
      <c r="B183">
        <v>0.57499999999999996</v>
      </c>
      <c r="C183">
        <v>0.57599999999999996</v>
      </c>
      <c r="D183">
        <v>0.57699999999999996</v>
      </c>
      <c r="E183">
        <v>0.57499999999999996</v>
      </c>
      <c r="F183" s="21">
        <v>7.8799999999999995E-2</v>
      </c>
    </row>
    <row r="184" spans="1:6" x14ac:dyDescent="0.35">
      <c r="A184" s="22" t="s">
        <v>472</v>
      </c>
      <c r="B184">
        <v>0.53300000000000003</v>
      </c>
      <c r="C184">
        <v>0.53400000000000003</v>
      </c>
      <c r="D184">
        <v>0.53900000000000003</v>
      </c>
      <c r="E184">
        <v>0.53300000000000003</v>
      </c>
      <c r="F184" s="21">
        <v>-9.2999999999999992E-3</v>
      </c>
    </row>
    <row r="185" spans="1:6" x14ac:dyDescent="0.35">
      <c r="A185" s="22" t="s">
        <v>473</v>
      </c>
      <c r="B185">
        <v>0.53800000000000003</v>
      </c>
      <c r="C185">
        <v>0.54200000000000004</v>
      </c>
      <c r="D185">
        <v>0.54200000000000004</v>
      </c>
      <c r="E185">
        <v>0.53800000000000003</v>
      </c>
      <c r="F185" s="21">
        <v>-7.4000000000000003E-3</v>
      </c>
    </row>
    <row r="186" spans="1:6" x14ac:dyDescent="0.35">
      <c r="A186" s="22">
        <v>44504</v>
      </c>
      <c r="B186">
        <v>0.54200000000000004</v>
      </c>
      <c r="C186">
        <v>0.54600000000000004</v>
      </c>
      <c r="D186">
        <v>0.54800000000000004</v>
      </c>
      <c r="E186">
        <v>0.54200000000000004</v>
      </c>
      <c r="F186" s="21">
        <v>-7.3000000000000001E-3</v>
      </c>
    </row>
    <row r="187" spans="1:6" x14ac:dyDescent="0.35">
      <c r="A187" s="22">
        <v>44290</v>
      </c>
      <c r="B187">
        <v>0.54600000000000004</v>
      </c>
      <c r="C187">
        <v>0.54300000000000004</v>
      </c>
      <c r="D187">
        <v>0.54600000000000004</v>
      </c>
      <c r="E187">
        <v>0.53900000000000003</v>
      </c>
      <c r="F187" s="21">
        <v>7.4000000000000003E-3</v>
      </c>
    </row>
    <row r="188" spans="1:6" x14ac:dyDescent="0.35">
      <c r="A188" s="22" t="s">
        <v>476</v>
      </c>
      <c r="B188">
        <v>0.54200000000000004</v>
      </c>
      <c r="C188">
        <v>0.54600000000000004</v>
      </c>
      <c r="D188">
        <v>0.55300000000000005</v>
      </c>
      <c r="E188">
        <v>0.52400000000000002</v>
      </c>
      <c r="F188" s="21">
        <v>-7.3000000000000001E-3</v>
      </c>
    </row>
    <row r="189" spans="1:6" x14ac:dyDescent="0.35">
      <c r="A189" s="22" t="s">
        <v>477</v>
      </c>
      <c r="B189">
        <v>0.54600000000000004</v>
      </c>
      <c r="C189">
        <v>0.56200000000000006</v>
      </c>
      <c r="D189">
        <v>0.56200000000000006</v>
      </c>
      <c r="E189">
        <v>0.53900000000000003</v>
      </c>
      <c r="F189" s="21">
        <v>-2.8500000000000001E-2</v>
      </c>
    </row>
    <row r="190" spans="1:6" x14ac:dyDescent="0.35">
      <c r="A190" s="22" t="s">
        <v>478</v>
      </c>
      <c r="B190">
        <v>0.56200000000000006</v>
      </c>
      <c r="C190">
        <v>0.52</v>
      </c>
      <c r="D190">
        <v>0.56299999999999994</v>
      </c>
      <c r="E190">
        <v>0.51700000000000002</v>
      </c>
      <c r="F190" s="21">
        <v>8.0799999999999997E-2</v>
      </c>
    </row>
    <row r="191" spans="1:6" x14ac:dyDescent="0.35">
      <c r="A191" s="22">
        <v>44380</v>
      </c>
      <c r="B191">
        <v>0.52</v>
      </c>
      <c r="C191">
        <v>0.54100000000000004</v>
      </c>
      <c r="D191">
        <v>0.56299999999999994</v>
      </c>
      <c r="E191">
        <v>0.52</v>
      </c>
      <c r="F191" s="21">
        <v>-3.8800000000000001E-2</v>
      </c>
    </row>
    <row r="192" spans="1:6" x14ac:dyDescent="0.35">
      <c r="A192" s="22" t="s">
        <v>480</v>
      </c>
      <c r="B192">
        <v>0.54100000000000004</v>
      </c>
      <c r="C192">
        <v>0.61</v>
      </c>
      <c r="D192">
        <v>0.61199999999999999</v>
      </c>
      <c r="E192">
        <v>0.54100000000000004</v>
      </c>
      <c r="F192" s="21">
        <v>-0.11310000000000001</v>
      </c>
    </row>
    <row r="193" spans="1:6" x14ac:dyDescent="0.35">
      <c r="A193" s="22" t="s">
        <v>482</v>
      </c>
      <c r="B193">
        <v>0.61</v>
      </c>
      <c r="C193">
        <v>0.61699999999999999</v>
      </c>
      <c r="D193">
        <v>0.65500000000000003</v>
      </c>
      <c r="E193">
        <v>0.51700000000000002</v>
      </c>
      <c r="F193" s="21">
        <v>-1.1299999999999999E-2</v>
      </c>
    </row>
    <row r="194" spans="1:6" x14ac:dyDescent="0.35">
      <c r="A194" s="22" t="s">
        <v>484</v>
      </c>
      <c r="B194">
        <v>0.61699999999999999</v>
      </c>
      <c r="C194">
        <v>0.53700000000000003</v>
      </c>
      <c r="D194">
        <v>0.61699999999999999</v>
      </c>
      <c r="E194">
        <v>0.52900000000000003</v>
      </c>
      <c r="F194" s="21">
        <v>0.14899999999999999</v>
      </c>
    </row>
    <row r="195" spans="1:6" x14ac:dyDescent="0.35">
      <c r="A195" s="22">
        <v>44379</v>
      </c>
      <c r="B195">
        <v>0.53700000000000003</v>
      </c>
      <c r="C195">
        <v>0.53400000000000003</v>
      </c>
      <c r="D195">
        <v>0.53700000000000003</v>
      </c>
      <c r="E195">
        <v>0.53300000000000003</v>
      </c>
      <c r="F195" s="21">
        <v>5.5999999999999999E-3</v>
      </c>
    </row>
    <row r="196" spans="1:6" x14ac:dyDescent="0.35">
      <c r="A196" s="22" t="s">
        <v>487</v>
      </c>
      <c r="B196">
        <v>0.53400000000000003</v>
      </c>
      <c r="C196">
        <v>0.54500000000000004</v>
      </c>
      <c r="D196">
        <v>0.55200000000000005</v>
      </c>
      <c r="E196">
        <v>0.52200000000000002</v>
      </c>
      <c r="F196" s="21">
        <v>-2.0199999999999999E-2</v>
      </c>
    </row>
    <row r="197" spans="1:6" x14ac:dyDescent="0.35">
      <c r="A197" s="22" t="s">
        <v>489</v>
      </c>
      <c r="B197">
        <v>0.54500000000000004</v>
      </c>
      <c r="C197">
        <v>0.52600000000000002</v>
      </c>
      <c r="D197">
        <v>0.55100000000000005</v>
      </c>
      <c r="E197">
        <v>0.52500000000000002</v>
      </c>
      <c r="F197" s="21">
        <v>-1.8E-3</v>
      </c>
    </row>
    <row r="198" spans="1:6" x14ac:dyDescent="0.35">
      <c r="A198" s="22" t="s">
        <v>491</v>
      </c>
      <c r="B198">
        <v>0.54600000000000004</v>
      </c>
      <c r="C198">
        <v>0.53100000000000003</v>
      </c>
      <c r="D198">
        <v>0.54600000000000004</v>
      </c>
      <c r="E198">
        <v>0.52500000000000002</v>
      </c>
      <c r="F198" s="21">
        <v>2.8199999999999999E-2</v>
      </c>
    </row>
    <row r="199" spans="1:6" x14ac:dyDescent="0.35">
      <c r="A199" s="22">
        <v>44470</v>
      </c>
      <c r="B199">
        <v>0.53100000000000003</v>
      </c>
      <c r="C199">
        <v>0.53</v>
      </c>
      <c r="D199">
        <v>0.56699999999999995</v>
      </c>
      <c r="E199">
        <v>0.53</v>
      </c>
      <c r="F199" s="21">
        <v>1.9E-3</v>
      </c>
    </row>
    <row r="200" spans="1:6" x14ac:dyDescent="0.35">
      <c r="A200" s="22">
        <v>44256</v>
      </c>
      <c r="B200">
        <v>0.53</v>
      </c>
      <c r="C200">
        <v>0.41699999999999998</v>
      </c>
      <c r="D200">
        <v>0.53</v>
      </c>
      <c r="E200">
        <v>0.41699999999999998</v>
      </c>
      <c r="F200" s="21">
        <v>0.27100000000000002</v>
      </c>
    </row>
    <row r="201" spans="1:6" x14ac:dyDescent="0.35">
      <c r="A201" s="22" t="s">
        <v>495</v>
      </c>
      <c r="B201">
        <v>0.41699999999999998</v>
      </c>
      <c r="C201">
        <v>0.39800000000000002</v>
      </c>
      <c r="D201">
        <v>0.41699999999999998</v>
      </c>
      <c r="E201">
        <v>0.39800000000000002</v>
      </c>
      <c r="F201" s="21">
        <v>4.7699999999999999E-2</v>
      </c>
    </row>
    <row r="202" spans="1:6" x14ac:dyDescent="0.35">
      <c r="A202" s="22" t="s">
        <v>497</v>
      </c>
      <c r="B202">
        <v>0.39800000000000002</v>
      </c>
      <c r="C202">
        <v>0.39600000000000002</v>
      </c>
      <c r="D202">
        <v>0.39800000000000002</v>
      </c>
      <c r="E202">
        <v>0.39</v>
      </c>
      <c r="F202" s="21">
        <v>5.1000000000000004E-3</v>
      </c>
    </row>
    <row r="203" spans="1:6" x14ac:dyDescent="0.35">
      <c r="A203" s="22" t="s">
        <v>498</v>
      </c>
      <c r="B203">
        <v>0.39600000000000002</v>
      </c>
      <c r="C203">
        <v>0.4</v>
      </c>
      <c r="D203">
        <v>0.40400000000000003</v>
      </c>
      <c r="E203">
        <v>0.39600000000000002</v>
      </c>
      <c r="F203" s="21">
        <v>-0.01</v>
      </c>
    </row>
    <row r="204" spans="1:6" x14ac:dyDescent="0.35">
      <c r="A204" s="22">
        <v>43994</v>
      </c>
      <c r="B204">
        <v>0.4</v>
      </c>
      <c r="C204">
        <v>0.40799999999999997</v>
      </c>
      <c r="D204">
        <v>0.40899999999999997</v>
      </c>
      <c r="E204">
        <v>0.4</v>
      </c>
      <c r="F204" s="21">
        <v>-1.9599999999999999E-2</v>
      </c>
    </row>
    <row r="205" spans="1:6" x14ac:dyDescent="0.35">
      <c r="A205" s="22" t="s">
        <v>499</v>
      </c>
      <c r="B205">
        <v>0.40799999999999997</v>
      </c>
      <c r="C205">
        <v>0.40699999999999997</v>
      </c>
      <c r="D205">
        <v>0.40799999999999997</v>
      </c>
      <c r="E205">
        <v>0.40600000000000003</v>
      </c>
      <c r="F205" s="21">
        <v>4.8999999999999998E-3</v>
      </c>
    </row>
    <row r="206" spans="1:6" x14ac:dyDescent="0.35">
      <c r="A206" s="22" t="s">
        <v>500</v>
      </c>
      <c r="B206">
        <v>0.40600000000000003</v>
      </c>
      <c r="C206">
        <v>0.42199999999999999</v>
      </c>
      <c r="D206">
        <v>0.42499999999999999</v>
      </c>
      <c r="E206">
        <v>0.40600000000000003</v>
      </c>
      <c r="F206" s="21">
        <v>-3.56E-2</v>
      </c>
    </row>
    <row r="207" spans="1:6" x14ac:dyDescent="0.35">
      <c r="A207" s="22" t="s">
        <v>502</v>
      </c>
      <c r="B207">
        <v>0.42099999999999999</v>
      </c>
      <c r="C207">
        <v>0.44800000000000001</v>
      </c>
      <c r="D207">
        <v>0.45100000000000001</v>
      </c>
      <c r="E207">
        <v>0.41399999999999998</v>
      </c>
      <c r="F207" s="21">
        <v>-6.2399999999999997E-2</v>
      </c>
    </row>
    <row r="208" spans="1:6" x14ac:dyDescent="0.35">
      <c r="A208" s="22">
        <v>44054</v>
      </c>
      <c r="B208">
        <v>0.44900000000000001</v>
      </c>
      <c r="C208">
        <v>0.45500000000000002</v>
      </c>
      <c r="D208">
        <v>0.45500000000000002</v>
      </c>
      <c r="E208">
        <v>0.44900000000000001</v>
      </c>
      <c r="F208" s="21">
        <v>-1.32E-2</v>
      </c>
    </row>
    <row r="209" spans="1:6" x14ac:dyDescent="0.35">
      <c r="A209" s="22">
        <v>43841</v>
      </c>
      <c r="B209">
        <v>0.45500000000000002</v>
      </c>
      <c r="C209">
        <v>0.46400000000000002</v>
      </c>
      <c r="D209">
        <v>0.46400000000000002</v>
      </c>
      <c r="E209">
        <v>0.45200000000000001</v>
      </c>
      <c r="F209" s="21">
        <v>0.18179999999999999</v>
      </c>
    </row>
    <row r="210" spans="1:6" x14ac:dyDescent="0.35">
      <c r="A210" s="22" t="s">
        <v>506</v>
      </c>
      <c r="B210">
        <v>0.38500000000000001</v>
      </c>
      <c r="C210">
        <v>0.39300000000000002</v>
      </c>
      <c r="D210">
        <v>0.39300000000000002</v>
      </c>
      <c r="E210">
        <v>0.38500000000000001</v>
      </c>
      <c r="F210" s="21">
        <v>-2.0400000000000001E-2</v>
      </c>
    </row>
    <row r="211" spans="1:6" x14ac:dyDescent="0.35">
      <c r="A211" s="22" t="s">
        <v>508</v>
      </c>
      <c r="B211">
        <v>0.39300000000000002</v>
      </c>
      <c r="C211">
        <v>0.38500000000000001</v>
      </c>
      <c r="D211">
        <v>0.39700000000000002</v>
      </c>
      <c r="E211">
        <v>0.38500000000000001</v>
      </c>
      <c r="F211" s="21">
        <v>1.8100000000000002E-2</v>
      </c>
    </row>
    <row r="212" spans="1:6" x14ac:dyDescent="0.35">
      <c r="A212" s="22">
        <v>44145</v>
      </c>
      <c r="B212">
        <v>0.38600000000000001</v>
      </c>
      <c r="C212">
        <v>0.4</v>
      </c>
      <c r="D212">
        <v>0.4</v>
      </c>
      <c r="E212">
        <v>0.38600000000000001</v>
      </c>
      <c r="F212" s="21">
        <v>-3.5000000000000003E-2</v>
      </c>
    </row>
    <row r="213" spans="1:6" x14ac:dyDescent="0.35">
      <c r="A213" s="22">
        <v>43931</v>
      </c>
      <c r="B213">
        <v>0.4</v>
      </c>
      <c r="C213">
        <v>0.42</v>
      </c>
      <c r="D213">
        <v>0.42</v>
      </c>
      <c r="E213">
        <v>0.4</v>
      </c>
      <c r="F213" s="21">
        <v>-4.99E-2</v>
      </c>
    </row>
    <row r="214" spans="1:6" x14ac:dyDescent="0.35">
      <c r="A214" s="22" t="s">
        <v>512</v>
      </c>
      <c r="B214">
        <v>0.42099999999999999</v>
      </c>
      <c r="C214">
        <v>0.51900000000000002</v>
      </c>
      <c r="D214">
        <v>0.51900000000000002</v>
      </c>
      <c r="E214">
        <v>0.42099999999999999</v>
      </c>
      <c r="F214" s="21">
        <v>-0.19040000000000001</v>
      </c>
    </row>
    <row r="215" spans="1:6" x14ac:dyDescent="0.35">
      <c r="A215" s="22" t="s">
        <v>514</v>
      </c>
      <c r="B215">
        <v>0.52</v>
      </c>
      <c r="C215">
        <v>0.51600000000000001</v>
      </c>
      <c r="D215">
        <v>0.53</v>
      </c>
      <c r="E215">
        <v>0.51600000000000001</v>
      </c>
      <c r="F215" s="21">
        <v>5.7999999999999996E-3</v>
      </c>
    </row>
    <row r="216" spans="1:6" x14ac:dyDescent="0.35">
      <c r="A216" s="22" t="s">
        <v>516</v>
      </c>
      <c r="B216">
        <v>0.51700000000000002</v>
      </c>
      <c r="C216">
        <v>0.53800000000000003</v>
      </c>
      <c r="D216">
        <v>0.53800000000000003</v>
      </c>
      <c r="E216">
        <v>0.51700000000000002</v>
      </c>
      <c r="F216" s="21">
        <v>-4.0800000000000003E-2</v>
      </c>
    </row>
    <row r="217" spans="1:6" x14ac:dyDescent="0.35">
      <c r="A217" s="22">
        <v>43991</v>
      </c>
      <c r="B217">
        <v>0.53900000000000003</v>
      </c>
      <c r="C217">
        <v>0.54700000000000004</v>
      </c>
      <c r="D217">
        <v>0.54700000000000004</v>
      </c>
      <c r="E217">
        <v>0.52700000000000002</v>
      </c>
      <c r="F217" s="21">
        <v>-1.6400000000000001E-2</v>
      </c>
    </row>
    <row r="218" spans="1:6" x14ac:dyDescent="0.35">
      <c r="A218" s="22" t="s">
        <v>519</v>
      </c>
      <c r="B218">
        <v>0.54800000000000004</v>
      </c>
      <c r="C218">
        <v>0.51100000000000001</v>
      </c>
      <c r="D218">
        <v>0.54800000000000004</v>
      </c>
      <c r="E218">
        <v>0.51100000000000001</v>
      </c>
      <c r="F218" s="21">
        <v>7.2400000000000006E-2</v>
      </c>
    </row>
    <row r="219" spans="1:6" x14ac:dyDescent="0.35">
      <c r="A219" s="22" t="s">
        <v>521</v>
      </c>
      <c r="B219">
        <v>0.51100000000000001</v>
      </c>
      <c r="C219">
        <v>0.51500000000000001</v>
      </c>
      <c r="D219">
        <v>0.53100000000000003</v>
      </c>
      <c r="E219">
        <v>0.51100000000000001</v>
      </c>
      <c r="F219" s="21">
        <v>-7.7999999999999996E-3</v>
      </c>
    </row>
    <row r="220" spans="1:6" x14ac:dyDescent="0.35">
      <c r="A220" s="22" t="s">
        <v>523</v>
      </c>
      <c r="B220">
        <v>0.51500000000000001</v>
      </c>
      <c r="C220">
        <v>0.53</v>
      </c>
      <c r="D220">
        <v>0.53</v>
      </c>
      <c r="E220">
        <v>0.51500000000000001</v>
      </c>
      <c r="F220" s="21">
        <v>-3.0099999999999998E-2</v>
      </c>
    </row>
    <row r="221" spans="1:6" x14ac:dyDescent="0.35">
      <c r="A221" s="22">
        <v>44082</v>
      </c>
      <c r="B221">
        <v>0.53100000000000003</v>
      </c>
      <c r="C221">
        <v>0.57599999999999996</v>
      </c>
      <c r="D221">
        <v>0.59799999999999998</v>
      </c>
      <c r="E221">
        <v>0.51</v>
      </c>
      <c r="F221" s="21">
        <v>-7.8100000000000003E-2</v>
      </c>
    </row>
    <row r="222" spans="1:6" x14ac:dyDescent="0.35">
      <c r="A222" s="22">
        <v>43869</v>
      </c>
      <c r="B222">
        <v>0.57599999999999996</v>
      </c>
      <c r="C222">
        <v>0.58699999999999997</v>
      </c>
      <c r="D222">
        <v>0.59</v>
      </c>
      <c r="E222">
        <v>0.57599999999999996</v>
      </c>
      <c r="F222" s="21">
        <v>-1.8700000000000001E-2</v>
      </c>
    </row>
    <row r="223" spans="1:6" x14ac:dyDescent="0.35">
      <c r="A223" s="22" t="s">
        <v>526</v>
      </c>
      <c r="B223">
        <v>0.58699999999999997</v>
      </c>
      <c r="C223">
        <v>0.58499999999999996</v>
      </c>
      <c r="D223">
        <v>0.59699999999999998</v>
      </c>
      <c r="E223">
        <v>0.58499999999999996</v>
      </c>
      <c r="F223" s="21">
        <v>3.3999999999999998E-3</v>
      </c>
    </row>
    <row r="224" spans="1:6" x14ac:dyDescent="0.35">
      <c r="A224" s="22" t="s">
        <v>528</v>
      </c>
      <c r="B224">
        <v>0.58499999999999996</v>
      </c>
      <c r="C224">
        <v>0.59499999999999997</v>
      </c>
      <c r="D224">
        <v>0.60199999999999998</v>
      </c>
      <c r="E224">
        <v>0.58499999999999996</v>
      </c>
      <c r="F224" s="21">
        <v>-1.6799999999999999E-2</v>
      </c>
    </row>
    <row r="225" spans="1:6" x14ac:dyDescent="0.35">
      <c r="A225" s="22">
        <v>44172</v>
      </c>
      <c r="B225">
        <v>0.59499999999999997</v>
      </c>
      <c r="C225">
        <v>0.78800000000000003</v>
      </c>
      <c r="D225">
        <v>0.78800000000000003</v>
      </c>
      <c r="E225">
        <v>0.58799999999999997</v>
      </c>
      <c r="F225" s="21">
        <v>-0.24490000000000001</v>
      </c>
    </row>
    <row r="226" spans="1:6" x14ac:dyDescent="0.35">
      <c r="A226" s="22">
        <v>43958</v>
      </c>
      <c r="B226">
        <v>0.78800000000000003</v>
      </c>
      <c r="C226">
        <v>0.88600000000000001</v>
      </c>
      <c r="D226">
        <v>0.90800000000000003</v>
      </c>
      <c r="E226">
        <v>0.78800000000000003</v>
      </c>
      <c r="F226" s="21">
        <v>-0.11260000000000001</v>
      </c>
    </row>
    <row r="227" spans="1:6" x14ac:dyDescent="0.35">
      <c r="A227" s="22" t="s">
        <v>531</v>
      </c>
      <c r="B227">
        <v>0.88800000000000001</v>
      </c>
      <c r="C227">
        <v>0.88600000000000001</v>
      </c>
      <c r="D227">
        <v>0.89300000000000002</v>
      </c>
      <c r="E227">
        <v>0.88600000000000001</v>
      </c>
      <c r="F227" s="21">
        <v>1.1000000000000001E-3</v>
      </c>
    </row>
    <row r="228" spans="1:6" x14ac:dyDescent="0.35">
      <c r="A228" s="22" t="s">
        <v>533</v>
      </c>
      <c r="B228">
        <v>0.88700000000000001</v>
      </c>
      <c r="C228">
        <v>0.93</v>
      </c>
      <c r="D228">
        <v>0.93</v>
      </c>
      <c r="E228">
        <v>0.88700000000000001</v>
      </c>
      <c r="F228" s="21">
        <v>-4.7300000000000002E-2</v>
      </c>
    </row>
    <row r="229" spans="1:6" x14ac:dyDescent="0.35">
      <c r="A229" s="22" t="s">
        <v>534</v>
      </c>
      <c r="B229">
        <v>0.93100000000000005</v>
      </c>
      <c r="C229">
        <v>0.96099999999999997</v>
      </c>
      <c r="D229">
        <v>0.96899999999999997</v>
      </c>
      <c r="E229">
        <v>0.91</v>
      </c>
      <c r="F229" s="21">
        <v>-3.2199999999999999E-2</v>
      </c>
    </row>
    <row r="230" spans="1:6" x14ac:dyDescent="0.35">
      <c r="A230" s="22">
        <v>44018</v>
      </c>
      <c r="B230">
        <v>0.96199999999999997</v>
      </c>
      <c r="C230">
        <v>1.262</v>
      </c>
      <c r="D230">
        <v>1.262</v>
      </c>
      <c r="E230">
        <v>0.96199999999999997</v>
      </c>
      <c r="F230" s="21">
        <v>-0.23769999999999999</v>
      </c>
    </row>
    <row r="231" spans="1:6" x14ac:dyDescent="0.35">
      <c r="A231" s="22" t="s">
        <v>536</v>
      </c>
      <c r="B231">
        <v>1.262</v>
      </c>
      <c r="C231">
        <v>1.4019999999999999</v>
      </c>
      <c r="D231">
        <v>1.4019999999999999</v>
      </c>
      <c r="E231">
        <v>1.26</v>
      </c>
      <c r="F231" s="21">
        <v>-0.1011</v>
      </c>
    </row>
    <row r="232" spans="1:6" x14ac:dyDescent="0.35">
      <c r="A232" s="22" t="s">
        <v>538</v>
      </c>
      <c r="B232">
        <v>1.4039999999999999</v>
      </c>
      <c r="C232">
        <v>1.3520000000000001</v>
      </c>
      <c r="D232">
        <v>1.4039999999999999</v>
      </c>
      <c r="E232">
        <v>1.3520000000000001</v>
      </c>
      <c r="F232" s="21">
        <v>3.7699999999999997E-2</v>
      </c>
    </row>
    <row r="233" spans="1:6" x14ac:dyDescent="0.35">
      <c r="A233" s="22" t="s">
        <v>540</v>
      </c>
      <c r="B233">
        <v>1.353</v>
      </c>
      <c r="C233">
        <v>1.7330000000000001</v>
      </c>
      <c r="D233">
        <v>1.7330000000000001</v>
      </c>
      <c r="E233">
        <v>1.353</v>
      </c>
      <c r="F233" s="21">
        <v>-0.21970000000000001</v>
      </c>
    </row>
    <row r="234" spans="1:6" x14ac:dyDescent="0.35">
      <c r="A234" s="22">
        <v>44109</v>
      </c>
      <c r="B234">
        <v>1.734</v>
      </c>
      <c r="C234">
        <v>1.7589999999999999</v>
      </c>
      <c r="D234">
        <v>1.7589999999999999</v>
      </c>
      <c r="E234">
        <v>1.7070000000000001</v>
      </c>
      <c r="F234" s="21">
        <v>-1.4200000000000001E-2</v>
      </c>
    </row>
    <row r="235" spans="1:6" x14ac:dyDescent="0.35">
      <c r="A235" s="22">
        <v>43895</v>
      </c>
      <c r="B235">
        <v>1.7589999999999999</v>
      </c>
      <c r="C235">
        <v>1.964</v>
      </c>
      <c r="D235">
        <v>1.99</v>
      </c>
      <c r="E235">
        <v>1.7589999999999999</v>
      </c>
      <c r="F235" s="21">
        <v>-9.1899999999999996E-2</v>
      </c>
    </row>
    <row r="236" spans="1:6" x14ac:dyDescent="0.35">
      <c r="A236" s="22" t="s">
        <v>541</v>
      </c>
      <c r="B236">
        <v>1.9370000000000001</v>
      </c>
      <c r="C236">
        <v>2.0129999999999999</v>
      </c>
      <c r="D236">
        <v>2.0129999999999999</v>
      </c>
      <c r="E236">
        <v>1.92</v>
      </c>
      <c r="F236" s="21">
        <v>-3.8199999999999998E-2</v>
      </c>
    </row>
    <row r="237" spans="1:6" x14ac:dyDescent="0.35">
      <c r="A237" s="22" t="s">
        <v>543</v>
      </c>
      <c r="B237">
        <v>2.0139999999999998</v>
      </c>
      <c r="C237">
        <v>2.1259999999999999</v>
      </c>
      <c r="D237">
        <v>2.15</v>
      </c>
      <c r="E237">
        <v>2.0139999999999998</v>
      </c>
      <c r="F237" s="21">
        <v>-5.2699999999999997E-2</v>
      </c>
    </row>
    <row r="238" spans="1:6" x14ac:dyDescent="0.35">
      <c r="A238" s="22">
        <v>44169</v>
      </c>
      <c r="B238">
        <v>2.1259999999999999</v>
      </c>
      <c r="C238">
        <v>2.3180000000000001</v>
      </c>
      <c r="D238">
        <v>2.3180000000000001</v>
      </c>
      <c r="E238">
        <v>2.1259999999999999</v>
      </c>
      <c r="F238" s="21">
        <v>-8.2799999999999999E-2</v>
      </c>
    </row>
    <row r="239" spans="1:6" x14ac:dyDescent="0.35">
      <c r="A239" s="22">
        <v>43955</v>
      </c>
      <c r="B239">
        <v>2.3180000000000001</v>
      </c>
      <c r="C239">
        <v>2.7679999999999998</v>
      </c>
      <c r="D239">
        <v>2.7679999999999998</v>
      </c>
      <c r="E239">
        <v>2.2250000000000001</v>
      </c>
      <c r="F239" s="21">
        <v>-0.16259999999999999</v>
      </c>
    </row>
    <row r="240" spans="1:6" x14ac:dyDescent="0.35">
      <c r="A240" s="22" t="s">
        <v>547</v>
      </c>
      <c r="B240">
        <v>2.7679999999999998</v>
      </c>
      <c r="C240">
        <v>2.2749999999999999</v>
      </c>
      <c r="D240">
        <v>2.7970000000000002</v>
      </c>
      <c r="E240">
        <v>2.2749999999999999</v>
      </c>
      <c r="F240" s="21">
        <v>0.2167</v>
      </c>
    </row>
    <row r="241" spans="1:6" x14ac:dyDescent="0.35">
      <c r="A241" s="22" t="s">
        <v>549</v>
      </c>
      <c r="B241">
        <v>2.2749999999999999</v>
      </c>
      <c r="C241">
        <v>1.899</v>
      </c>
      <c r="D241">
        <v>2.2749999999999999</v>
      </c>
      <c r="E241">
        <v>1.899</v>
      </c>
      <c r="F241" s="21">
        <v>0.1993</v>
      </c>
    </row>
    <row r="242" spans="1:6" x14ac:dyDescent="0.35">
      <c r="A242" s="22" t="s">
        <v>551</v>
      </c>
      <c r="B242">
        <v>1.897</v>
      </c>
      <c r="C242">
        <v>1.6679999999999999</v>
      </c>
      <c r="D242">
        <v>1.8979999999999999</v>
      </c>
      <c r="E242">
        <v>1.6679999999999999</v>
      </c>
      <c r="F242" s="21">
        <v>0.13730000000000001</v>
      </c>
    </row>
    <row r="243" spans="1:6" x14ac:dyDescent="0.35">
      <c r="A243" s="22">
        <v>44046</v>
      </c>
      <c r="B243">
        <v>1.6679999999999999</v>
      </c>
      <c r="C243">
        <v>1.5269999999999999</v>
      </c>
      <c r="D243">
        <v>1.776</v>
      </c>
      <c r="E243">
        <v>1.5269999999999999</v>
      </c>
      <c r="F243" s="21">
        <v>9.2299999999999993E-2</v>
      </c>
    </row>
    <row r="244" spans="1:6" x14ac:dyDescent="0.35">
      <c r="A244" s="22">
        <v>43833</v>
      </c>
      <c r="B244">
        <v>1.5269999999999999</v>
      </c>
      <c r="C244">
        <v>1.889</v>
      </c>
      <c r="D244">
        <v>1.889</v>
      </c>
      <c r="E244">
        <v>1.5269999999999999</v>
      </c>
      <c r="F244" s="21">
        <v>-0.19159999999999999</v>
      </c>
    </row>
    <row r="245" spans="1:6" x14ac:dyDescent="0.35">
      <c r="A245" s="22" t="s">
        <v>554</v>
      </c>
      <c r="B245">
        <v>1.889</v>
      </c>
      <c r="C245">
        <v>1.8859999999999999</v>
      </c>
      <c r="D245">
        <v>1.9970000000000001</v>
      </c>
      <c r="E245">
        <v>1.8859999999999999</v>
      </c>
      <c r="F245" s="21">
        <v>1.6000000000000001E-3</v>
      </c>
    </row>
    <row r="246" spans="1:6" x14ac:dyDescent="0.35">
      <c r="A246" s="22" t="s">
        <v>556</v>
      </c>
      <c r="B246">
        <v>1.8859999999999999</v>
      </c>
      <c r="C246">
        <v>1.9259999999999999</v>
      </c>
      <c r="D246">
        <v>1.9259999999999999</v>
      </c>
      <c r="E246">
        <v>1.835</v>
      </c>
      <c r="F246" s="21">
        <v>-2.0799999999999999E-2</v>
      </c>
    </row>
    <row r="247" spans="1:6" x14ac:dyDescent="0.35">
      <c r="A247" s="22">
        <v>44076</v>
      </c>
      <c r="B247">
        <v>1.9259999999999999</v>
      </c>
      <c r="C247">
        <v>1.893</v>
      </c>
      <c r="D247">
        <v>2.0049999999999999</v>
      </c>
      <c r="E247">
        <v>1.893</v>
      </c>
      <c r="F247" s="21">
        <v>1.7399999999999999E-2</v>
      </c>
    </row>
    <row r="248" spans="1:6" x14ac:dyDescent="0.35">
      <c r="A248" s="22">
        <v>43863</v>
      </c>
      <c r="B248">
        <v>1.893</v>
      </c>
      <c r="C248">
        <v>1.72</v>
      </c>
      <c r="D248">
        <v>2.0329999999999999</v>
      </c>
      <c r="E248">
        <v>1.72</v>
      </c>
      <c r="F248" s="21">
        <v>0.10059999999999999</v>
      </c>
    </row>
    <row r="249" spans="1:6" x14ac:dyDescent="0.35">
      <c r="A249" s="22" t="s">
        <v>560</v>
      </c>
      <c r="B249">
        <v>1.72</v>
      </c>
      <c r="C249">
        <v>1.36</v>
      </c>
      <c r="D249">
        <v>1.72</v>
      </c>
      <c r="E249">
        <v>1.36</v>
      </c>
      <c r="F249" s="21">
        <v>0.26279999999999998</v>
      </c>
    </row>
    <row r="250" spans="1:6" x14ac:dyDescent="0.35">
      <c r="A250" s="22" t="s">
        <v>562</v>
      </c>
      <c r="B250">
        <v>1.3620000000000001</v>
      </c>
      <c r="C250">
        <v>1.258</v>
      </c>
      <c r="D250">
        <v>1.3620000000000001</v>
      </c>
      <c r="E250">
        <v>1.258</v>
      </c>
      <c r="F250" s="21">
        <v>8.2699999999999996E-2</v>
      </c>
    </row>
    <row r="251" spans="1:6" x14ac:dyDescent="0.35">
      <c r="A251" s="22">
        <v>44166</v>
      </c>
      <c r="B251">
        <v>1.258</v>
      </c>
      <c r="C251">
        <v>1.4810000000000001</v>
      </c>
      <c r="D251">
        <v>1.486</v>
      </c>
      <c r="E251">
        <v>1.2470000000000001</v>
      </c>
      <c r="F251" s="21">
        <v>-0.15110000000000001</v>
      </c>
    </row>
    <row r="252" spans="1:6" x14ac:dyDescent="0.35">
      <c r="A252" s="22">
        <v>43952</v>
      </c>
      <c r="B252">
        <v>1.482</v>
      </c>
      <c r="C252">
        <v>1.659</v>
      </c>
      <c r="D252">
        <v>1.659</v>
      </c>
      <c r="E252">
        <v>1.482</v>
      </c>
      <c r="F252" s="21">
        <v>-0.1067</v>
      </c>
    </row>
    <row r="253" spans="1:6" x14ac:dyDescent="0.35">
      <c r="A253" s="22" t="s">
        <v>566</v>
      </c>
      <c r="B253">
        <v>1.659</v>
      </c>
      <c r="C253">
        <v>1.7150000000000001</v>
      </c>
      <c r="D253">
        <v>1.7150000000000001</v>
      </c>
      <c r="E253">
        <v>1.659</v>
      </c>
      <c r="F253" s="21">
        <v>-3.27E-2</v>
      </c>
    </row>
    <row r="254" spans="1:6" x14ac:dyDescent="0.35">
      <c r="A254" s="22" t="s">
        <v>568</v>
      </c>
      <c r="B254">
        <v>1.7150000000000001</v>
      </c>
      <c r="C254">
        <v>1.667</v>
      </c>
      <c r="D254">
        <v>1.7150000000000001</v>
      </c>
      <c r="E254">
        <v>1.667</v>
      </c>
      <c r="F254" s="21">
        <v>2.1399999999999999E-2</v>
      </c>
    </row>
    <row r="255" spans="1:6" x14ac:dyDescent="0.35">
      <c r="A255" s="22" t="s">
        <v>570</v>
      </c>
      <c r="B255">
        <v>1.679</v>
      </c>
      <c r="C255">
        <v>1.8220000000000001</v>
      </c>
      <c r="D255">
        <v>1.8220000000000001</v>
      </c>
      <c r="E255">
        <v>1.679</v>
      </c>
      <c r="F255" s="21">
        <v>-7.9500000000000001E-2</v>
      </c>
    </row>
    <row r="256" spans="1:6" x14ac:dyDescent="0.35">
      <c r="A256" s="22">
        <v>43689</v>
      </c>
      <c r="B256">
        <v>1.8240000000000001</v>
      </c>
      <c r="C256">
        <v>1.8109999999999999</v>
      </c>
      <c r="D256">
        <v>1.875</v>
      </c>
      <c r="E256">
        <v>1.8109999999999999</v>
      </c>
      <c r="F256" s="21">
        <v>6.6E-3</v>
      </c>
    </row>
    <row r="257" spans="1:6" x14ac:dyDescent="0.35">
      <c r="A257" s="22">
        <v>43477</v>
      </c>
      <c r="B257">
        <v>1.8120000000000001</v>
      </c>
      <c r="C257">
        <v>2.2269999999999999</v>
      </c>
      <c r="D257">
        <v>2.2869999999999999</v>
      </c>
      <c r="E257">
        <v>1.8120000000000001</v>
      </c>
      <c r="F257" s="21">
        <v>-0.18629999999999999</v>
      </c>
    </row>
    <row r="258" spans="1:6" x14ac:dyDescent="0.35">
      <c r="A258" s="22" t="s">
        <v>572</v>
      </c>
      <c r="B258">
        <v>2.2269999999999999</v>
      </c>
      <c r="C258">
        <v>2.3109999999999999</v>
      </c>
      <c r="D258">
        <v>2.3690000000000002</v>
      </c>
      <c r="E258">
        <v>2.15</v>
      </c>
      <c r="F258" s="21">
        <v>-3.6799999999999999E-2</v>
      </c>
    </row>
    <row r="259" spans="1:6" x14ac:dyDescent="0.35">
      <c r="A259" s="22" t="s">
        <v>574</v>
      </c>
      <c r="B259">
        <v>2.3119999999999998</v>
      </c>
      <c r="C259">
        <v>1.978</v>
      </c>
      <c r="D259">
        <v>2.3130000000000002</v>
      </c>
      <c r="E259">
        <v>1.875</v>
      </c>
      <c r="F259" s="21">
        <v>0.16830000000000001</v>
      </c>
    </row>
    <row r="260" spans="1:6" x14ac:dyDescent="0.35">
      <c r="A260" s="22">
        <v>43749</v>
      </c>
      <c r="B260">
        <v>1.9790000000000001</v>
      </c>
      <c r="C260">
        <v>2.3260000000000001</v>
      </c>
      <c r="D260">
        <v>2.3610000000000002</v>
      </c>
      <c r="E260">
        <v>1.9790000000000001</v>
      </c>
      <c r="F260" s="21">
        <v>-0.1492</v>
      </c>
    </row>
    <row r="261" spans="1:6" x14ac:dyDescent="0.35">
      <c r="A261" s="22">
        <v>43535</v>
      </c>
      <c r="B261">
        <v>2.3260000000000001</v>
      </c>
      <c r="C261">
        <v>2.3159999999999998</v>
      </c>
      <c r="D261">
        <v>2.4529999999999998</v>
      </c>
      <c r="E261">
        <v>2.2189999999999999</v>
      </c>
      <c r="F261" s="21">
        <v>4.3E-3</v>
      </c>
    </row>
    <row r="262" spans="1:6" x14ac:dyDescent="0.35">
      <c r="A262" s="22" t="s">
        <v>578</v>
      </c>
      <c r="B262">
        <v>2.3159999999999998</v>
      </c>
      <c r="C262">
        <v>2.5030000000000001</v>
      </c>
      <c r="D262">
        <v>2.5430000000000001</v>
      </c>
      <c r="E262">
        <v>2.2970000000000002</v>
      </c>
      <c r="F262" s="21">
        <v>-7.4700000000000003E-2</v>
      </c>
    </row>
    <row r="263" spans="1:6" x14ac:dyDescent="0.35">
      <c r="A263" s="22" t="s">
        <v>579</v>
      </c>
      <c r="B263">
        <v>2.5030000000000001</v>
      </c>
      <c r="C263">
        <v>2.6419999999999999</v>
      </c>
      <c r="D263">
        <v>2.6419999999999999</v>
      </c>
      <c r="E263">
        <v>2.4510000000000001</v>
      </c>
      <c r="F263" s="21">
        <v>-5.2600000000000001E-2</v>
      </c>
    </row>
    <row r="264" spans="1:6" x14ac:dyDescent="0.35">
      <c r="A264" s="22" t="s">
        <v>581</v>
      </c>
      <c r="B264">
        <v>2.6419999999999999</v>
      </c>
      <c r="C264">
        <v>2.7839999999999998</v>
      </c>
      <c r="D264">
        <v>2.7839999999999998</v>
      </c>
      <c r="E264">
        <v>2.585</v>
      </c>
      <c r="F264" s="21">
        <v>-5.1299999999999998E-2</v>
      </c>
    </row>
    <row r="265" spans="1:6" x14ac:dyDescent="0.35">
      <c r="A265" s="22">
        <v>43626</v>
      </c>
      <c r="B265">
        <v>2.7850000000000001</v>
      </c>
      <c r="C265">
        <v>2.8820000000000001</v>
      </c>
      <c r="D265">
        <v>2.8820000000000001</v>
      </c>
      <c r="E265">
        <v>2.766</v>
      </c>
      <c r="F265" s="21">
        <v>-3.3700000000000001E-2</v>
      </c>
    </row>
    <row r="266" spans="1:6" x14ac:dyDescent="0.35">
      <c r="A266" s="22" t="s">
        <v>584</v>
      </c>
      <c r="B266">
        <v>2.8820000000000001</v>
      </c>
      <c r="C266">
        <v>2.91</v>
      </c>
      <c r="D266">
        <v>2.956</v>
      </c>
      <c r="E266">
        <v>2.8820000000000001</v>
      </c>
      <c r="F266" s="21">
        <v>-9.5999999999999992E-3</v>
      </c>
    </row>
    <row r="267" spans="1:6" x14ac:dyDescent="0.35">
      <c r="A267" s="22" t="s">
        <v>586</v>
      </c>
      <c r="B267">
        <v>2.91</v>
      </c>
      <c r="C267">
        <v>2.8180000000000001</v>
      </c>
      <c r="D267">
        <v>2.91</v>
      </c>
      <c r="E267">
        <v>2.8180000000000001</v>
      </c>
      <c r="F267" s="21">
        <v>3.2300000000000002E-2</v>
      </c>
    </row>
    <row r="268" spans="1:6" x14ac:dyDescent="0.35">
      <c r="A268" s="22" t="s">
        <v>588</v>
      </c>
      <c r="B268">
        <v>2.819</v>
      </c>
      <c r="C268">
        <v>2.73</v>
      </c>
      <c r="D268">
        <v>2.8420000000000001</v>
      </c>
      <c r="E268">
        <v>2.73</v>
      </c>
      <c r="F268" s="21">
        <v>3.2599999999999997E-2</v>
      </c>
    </row>
    <row r="269" spans="1:6" x14ac:dyDescent="0.35">
      <c r="A269" s="22">
        <v>43686</v>
      </c>
      <c r="B269">
        <v>2.73</v>
      </c>
      <c r="C269">
        <v>2.8719999999999999</v>
      </c>
      <c r="D269">
        <v>2.923</v>
      </c>
      <c r="E269">
        <v>2.73</v>
      </c>
      <c r="F269" s="21">
        <v>-4.9799999999999997E-2</v>
      </c>
    </row>
    <row r="270" spans="1:6" x14ac:dyDescent="0.35">
      <c r="A270" s="22">
        <v>43474</v>
      </c>
      <c r="B270">
        <v>2.8730000000000002</v>
      </c>
      <c r="C270">
        <v>2.879</v>
      </c>
      <c r="D270">
        <v>2.8860000000000001</v>
      </c>
      <c r="E270">
        <v>2.8660000000000001</v>
      </c>
      <c r="F270" s="21">
        <v>-2.0999999999999999E-3</v>
      </c>
    </row>
    <row r="271" spans="1:6" x14ac:dyDescent="0.35">
      <c r="A271" s="22" t="s">
        <v>592</v>
      </c>
      <c r="B271">
        <v>2.879</v>
      </c>
      <c r="C271">
        <v>2.851</v>
      </c>
      <c r="D271">
        <v>2.9969999999999999</v>
      </c>
      <c r="E271">
        <v>2.851</v>
      </c>
      <c r="F271" s="21">
        <v>9.7999999999999997E-3</v>
      </c>
    </row>
    <row r="272" spans="1:6" x14ac:dyDescent="0.35">
      <c r="A272" s="22" t="s">
        <v>594</v>
      </c>
      <c r="B272">
        <v>2.851</v>
      </c>
      <c r="C272">
        <v>2.952</v>
      </c>
      <c r="D272">
        <v>2.9670000000000001</v>
      </c>
      <c r="E272">
        <v>2.851</v>
      </c>
      <c r="F272" s="21">
        <v>-3.3599999999999998E-2</v>
      </c>
    </row>
    <row r="273" spans="1:6" x14ac:dyDescent="0.35">
      <c r="A273" s="22">
        <v>43777</v>
      </c>
      <c r="B273">
        <v>2.95</v>
      </c>
      <c r="C273">
        <v>3.08</v>
      </c>
      <c r="D273">
        <v>3.08</v>
      </c>
      <c r="E273">
        <v>2.94</v>
      </c>
      <c r="F273" s="21">
        <v>-4.6800000000000001E-2</v>
      </c>
    </row>
    <row r="274" spans="1:6" x14ac:dyDescent="0.35">
      <c r="A274" s="22">
        <v>43563</v>
      </c>
      <c r="B274">
        <v>3.0950000000000002</v>
      </c>
      <c r="C274">
        <v>3.0619999999999998</v>
      </c>
      <c r="D274">
        <v>3.1040000000000001</v>
      </c>
      <c r="E274">
        <v>3.0539999999999998</v>
      </c>
      <c r="F274" s="21">
        <v>1.0800000000000001E-2</v>
      </c>
    </row>
    <row r="275" spans="1:6" x14ac:dyDescent="0.35">
      <c r="A275" s="22" t="s">
        <v>598</v>
      </c>
      <c r="B275">
        <v>3.0619999999999998</v>
      </c>
      <c r="C275">
        <v>3.0630000000000002</v>
      </c>
      <c r="D275">
        <v>3.1139999999999999</v>
      </c>
      <c r="E275">
        <v>3.0430000000000001</v>
      </c>
      <c r="F275" s="21">
        <v>-6.9999999999999999E-4</v>
      </c>
    </row>
    <row r="276" spans="1:6" x14ac:dyDescent="0.35">
      <c r="A276" s="22" t="s">
        <v>600</v>
      </c>
      <c r="B276">
        <v>3.0640000000000001</v>
      </c>
      <c r="C276">
        <v>2.9769999999999999</v>
      </c>
      <c r="D276">
        <v>3.0819999999999999</v>
      </c>
      <c r="E276">
        <v>2.9769999999999999</v>
      </c>
      <c r="F276" s="21">
        <v>2.8899999999999999E-2</v>
      </c>
    </row>
    <row r="277" spans="1:6" x14ac:dyDescent="0.35">
      <c r="A277" s="22" t="s">
        <v>602</v>
      </c>
      <c r="B277">
        <v>2.9780000000000002</v>
      </c>
      <c r="C277">
        <v>3.2549999999999999</v>
      </c>
      <c r="D277">
        <v>3.2549999999999999</v>
      </c>
      <c r="E277">
        <v>2.9780000000000002</v>
      </c>
      <c r="F277" s="21">
        <v>-8.5400000000000004E-2</v>
      </c>
    </row>
    <row r="278" spans="1:6" x14ac:dyDescent="0.35">
      <c r="A278" s="22">
        <v>43653</v>
      </c>
      <c r="B278">
        <v>3.2559999999999998</v>
      </c>
      <c r="C278">
        <v>3.4079999999999999</v>
      </c>
      <c r="D278">
        <v>3.4079999999999999</v>
      </c>
      <c r="E278">
        <v>3.2559999999999998</v>
      </c>
      <c r="F278" s="21">
        <v>-4.3999999999999997E-2</v>
      </c>
    </row>
    <row r="279" spans="1:6" x14ac:dyDescent="0.35">
      <c r="A279" s="22" t="s">
        <v>605</v>
      </c>
      <c r="B279">
        <v>3.4060000000000001</v>
      </c>
      <c r="C279">
        <v>3.504</v>
      </c>
      <c r="D279">
        <v>3.504</v>
      </c>
      <c r="E279">
        <v>3.4060000000000001</v>
      </c>
      <c r="F279" s="21">
        <v>-2.7099999999999999E-2</v>
      </c>
    </row>
    <row r="280" spans="1:6" x14ac:dyDescent="0.35">
      <c r="A280" s="22" t="s">
        <v>607</v>
      </c>
      <c r="B280">
        <v>3.5009999999999999</v>
      </c>
      <c r="C280">
        <v>3.52</v>
      </c>
      <c r="D280">
        <v>3.5310000000000001</v>
      </c>
      <c r="E280">
        <v>3.5009999999999999</v>
      </c>
      <c r="F280" s="21">
        <v>-5.7000000000000002E-3</v>
      </c>
    </row>
    <row r="281" spans="1:6" x14ac:dyDescent="0.35">
      <c r="A281" s="22" t="s">
        <v>609</v>
      </c>
      <c r="B281">
        <v>3.5209999999999999</v>
      </c>
      <c r="C281">
        <v>3.4929999999999999</v>
      </c>
      <c r="D281">
        <v>3.5209999999999999</v>
      </c>
      <c r="E281">
        <v>3.4820000000000002</v>
      </c>
      <c r="F281" s="21">
        <v>7.7000000000000002E-3</v>
      </c>
    </row>
    <row r="282" spans="1:6" x14ac:dyDescent="0.35">
      <c r="A282" s="22">
        <v>43714</v>
      </c>
      <c r="B282">
        <v>3.4940000000000002</v>
      </c>
      <c r="C282">
        <v>3.4470000000000001</v>
      </c>
      <c r="D282">
        <v>3.4940000000000002</v>
      </c>
      <c r="E282">
        <v>3.4470000000000001</v>
      </c>
      <c r="F282" s="21">
        <v>1.3299999999999999E-2</v>
      </c>
    </row>
    <row r="283" spans="1:6" x14ac:dyDescent="0.35">
      <c r="A283" s="22">
        <v>43502</v>
      </c>
      <c r="B283">
        <v>3.448</v>
      </c>
      <c r="C283">
        <v>3.4550000000000001</v>
      </c>
      <c r="D283">
        <v>3.4620000000000002</v>
      </c>
      <c r="E283">
        <v>3.448</v>
      </c>
      <c r="F283" s="21">
        <v>-2.3E-3</v>
      </c>
    </row>
    <row r="284" spans="1:6" x14ac:dyDescent="0.35">
      <c r="A284" s="22" t="s">
        <v>613</v>
      </c>
      <c r="B284">
        <v>3.456</v>
      </c>
      <c r="C284">
        <v>3.476</v>
      </c>
      <c r="D284">
        <v>3.4780000000000002</v>
      </c>
      <c r="E284">
        <v>3.456</v>
      </c>
      <c r="F284" s="21">
        <v>-6.0000000000000001E-3</v>
      </c>
    </row>
    <row r="285" spans="1:6" x14ac:dyDescent="0.35">
      <c r="A285" s="22" t="s">
        <v>615</v>
      </c>
      <c r="B285">
        <v>3.4769999999999999</v>
      </c>
      <c r="C285">
        <v>3.4849999999999999</v>
      </c>
      <c r="D285">
        <v>3.5190000000000001</v>
      </c>
      <c r="E285">
        <v>3.464</v>
      </c>
      <c r="F285" s="21">
        <v>-2.5999999999999999E-3</v>
      </c>
    </row>
    <row r="286" spans="1:6" x14ac:dyDescent="0.35">
      <c r="A286" s="22">
        <v>43804</v>
      </c>
      <c r="B286">
        <v>3.4860000000000002</v>
      </c>
      <c r="C286">
        <v>3.552</v>
      </c>
      <c r="D286">
        <v>3.552</v>
      </c>
      <c r="E286">
        <v>3.4860000000000002</v>
      </c>
      <c r="F286" s="21">
        <v>-1.8599999999999998E-2</v>
      </c>
    </row>
    <row r="287" spans="1:6" x14ac:dyDescent="0.35">
      <c r="A287" s="22">
        <v>43590</v>
      </c>
      <c r="B287">
        <v>3.552</v>
      </c>
      <c r="C287">
        <v>3.536</v>
      </c>
      <c r="D287">
        <v>3.6</v>
      </c>
      <c r="E287">
        <v>3.536</v>
      </c>
      <c r="F287" s="21">
        <v>4.4999999999999997E-3</v>
      </c>
    </row>
    <row r="288" spans="1:6" x14ac:dyDescent="0.35">
      <c r="A288" s="22" t="s">
        <v>619</v>
      </c>
      <c r="B288">
        <v>3.536</v>
      </c>
      <c r="C288">
        <v>3.5030000000000001</v>
      </c>
      <c r="D288">
        <v>3.536</v>
      </c>
      <c r="E288">
        <v>3.5030000000000001</v>
      </c>
      <c r="F288" s="21">
        <v>9.7000000000000003E-3</v>
      </c>
    </row>
    <row r="289" spans="1:6" x14ac:dyDescent="0.35">
      <c r="A289" s="22" t="s">
        <v>621</v>
      </c>
      <c r="B289">
        <v>3.5019999999999998</v>
      </c>
      <c r="C289">
        <v>3.516</v>
      </c>
      <c r="D289">
        <v>3.5270000000000001</v>
      </c>
      <c r="E289">
        <v>3.4750000000000001</v>
      </c>
      <c r="F289" s="21">
        <v>-4.0000000000000001E-3</v>
      </c>
    </row>
    <row r="290" spans="1:6" x14ac:dyDescent="0.35">
      <c r="A290" s="22" t="s">
        <v>623</v>
      </c>
      <c r="B290">
        <v>3.516</v>
      </c>
      <c r="C290">
        <v>3.6160000000000001</v>
      </c>
      <c r="D290">
        <v>3.65</v>
      </c>
      <c r="E290">
        <v>3.516</v>
      </c>
      <c r="F290" s="21">
        <v>-2.7900000000000001E-2</v>
      </c>
    </row>
    <row r="291" spans="1:6" x14ac:dyDescent="0.35">
      <c r="A291" s="22">
        <v>43650</v>
      </c>
      <c r="B291">
        <v>3.617</v>
      </c>
      <c r="C291">
        <v>3.4630000000000001</v>
      </c>
      <c r="D291">
        <v>3.6869999999999998</v>
      </c>
      <c r="E291">
        <v>3.4630000000000001</v>
      </c>
      <c r="F291" s="21">
        <v>4.36E-2</v>
      </c>
    </row>
    <row r="292" spans="1:6" x14ac:dyDescent="0.35">
      <c r="A292" s="22" t="s">
        <v>626</v>
      </c>
      <c r="B292">
        <v>3.4660000000000002</v>
      </c>
      <c r="C292">
        <v>3.3959999999999999</v>
      </c>
      <c r="D292">
        <v>3.4769999999999999</v>
      </c>
      <c r="E292">
        <v>3.3959999999999999</v>
      </c>
      <c r="F292" s="21">
        <v>2.0299999999999999E-2</v>
      </c>
    </row>
    <row r="293" spans="1:6" x14ac:dyDescent="0.35">
      <c r="A293" s="22" t="s">
        <v>628</v>
      </c>
      <c r="B293">
        <v>3.3969999999999998</v>
      </c>
      <c r="C293">
        <v>3.4729999999999999</v>
      </c>
      <c r="D293">
        <v>3.5619999999999998</v>
      </c>
      <c r="E293">
        <v>3.3969999999999998</v>
      </c>
      <c r="F293" s="21">
        <v>-2.1899999999999999E-2</v>
      </c>
    </row>
    <row r="294" spans="1:6" x14ac:dyDescent="0.35">
      <c r="A294" s="22" t="s">
        <v>630</v>
      </c>
      <c r="B294">
        <v>3.4729999999999999</v>
      </c>
      <c r="C294">
        <v>3.3010000000000002</v>
      </c>
      <c r="D294">
        <v>3.4729999999999999</v>
      </c>
      <c r="E294">
        <v>3.3010000000000002</v>
      </c>
      <c r="F294" s="21">
        <v>5.21E-2</v>
      </c>
    </row>
    <row r="295" spans="1:6" x14ac:dyDescent="0.35">
      <c r="A295" s="22">
        <v>43741</v>
      </c>
      <c r="B295">
        <v>3.3010000000000002</v>
      </c>
      <c r="C295">
        <v>3.319</v>
      </c>
      <c r="D295">
        <v>3.319</v>
      </c>
      <c r="E295">
        <v>3.2120000000000002</v>
      </c>
      <c r="F295" s="21">
        <v>-5.4000000000000003E-3</v>
      </c>
    </row>
    <row r="296" spans="1:6" x14ac:dyDescent="0.35">
      <c r="A296" s="22">
        <v>43527</v>
      </c>
      <c r="B296">
        <v>3.319</v>
      </c>
      <c r="C296">
        <v>3.2589999999999999</v>
      </c>
      <c r="D296">
        <v>3.319</v>
      </c>
      <c r="E296">
        <v>3.2240000000000002</v>
      </c>
      <c r="F296" s="21">
        <v>1.9699999999999999E-2</v>
      </c>
    </row>
    <row r="297" spans="1:6" x14ac:dyDescent="0.35">
      <c r="A297" s="22" t="s">
        <v>632</v>
      </c>
      <c r="B297">
        <v>3.2549999999999999</v>
      </c>
      <c r="C297">
        <v>3.3210000000000002</v>
      </c>
      <c r="D297">
        <v>3.375</v>
      </c>
      <c r="E297">
        <v>3.2549999999999999</v>
      </c>
      <c r="F297" s="21">
        <v>-1.9E-2</v>
      </c>
    </row>
    <row r="298" spans="1:6" x14ac:dyDescent="0.35">
      <c r="A298" s="22" t="s">
        <v>634</v>
      </c>
      <c r="B298">
        <v>3.3180000000000001</v>
      </c>
      <c r="C298">
        <v>3.1150000000000002</v>
      </c>
      <c r="D298">
        <v>3.3180000000000001</v>
      </c>
      <c r="E298">
        <v>3.1150000000000002</v>
      </c>
      <c r="F298" s="21">
        <v>6.4799999999999996E-2</v>
      </c>
    </row>
    <row r="299" spans="1:6" x14ac:dyDescent="0.35">
      <c r="A299" s="22">
        <v>43740</v>
      </c>
      <c r="B299">
        <v>3.1160000000000001</v>
      </c>
      <c r="C299">
        <v>3.5</v>
      </c>
      <c r="D299">
        <v>3.5</v>
      </c>
      <c r="E299">
        <v>3.11</v>
      </c>
      <c r="F299" s="21">
        <v>-0.10970000000000001</v>
      </c>
    </row>
    <row r="300" spans="1:6" x14ac:dyDescent="0.35">
      <c r="A300" s="22">
        <v>43526</v>
      </c>
      <c r="B300">
        <v>3.5</v>
      </c>
      <c r="C300">
        <v>3.5</v>
      </c>
      <c r="D300">
        <v>3.5</v>
      </c>
      <c r="E300">
        <v>3.5</v>
      </c>
      <c r="F300" s="21">
        <v>0</v>
      </c>
    </row>
    <row r="301" spans="1:6" x14ac:dyDescent="0.35">
      <c r="A301" s="22" t="s">
        <v>637</v>
      </c>
      <c r="B301">
        <v>3.5</v>
      </c>
      <c r="C301">
        <v>3.5880000000000001</v>
      </c>
      <c r="D301">
        <v>3.6110000000000002</v>
      </c>
      <c r="E301">
        <v>3.484</v>
      </c>
      <c r="F301" s="21">
        <v>-2.4500000000000001E-2</v>
      </c>
    </row>
    <row r="302" spans="1:6" x14ac:dyDescent="0.35">
      <c r="A302" s="22" t="s">
        <v>639</v>
      </c>
      <c r="B302">
        <v>3.5880000000000001</v>
      </c>
      <c r="C302">
        <v>3.6110000000000002</v>
      </c>
      <c r="D302">
        <v>3.6779999999999999</v>
      </c>
      <c r="E302">
        <v>3.5739999999999998</v>
      </c>
      <c r="F302" s="21">
        <v>-6.4000000000000003E-3</v>
      </c>
    </row>
    <row r="303" spans="1:6" x14ac:dyDescent="0.35">
      <c r="A303" s="22" t="s">
        <v>641</v>
      </c>
      <c r="B303">
        <v>3.6110000000000002</v>
      </c>
      <c r="C303">
        <v>3.6509999999999998</v>
      </c>
      <c r="D303">
        <v>3.75</v>
      </c>
      <c r="E303">
        <v>3.6110000000000002</v>
      </c>
      <c r="F303" s="21">
        <v>-1.0999999999999999E-2</v>
      </c>
    </row>
    <row r="304" spans="1:6" x14ac:dyDescent="0.35">
      <c r="A304" s="22">
        <v>43617</v>
      </c>
      <c r="B304">
        <v>3.6509999999999998</v>
      </c>
      <c r="C304">
        <v>4.1440000000000001</v>
      </c>
      <c r="D304">
        <v>4.1440000000000001</v>
      </c>
      <c r="E304">
        <v>3.6509999999999998</v>
      </c>
      <c r="F304" s="21">
        <v>-0.11899999999999999</v>
      </c>
    </row>
    <row r="305" spans="1:6" x14ac:dyDescent="0.35">
      <c r="A305" s="22" t="s">
        <v>644</v>
      </c>
      <c r="B305">
        <v>4.1440000000000001</v>
      </c>
      <c r="C305">
        <v>4.2370000000000001</v>
      </c>
      <c r="D305">
        <v>4.2370000000000001</v>
      </c>
      <c r="E305">
        <v>4.1440000000000001</v>
      </c>
      <c r="F305" s="21">
        <v>-1.43E-2</v>
      </c>
    </row>
    <row r="306" spans="1:6" x14ac:dyDescent="0.35">
      <c r="A306" s="22" t="s">
        <v>646</v>
      </c>
      <c r="B306">
        <v>4.2039999999999997</v>
      </c>
      <c r="C306">
        <v>4.0670000000000002</v>
      </c>
      <c r="D306">
        <v>4.2220000000000004</v>
      </c>
      <c r="E306">
        <v>4.0670000000000002</v>
      </c>
      <c r="F306" s="21">
        <v>3.3399999999999999E-2</v>
      </c>
    </row>
    <row r="307" spans="1:6" x14ac:dyDescent="0.35">
      <c r="A307" s="22" t="s">
        <v>648</v>
      </c>
      <c r="B307">
        <v>4.0679999999999996</v>
      </c>
      <c r="C307">
        <v>4.282</v>
      </c>
      <c r="D307">
        <v>4.282</v>
      </c>
      <c r="E307">
        <v>4.0679999999999996</v>
      </c>
      <c r="F307" s="21">
        <v>-0.05</v>
      </c>
    </row>
    <row r="308" spans="1:6" x14ac:dyDescent="0.35">
      <c r="A308" s="22">
        <v>43355</v>
      </c>
      <c r="B308">
        <v>4.282</v>
      </c>
      <c r="C308">
        <v>4.2649999999999997</v>
      </c>
      <c r="D308">
        <v>4.2830000000000004</v>
      </c>
      <c r="E308">
        <v>4.2590000000000003</v>
      </c>
      <c r="F308" s="21">
        <v>3.8E-3</v>
      </c>
    </row>
    <row r="309" spans="1:6" x14ac:dyDescent="0.35">
      <c r="A309" s="22">
        <v>43143</v>
      </c>
      <c r="B309">
        <v>4.266</v>
      </c>
      <c r="C309">
        <v>4.2880000000000003</v>
      </c>
      <c r="D309">
        <v>4.2880000000000003</v>
      </c>
      <c r="E309">
        <v>4.2300000000000004</v>
      </c>
      <c r="F309" s="21">
        <v>-5.1000000000000004E-3</v>
      </c>
    </row>
    <row r="310" spans="1:6" x14ac:dyDescent="0.35">
      <c r="A310" s="22" t="s">
        <v>652</v>
      </c>
      <c r="B310">
        <v>4.2880000000000003</v>
      </c>
      <c r="C310">
        <v>4.4930000000000003</v>
      </c>
      <c r="D310">
        <v>4.4930000000000003</v>
      </c>
      <c r="E310">
        <v>4.2880000000000003</v>
      </c>
      <c r="F310" s="21">
        <v>-4.5600000000000002E-2</v>
      </c>
    </row>
    <row r="311" spans="1:6" x14ac:dyDescent="0.35">
      <c r="A311" s="22" t="s">
        <v>654</v>
      </c>
      <c r="B311">
        <v>4.4930000000000003</v>
      </c>
      <c r="C311">
        <v>4.4089999999999998</v>
      </c>
      <c r="D311">
        <v>4.4930000000000003</v>
      </c>
      <c r="E311">
        <v>4.3879999999999999</v>
      </c>
      <c r="F311" s="21">
        <v>1.9099999999999999E-2</v>
      </c>
    </row>
    <row r="312" spans="1:6" x14ac:dyDescent="0.35">
      <c r="A312" s="22">
        <v>43415</v>
      </c>
      <c r="B312">
        <v>4.4089999999999998</v>
      </c>
      <c r="C312">
        <v>4.5090000000000003</v>
      </c>
      <c r="D312">
        <v>4.593</v>
      </c>
      <c r="E312">
        <v>4.33</v>
      </c>
      <c r="F312" s="21">
        <v>-2.24E-2</v>
      </c>
    </row>
    <row r="313" spans="1:6" x14ac:dyDescent="0.35">
      <c r="A313" s="22">
        <v>43201</v>
      </c>
      <c r="B313">
        <v>4.51</v>
      </c>
      <c r="C313">
        <v>4.4710000000000001</v>
      </c>
      <c r="D313">
        <v>4.51</v>
      </c>
      <c r="E313">
        <v>4.4160000000000004</v>
      </c>
      <c r="F313" s="21">
        <v>8.5000000000000006E-3</v>
      </c>
    </row>
    <row r="314" spans="1:6" x14ac:dyDescent="0.35">
      <c r="A314" s="22" t="s">
        <v>658</v>
      </c>
      <c r="B314">
        <v>4.4720000000000004</v>
      </c>
      <c r="C314">
        <v>4.452</v>
      </c>
      <c r="D314">
        <v>4.5430000000000001</v>
      </c>
      <c r="E314">
        <v>4.452</v>
      </c>
      <c r="F314" s="21">
        <v>4.4999999999999997E-3</v>
      </c>
    </row>
    <row r="315" spans="1:6" x14ac:dyDescent="0.35">
      <c r="A315" s="22" t="s">
        <v>660</v>
      </c>
      <c r="B315">
        <v>4.452</v>
      </c>
      <c r="C315">
        <v>4.2140000000000004</v>
      </c>
      <c r="D315">
        <v>4.452</v>
      </c>
      <c r="E315">
        <v>4.2140000000000004</v>
      </c>
      <c r="F315" s="21">
        <v>5.6500000000000002E-2</v>
      </c>
    </row>
    <row r="316" spans="1:6" x14ac:dyDescent="0.35">
      <c r="A316" s="22" t="s">
        <v>662</v>
      </c>
      <c r="B316">
        <v>4.2140000000000004</v>
      </c>
      <c r="C316">
        <v>4.2380000000000004</v>
      </c>
      <c r="D316">
        <v>4.2409999999999997</v>
      </c>
      <c r="E316">
        <v>4.2050000000000001</v>
      </c>
      <c r="F316" s="21">
        <v>-5.8999999999999999E-3</v>
      </c>
    </row>
    <row r="317" spans="1:6" x14ac:dyDescent="0.35">
      <c r="A317" s="22">
        <v>43291</v>
      </c>
      <c r="B317">
        <v>4.2389999999999999</v>
      </c>
      <c r="C317">
        <v>4.1630000000000003</v>
      </c>
      <c r="D317">
        <v>4.2720000000000002</v>
      </c>
      <c r="E317">
        <v>4.1539999999999999</v>
      </c>
      <c r="F317" s="21">
        <v>1.83E-2</v>
      </c>
    </row>
    <row r="318" spans="1:6" x14ac:dyDescent="0.35">
      <c r="A318" s="22" t="s">
        <v>665</v>
      </c>
      <c r="B318">
        <v>4.1630000000000003</v>
      </c>
      <c r="C318">
        <v>4.3220000000000001</v>
      </c>
      <c r="D318">
        <v>4.3220000000000001</v>
      </c>
      <c r="E318">
        <v>4.1310000000000002</v>
      </c>
      <c r="F318" s="21">
        <v>-2.7799999999999998E-2</v>
      </c>
    </row>
    <row r="319" spans="1:6" x14ac:dyDescent="0.35">
      <c r="A319" s="22" t="s">
        <v>667</v>
      </c>
      <c r="B319">
        <v>4.282</v>
      </c>
      <c r="C319">
        <v>4.1740000000000004</v>
      </c>
      <c r="D319">
        <v>4.282</v>
      </c>
      <c r="E319">
        <v>4.0839999999999996</v>
      </c>
      <c r="F319" s="21">
        <v>2.5899999999999999E-2</v>
      </c>
    </row>
    <row r="320" spans="1:6" x14ac:dyDescent="0.35">
      <c r="A320" s="22" t="s">
        <v>668</v>
      </c>
      <c r="B320">
        <v>4.1740000000000004</v>
      </c>
      <c r="C320">
        <v>3.9689999999999999</v>
      </c>
      <c r="D320">
        <v>4.2039999999999997</v>
      </c>
      <c r="E320">
        <v>3.9689999999999999</v>
      </c>
      <c r="F320" s="21">
        <v>5.1700000000000003E-2</v>
      </c>
    </row>
    <row r="321" spans="1:6" x14ac:dyDescent="0.35">
      <c r="A321" s="22">
        <v>43352</v>
      </c>
      <c r="B321">
        <v>3.9689999999999999</v>
      </c>
      <c r="C321">
        <v>4.4850000000000003</v>
      </c>
      <c r="D321">
        <v>4.4889999999999999</v>
      </c>
      <c r="E321">
        <v>3.9689999999999999</v>
      </c>
      <c r="F321" s="21">
        <v>-0.1152</v>
      </c>
    </row>
    <row r="322" spans="1:6" x14ac:dyDescent="0.35">
      <c r="A322" s="22">
        <v>43140</v>
      </c>
      <c r="B322">
        <v>4.4859999999999998</v>
      </c>
      <c r="C322">
        <v>4.383</v>
      </c>
      <c r="D322">
        <v>4.4859999999999998</v>
      </c>
      <c r="E322">
        <v>4.383</v>
      </c>
      <c r="F322" s="21">
        <v>3.3399999999999999E-2</v>
      </c>
    </row>
    <row r="323" spans="1:6" x14ac:dyDescent="0.35">
      <c r="A323" s="22" t="s">
        <v>672</v>
      </c>
      <c r="B323">
        <v>4.3410000000000002</v>
      </c>
      <c r="C323">
        <v>4.306</v>
      </c>
      <c r="D323">
        <v>4.3769999999999998</v>
      </c>
      <c r="E323">
        <v>4.266</v>
      </c>
      <c r="F323" s="21">
        <v>8.0999999999999996E-3</v>
      </c>
    </row>
    <row r="324" spans="1:6" x14ac:dyDescent="0.35">
      <c r="A324" s="22" t="s">
        <v>674</v>
      </c>
      <c r="B324">
        <v>4.306</v>
      </c>
      <c r="C324">
        <v>4.3689999999999998</v>
      </c>
      <c r="D324">
        <v>4.3689999999999998</v>
      </c>
      <c r="E324">
        <v>4.2210000000000001</v>
      </c>
      <c r="F324" s="21">
        <v>-1.44E-2</v>
      </c>
    </row>
    <row r="325" spans="1:6" x14ac:dyDescent="0.35">
      <c r="A325" s="22">
        <v>43442</v>
      </c>
      <c r="B325">
        <v>4.3689999999999998</v>
      </c>
      <c r="C325">
        <v>4.1029999999999998</v>
      </c>
      <c r="D325">
        <v>4.3710000000000004</v>
      </c>
      <c r="E325">
        <v>4.1029999999999998</v>
      </c>
      <c r="F325" s="21">
        <v>6.4600000000000005E-2</v>
      </c>
    </row>
    <row r="326" spans="1:6" x14ac:dyDescent="0.35">
      <c r="A326" s="22">
        <v>43228</v>
      </c>
      <c r="B326">
        <v>4.1040000000000001</v>
      </c>
      <c r="C326">
        <v>4.45</v>
      </c>
      <c r="D326">
        <v>4.45</v>
      </c>
      <c r="E326">
        <v>4.0650000000000004</v>
      </c>
      <c r="F326" s="21">
        <v>-7.8E-2</v>
      </c>
    </row>
    <row r="327" spans="1:6" x14ac:dyDescent="0.35">
      <c r="A327" s="22" t="s">
        <v>678</v>
      </c>
      <c r="B327">
        <v>4.4509999999999996</v>
      </c>
      <c r="C327">
        <v>3.1459999999999999</v>
      </c>
      <c r="D327">
        <v>4.4509999999999996</v>
      </c>
      <c r="E327">
        <v>3.1459999999999999</v>
      </c>
      <c r="F327" s="21">
        <v>0.41439999999999999</v>
      </c>
    </row>
    <row r="328" spans="1:6" x14ac:dyDescent="0.35">
      <c r="A328" s="22" t="s">
        <v>679</v>
      </c>
      <c r="B328">
        <v>3.1469999999999998</v>
      </c>
      <c r="C328">
        <v>3.0720000000000001</v>
      </c>
      <c r="D328">
        <v>3.254</v>
      </c>
      <c r="E328">
        <v>3.0720000000000001</v>
      </c>
      <c r="F328" s="21">
        <v>2.41E-2</v>
      </c>
    </row>
    <row r="329" spans="1:6" x14ac:dyDescent="0.35">
      <c r="A329" s="22" t="s">
        <v>680</v>
      </c>
      <c r="B329">
        <v>3.073</v>
      </c>
      <c r="C329">
        <v>2.7639999999999998</v>
      </c>
      <c r="D329">
        <v>3.073</v>
      </c>
      <c r="E329">
        <v>2.7639999999999998</v>
      </c>
      <c r="F329" s="21">
        <v>0.1114</v>
      </c>
    </row>
    <row r="330" spans="1:6" x14ac:dyDescent="0.35">
      <c r="A330" s="22">
        <v>43319</v>
      </c>
      <c r="B330">
        <v>2.7650000000000001</v>
      </c>
      <c r="C330">
        <v>2.7559999999999998</v>
      </c>
      <c r="D330">
        <v>2.7650000000000001</v>
      </c>
      <c r="E330">
        <v>2.7349999999999999</v>
      </c>
      <c r="F330" s="21">
        <v>2.8999999999999998E-3</v>
      </c>
    </row>
    <row r="331" spans="1:6" x14ac:dyDescent="0.35">
      <c r="A331" s="22">
        <v>43107</v>
      </c>
      <c r="B331">
        <v>2.7570000000000001</v>
      </c>
      <c r="C331">
        <v>2.6240000000000001</v>
      </c>
      <c r="D331">
        <v>2.7570000000000001</v>
      </c>
      <c r="E331">
        <v>2.6240000000000001</v>
      </c>
      <c r="F331" s="21">
        <v>5.0299999999999997E-2</v>
      </c>
    </row>
    <row r="332" spans="1:6" x14ac:dyDescent="0.35">
      <c r="A332" s="22" t="s">
        <v>684</v>
      </c>
      <c r="B332">
        <v>2.625</v>
      </c>
      <c r="C332">
        <v>2.573</v>
      </c>
      <c r="D332">
        <v>2.625</v>
      </c>
      <c r="E332">
        <v>2.573</v>
      </c>
      <c r="F332" s="21">
        <v>1.9800000000000002E-2</v>
      </c>
    </row>
    <row r="333" spans="1:6" x14ac:dyDescent="0.35">
      <c r="A333" s="22" t="s">
        <v>686</v>
      </c>
      <c r="B333">
        <v>2.5739999999999998</v>
      </c>
      <c r="C333">
        <v>2.641</v>
      </c>
      <c r="D333">
        <v>2.641</v>
      </c>
      <c r="E333">
        <v>2.5739999999999998</v>
      </c>
      <c r="F333" s="21">
        <v>-2.5700000000000001E-2</v>
      </c>
    </row>
    <row r="334" spans="1:6" x14ac:dyDescent="0.35">
      <c r="A334" s="22">
        <v>43379</v>
      </c>
      <c r="B334">
        <v>2.6419999999999999</v>
      </c>
      <c r="C334">
        <v>2.6179999999999999</v>
      </c>
      <c r="D334">
        <v>2.649</v>
      </c>
      <c r="E334">
        <v>2.6139999999999999</v>
      </c>
      <c r="F334" s="21">
        <v>8.8000000000000005E-3</v>
      </c>
    </row>
    <row r="335" spans="1:6" x14ac:dyDescent="0.35">
      <c r="A335" s="22">
        <v>43165</v>
      </c>
      <c r="B335">
        <v>2.6190000000000002</v>
      </c>
      <c r="C335">
        <v>2.7429999999999999</v>
      </c>
      <c r="D335">
        <v>2.7429999999999999</v>
      </c>
      <c r="E335">
        <v>2.5830000000000002</v>
      </c>
      <c r="F335" s="21">
        <v>-4.5600000000000002E-2</v>
      </c>
    </row>
    <row r="336" spans="1:6" x14ac:dyDescent="0.35">
      <c r="A336" s="22" t="s">
        <v>690</v>
      </c>
      <c r="B336">
        <v>2.7440000000000002</v>
      </c>
      <c r="C336">
        <v>2.5150000000000001</v>
      </c>
      <c r="D336">
        <v>2.7629999999999999</v>
      </c>
      <c r="E336">
        <v>2.508</v>
      </c>
      <c r="F336" s="21">
        <v>9.06E-2</v>
      </c>
    </row>
    <row r="337" spans="1:6" x14ac:dyDescent="0.35">
      <c r="A337" s="22" t="s">
        <v>692</v>
      </c>
      <c r="B337">
        <v>2.516</v>
      </c>
      <c r="C337">
        <v>2.4700000000000002</v>
      </c>
      <c r="D337">
        <v>2.536</v>
      </c>
      <c r="E337">
        <v>2.4500000000000002</v>
      </c>
      <c r="F337" s="21">
        <v>1.8200000000000001E-2</v>
      </c>
    </row>
    <row r="338" spans="1:6" x14ac:dyDescent="0.35">
      <c r="A338" s="22" t="s">
        <v>694</v>
      </c>
      <c r="B338">
        <v>2.4710000000000001</v>
      </c>
      <c r="C338">
        <v>2.3969999999999998</v>
      </c>
      <c r="D338">
        <v>2.5049999999999999</v>
      </c>
      <c r="E338">
        <v>2.3969999999999998</v>
      </c>
      <c r="F338" s="21">
        <v>3.09E-2</v>
      </c>
    </row>
    <row r="339" spans="1:6" x14ac:dyDescent="0.35">
      <c r="A339" s="22">
        <v>43256</v>
      </c>
      <c r="B339">
        <v>2.3969999999999998</v>
      </c>
      <c r="C339">
        <v>2.569</v>
      </c>
      <c r="D339">
        <v>2.569</v>
      </c>
      <c r="E339">
        <v>2.3759999999999999</v>
      </c>
      <c r="F339" s="21">
        <v>-6.7299999999999999E-2</v>
      </c>
    </row>
    <row r="340" spans="1:6" x14ac:dyDescent="0.35">
      <c r="A340" s="22" t="s">
        <v>697</v>
      </c>
      <c r="B340">
        <v>2.57</v>
      </c>
      <c r="C340">
        <v>2.8109999999999999</v>
      </c>
      <c r="D340">
        <v>2.8780000000000001</v>
      </c>
      <c r="E340">
        <v>2.57</v>
      </c>
      <c r="F340" s="21">
        <v>-8.5699999999999998E-2</v>
      </c>
    </row>
    <row r="341" spans="1:6" x14ac:dyDescent="0.35">
      <c r="A341" s="22" t="s">
        <v>699</v>
      </c>
      <c r="B341">
        <v>2.8109999999999999</v>
      </c>
      <c r="C341">
        <v>2.4950000000000001</v>
      </c>
      <c r="D341">
        <v>2.8109999999999999</v>
      </c>
      <c r="E341">
        <v>2.4940000000000002</v>
      </c>
      <c r="F341" s="21">
        <v>0.12670000000000001</v>
      </c>
    </row>
    <row r="342" spans="1:6" x14ac:dyDescent="0.35">
      <c r="A342" s="22" t="s">
        <v>701</v>
      </c>
      <c r="B342">
        <v>2.4950000000000001</v>
      </c>
      <c r="C342">
        <v>2.3540000000000001</v>
      </c>
      <c r="D342">
        <v>2.5049999999999999</v>
      </c>
      <c r="E342">
        <v>2.3540000000000001</v>
      </c>
      <c r="F342" s="21">
        <v>5.9400000000000001E-2</v>
      </c>
    </row>
    <row r="343" spans="1:6" x14ac:dyDescent="0.35">
      <c r="A343" s="22">
        <v>43316</v>
      </c>
      <c r="B343">
        <v>2.355</v>
      </c>
      <c r="C343">
        <v>2.5409999999999999</v>
      </c>
      <c r="D343">
        <v>2.5409999999999999</v>
      </c>
      <c r="E343">
        <v>2.3530000000000002</v>
      </c>
      <c r="F343" s="21">
        <v>-7.3200000000000001E-2</v>
      </c>
    </row>
    <row r="344" spans="1:6" x14ac:dyDescent="0.35">
      <c r="A344" s="22">
        <v>43104</v>
      </c>
      <c r="B344">
        <v>2.5409999999999999</v>
      </c>
      <c r="C344">
        <v>2.5169999999999999</v>
      </c>
      <c r="D344">
        <v>2.581</v>
      </c>
      <c r="E344">
        <v>2.492</v>
      </c>
      <c r="F344" s="21">
        <v>9.4999999999999998E-3</v>
      </c>
    </row>
    <row r="345" spans="1:6" x14ac:dyDescent="0.35">
      <c r="A345" s="22" t="s">
        <v>704</v>
      </c>
      <c r="B345">
        <v>2.5169999999999999</v>
      </c>
      <c r="C345">
        <v>2.5049999999999999</v>
      </c>
      <c r="D345">
        <v>2.6070000000000002</v>
      </c>
      <c r="E345">
        <v>2.4729999999999999</v>
      </c>
      <c r="F345" s="21">
        <v>4.7999999999999996E-3</v>
      </c>
    </row>
    <row r="346" spans="1:6" x14ac:dyDescent="0.35">
      <c r="A346" s="22" t="s">
        <v>705</v>
      </c>
      <c r="B346">
        <v>2.5049999999999999</v>
      </c>
      <c r="C346">
        <v>2.581</v>
      </c>
      <c r="D346">
        <v>2.581</v>
      </c>
      <c r="E346">
        <v>2.4820000000000002</v>
      </c>
      <c r="F346" s="21">
        <v>-2.98E-2</v>
      </c>
    </row>
    <row r="347" spans="1:6" x14ac:dyDescent="0.35">
      <c r="A347" s="22">
        <v>43407</v>
      </c>
      <c r="B347">
        <v>2.5819999999999999</v>
      </c>
      <c r="C347">
        <v>2.6389999999999998</v>
      </c>
      <c r="D347">
        <v>2.673</v>
      </c>
      <c r="E347">
        <v>2.57</v>
      </c>
      <c r="F347" s="21">
        <v>-2.1600000000000001E-2</v>
      </c>
    </row>
    <row r="348" spans="1:6" x14ac:dyDescent="0.35">
      <c r="A348" s="22">
        <v>43193</v>
      </c>
      <c r="B348">
        <v>2.6389999999999998</v>
      </c>
      <c r="C348">
        <v>2.6339999999999999</v>
      </c>
      <c r="D348">
        <v>2.6389999999999998</v>
      </c>
      <c r="E348">
        <v>2.5670000000000002</v>
      </c>
      <c r="F348" s="21">
        <v>1.5E-3</v>
      </c>
    </row>
    <row r="349" spans="1:6" x14ac:dyDescent="0.35">
      <c r="A349" s="22" t="s">
        <v>706</v>
      </c>
      <c r="B349">
        <v>2.6349999999999998</v>
      </c>
      <c r="C349">
        <v>2.7090000000000001</v>
      </c>
      <c r="D349">
        <v>2.819</v>
      </c>
      <c r="E349">
        <v>2.6320000000000001</v>
      </c>
      <c r="F349" s="21">
        <v>-2.7300000000000001E-2</v>
      </c>
    </row>
    <row r="350" spans="1:6" x14ac:dyDescent="0.35">
      <c r="A350" s="22" t="s">
        <v>707</v>
      </c>
      <c r="B350">
        <v>2.7090000000000001</v>
      </c>
      <c r="C350">
        <v>2.972</v>
      </c>
      <c r="D350">
        <v>2.972</v>
      </c>
      <c r="E350">
        <v>2.7090000000000001</v>
      </c>
      <c r="F350" s="21">
        <v>-8.8800000000000004E-2</v>
      </c>
    </row>
    <row r="351" spans="1:6" x14ac:dyDescent="0.35">
      <c r="A351" s="22">
        <v>43406</v>
      </c>
      <c r="B351">
        <v>2.9729999999999999</v>
      </c>
      <c r="C351">
        <v>3.0750000000000002</v>
      </c>
      <c r="D351">
        <v>3.0750000000000002</v>
      </c>
      <c r="E351">
        <v>2.9489999999999998</v>
      </c>
      <c r="F351" s="21">
        <v>-3.3500000000000002E-2</v>
      </c>
    </row>
    <row r="352" spans="1:6" x14ac:dyDescent="0.35">
      <c r="A352" s="22">
        <v>43192</v>
      </c>
      <c r="B352">
        <v>3.0760000000000001</v>
      </c>
      <c r="C352">
        <v>2.8849999999999998</v>
      </c>
      <c r="D352">
        <v>3.2050000000000001</v>
      </c>
      <c r="E352">
        <v>2.8559999999999999</v>
      </c>
      <c r="F352" s="21">
        <v>6.6199999999999995E-2</v>
      </c>
    </row>
    <row r="353" spans="1:6" x14ac:dyDescent="0.35">
      <c r="A353" s="22" t="s">
        <v>711</v>
      </c>
      <c r="B353">
        <v>2.8849999999999998</v>
      </c>
      <c r="C353">
        <v>3.0059999999999998</v>
      </c>
      <c r="D353">
        <v>3.2370000000000001</v>
      </c>
      <c r="E353">
        <v>2.8849999999999998</v>
      </c>
      <c r="F353" s="21">
        <v>-4.0599999999999997E-2</v>
      </c>
    </row>
    <row r="354" spans="1:6" x14ac:dyDescent="0.35">
      <c r="A354" s="22" t="s">
        <v>712</v>
      </c>
      <c r="B354">
        <v>3.0070000000000001</v>
      </c>
      <c r="C354">
        <v>3.5150000000000001</v>
      </c>
      <c r="D354">
        <v>4.1669999999999998</v>
      </c>
      <c r="E354">
        <v>3.0070000000000001</v>
      </c>
      <c r="F354" s="21">
        <v>-0.14449999999999999</v>
      </c>
    </row>
    <row r="355" spans="1:6" x14ac:dyDescent="0.35">
      <c r="A355" s="22" t="s">
        <v>713</v>
      </c>
      <c r="B355">
        <v>3.5150000000000001</v>
      </c>
      <c r="C355">
        <v>3.5590000000000002</v>
      </c>
      <c r="D355">
        <v>3.6659999999999999</v>
      </c>
      <c r="E355">
        <v>3.4350000000000001</v>
      </c>
      <c r="F355" s="21">
        <v>-1.24E-2</v>
      </c>
    </row>
    <row r="356" spans="1:6" x14ac:dyDescent="0.35">
      <c r="A356" s="22">
        <v>43282</v>
      </c>
      <c r="B356">
        <v>3.5590000000000002</v>
      </c>
      <c r="C356">
        <v>3.7559999999999998</v>
      </c>
      <c r="D356">
        <v>3.7559999999999998</v>
      </c>
      <c r="E356">
        <v>3.4780000000000002</v>
      </c>
      <c r="F356" s="21">
        <v>-5.2400000000000002E-2</v>
      </c>
    </row>
    <row r="357" spans="1:6" x14ac:dyDescent="0.35">
      <c r="A357" s="22" t="s">
        <v>716</v>
      </c>
      <c r="B357">
        <v>3.7559999999999998</v>
      </c>
      <c r="C357">
        <v>3.9319999999999999</v>
      </c>
      <c r="D357">
        <v>3.9319999999999999</v>
      </c>
      <c r="E357">
        <v>3.734</v>
      </c>
      <c r="F357" s="21">
        <v>-4.4999999999999998E-2</v>
      </c>
    </row>
    <row r="358" spans="1:6" x14ac:dyDescent="0.35">
      <c r="A358" s="22" t="s">
        <v>718</v>
      </c>
      <c r="B358">
        <v>3.9329999999999998</v>
      </c>
      <c r="C358">
        <v>3.4780000000000002</v>
      </c>
      <c r="D358">
        <v>3.9329999999999998</v>
      </c>
      <c r="E358">
        <v>3.444</v>
      </c>
      <c r="F358" s="21">
        <v>0.1308</v>
      </c>
    </row>
    <row r="359" spans="1:6" x14ac:dyDescent="0.35">
      <c r="A359" s="22" t="s">
        <v>720</v>
      </c>
      <c r="B359">
        <v>3.4780000000000002</v>
      </c>
      <c r="C359">
        <v>3.9449999999999998</v>
      </c>
      <c r="D359">
        <v>3.9449999999999998</v>
      </c>
      <c r="E359">
        <v>3.4780000000000002</v>
      </c>
      <c r="F359" s="21">
        <v>-0.11840000000000001</v>
      </c>
    </row>
    <row r="360" spans="1:6" x14ac:dyDescent="0.35">
      <c r="A360" s="22">
        <v>43020</v>
      </c>
      <c r="B360">
        <v>3.9449999999999998</v>
      </c>
      <c r="C360">
        <v>4.1260000000000003</v>
      </c>
      <c r="D360">
        <v>4.1260000000000003</v>
      </c>
      <c r="E360">
        <v>3.9409999999999998</v>
      </c>
      <c r="F360" s="21">
        <v>-5.0500000000000003E-2</v>
      </c>
    </row>
    <row r="361" spans="1:6" x14ac:dyDescent="0.35">
      <c r="A361" s="22">
        <v>42806</v>
      </c>
      <c r="B361">
        <v>4.1550000000000002</v>
      </c>
      <c r="C361">
        <v>4.1440000000000001</v>
      </c>
      <c r="D361">
        <v>4.1970000000000001</v>
      </c>
      <c r="E361">
        <v>4.1440000000000001</v>
      </c>
      <c r="F361" s="21">
        <v>2.7000000000000001E-3</v>
      </c>
    </row>
    <row r="362" spans="1:6" x14ac:dyDescent="0.35">
      <c r="A362" s="22" t="s">
        <v>722</v>
      </c>
      <c r="B362">
        <v>4.1440000000000001</v>
      </c>
      <c r="C362">
        <v>4.1980000000000004</v>
      </c>
      <c r="D362">
        <v>4.1980000000000004</v>
      </c>
      <c r="E362">
        <v>4.1440000000000001</v>
      </c>
      <c r="F362" s="21">
        <v>-1.29E-2</v>
      </c>
    </row>
    <row r="363" spans="1:6" x14ac:dyDescent="0.35">
      <c r="A363" s="22" t="s">
        <v>724</v>
      </c>
      <c r="B363">
        <v>4.1980000000000004</v>
      </c>
      <c r="C363">
        <v>4.1870000000000003</v>
      </c>
      <c r="D363">
        <v>4.2169999999999996</v>
      </c>
      <c r="E363">
        <v>4.1870000000000003</v>
      </c>
      <c r="F363" s="21">
        <v>2.5999999999999999E-3</v>
      </c>
    </row>
    <row r="364" spans="1:6" x14ac:dyDescent="0.35">
      <c r="A364" s="22">
        <v>43080</v>
      </c>
      <c r="B364">
        <v>4.1870000000000003</v>
      </c>
      <c r="C364">
        <v>4.1319999999999997</v>
      </c>
      <c r="D364">
        <v>4.1970000000000001</v>
      </c>
      <c r="E364">
        <v>4.1319999999999997</v>
      </c>
      <c r="F364" s="21">
        <v>1.3299999999999999E-2</v>
      </c>
    </row>
    <row r="365" spans="1:6" x14ac:dyDescent="0.35">
      <c r="A365" s="22">
        <v>42866</v>
      </c>
      <c r="B365">
        <v>4.1319999999999997</v>
      </c>
      <c r="C365">
        <v>4.069</v>
      </c>
      <c r="D365">
        <v>4.1319999999999997</v>
      </c>
      <c r="E365">
        <v>4.069</v>
      </c>
      <c r="F365" s="21">
        <v>1.55E-2</v>
      </c>
    </row>
    <row r="366" spans="1:6" x14ac:dyDescent="0.35">
      <c r="A366" s="22" t="s">
        <v>725</v>
      </c>
      <c r="B366">
        <v>4.069</v>
      </c>
      <c r="C366">
        <v>4.13</v>
      </c>
      <c r="D366">
        <v>4.13</v>
      </c>
      <c r="E366">
        <v>4.069</v>
      </c>
      <c r="F366" s="21">
        <v>-1.4800000000000001E-2</v>
      </c>
    </row>
    <row r="367" spans="1:6" x14ac:dyDescent="0.35">
      <c r="A367" s="22" t="s">
        <v>727</v>
      </c>
      <c r="B367">
        <v>4.13</v>
      </c>
      <c r="C367">
        <v>4.0810000000000004</v>
      </c>
      <c r="D367">
        <v>4.13</v>
      </c>
      <c r="E367">
        <v>4.0810000000000004</v>
      </c>
      <c r="F367" s="21">
        <v>1.2E-2</v>
      </c>
    </row>
    <row r="368" spans="1:6" x14ac:dyDescent="0.35">
      <c r="A368" s="22" t="s">
        <v>729</v>
      </c>
      <c r="B368">
        <v>4.0810000000000004</v>
      </c>
      <c r="C368">
        <v>4.0339999999999998</v>
      </c>
      <c r="D368">
        <v>4.0810000000000004</v>
      </c>
      <c r="E368">
        <v>4.0339999999999998</v>
      </c>
      <c r="F368" s="21">
        <v>1.17E-2</v>
      </c>
    </row>
    <row r="369" spans="1:6" x14ac:dyDescent="0.35">
      <c r="A369" s="22">
        <v>42957</v>
      </c>
      <c r="B369">
        <v>4.0339999999999998</v>
      </c>
      <c r="C369">
        <v>4.117</v>
      </c>
      <c r="D369">
        <v>4.117</v>
      </c>
      <c r="E369">
        <v>4.016</v>
      </c>
      <c r="F369" s="21">
        <v>-2.0199999999999999E-2</v>
      </c>
    </row>
    <row r="370" spans="1:6" x14ac:dyDescent="0.35">
      <c r="A370" s="22">
        <v>42745</v>
      </c>
      <c r="B370">
        <v>4.117</v>
      </c>
      <c r="C370">
        <v>4.1970000000000001</v>
      </c>
      <c r="D370">
        <v>4.1970000000000001</v>
      </c>
      <c r="E370">
        <v>4.117</v>
      </c>
      <c r="F370" s="21">
        <v>2.41E-2</v>
      </c>
    </row>
    <row r="371" spans="1:6" x14ac:dyDescent="0.35">
      <c r="A371" s="22" t="s">
        <v>733</v>
      </c>
      <c r="B371">
        <v>4.0199999999999996</v>
      </c>
      <c r="C371">
        <v>4.0259999999999998</v>
      </c>
      <c r="D371">
        <v>4.0259999999999998</v>
      </c>
      <c r="E371">
        <v>4.0199999999999996</v>
      </c>
      <c r="F371" s="21">
        <v>-1.5E-3</v>
      </c>
    </row>
    <row r="372" spans="1:6" x14ac:dyDescent="0.35">
      <c r="A372" s="22" t="s">
        <v>735</v>
      </c>
      <c r="B372">
        <v>4.0259999999999998</v>
      </c>
      <c r="C372">
        <v>4.0369999999999999</v>
      </c>
      <c r="D372">
        <v>4.0439999999999996</v>
      </c>
      <c r="E372">
        <v>4.0259999999999998</v>
      </c>
      <c r="F372" s="21">
        <v>-2.7000000000000001E-3</v>
      </c>
    </row>
    <row r="373" spans="1:6" x14ac:dyDescent="0.35">
      <c r="A373" s="22">
        <v>43017</v>
      </c>
      <c r="B373">
        <v>4.0369999999999999</v>
      </c>
      <c r="C373">
        <v>4.0730000000000004</v>
      </c>
      <c r="D373">
        <v>4.08</v>
      </c>
      <c r="E373">
        <v>4.0049999999999999</v>
      </c>
      <c r="F373" s="21">
        <v>-8.8000000000000005E-3</v>
      </c>
    </row>
    <row r="374" spans="1:6" x14ac:dyDescent="0.35">
      <c r="A374" s="22">
        <v>42803</v>
      </c>
      <c r="B374">
        <v>4.0730000000000004</v>
      </c>
      <c r="C374">
        <v>4.1369999999999996</v>
      </c>
      <c r="D374">
        <v>4.1369999999999996</v>
      </c>
      <c r="E374">
        <v>4.016</v>
      </c>
      <c r="F374" s="21">
        <v>-1.5900000000000001E-2</v>
      </c>
    </row>
    <row r="375" spans="1:6" x14ac:dyDescent="0.35">
      <c r="A375" s="22" t="s">
        <v>739</v>
      </c>
      <c r="B375">
        <v>4.1390000000000002</v>
      </c>
      <c r="C375">
        <v>4.2240000000000002</v>
      </c>
      <c r="D375">
        <v>4.2759999999999998</v>
      </c>
      <c r="E375">
        <v>4.1390000000000002</v>
      </c>
      <c r="F375" s="21">
        <v>-2.01E-2</v>
      </c>
    </row>
    <row r="376" spans="1:6" x14ac:dyDescent="0.35">
      <c r="A376" s="22" t="s">
        <v>740</v>
      </c>
      <c r="B376">
        <v>4.2240000000000002</v>
      </c>
      <c r="C376">
        <v>3.9780000000000002</v>
      </c>
      <c r="D376">
        <v>4.2240000000000002</v>
      </c>
      <c r="E376">
        <v>3.9780000000000002</v>
      </c>
      <c r="F376" s="21">
        <v>6.1800000000000001E-2</v>
      </c>
    </row>
    <row r="377" spans="1:6" x14ac:dyDescent="0.35">
      <c r="A377" s="22" t="s">
        <v>742</v>
      </c>
      <c r="B377">
        <v>3.9780000000000002</v>
      </c>
      <c r="C377">
        <v>3.9089999999999998</v>
      </c>
      <c r="D377">
        <v>3.9780000000000002</v>
      </c>
      <c r="E377">
        <v>3.899</v>
      </c>
      <c r="F377" s="21">
        <v>1.77E-2</v>
      </c>
    </row>
    <row r="378" spans="1:6" x14ac:dyDescent="0.35">
      <c r="A378" s="22">
        <v>42894</v>
      </c>
      <c r="B378">
        <v>3.9089999999999998</v>
      </c>
      <c r="C378">
        <v>3.843</v>
      </c>
      <c r="D378">
        <v>3.9089999999999998</v>
      </c>
      <c r="E378">
        <v>3.8239999999999998</v>
      </c>
      <c r="F378" s="21">
        <v>1.72E-2</v>
      </c>
    </row>
    <row r="379" spans="1:6" x14ac:dyDescent="0.35">
      <c r="A379" s="22" t="s">
        <v>745</v>
      </c>
      <c r="B379">
        <v>3.843</v>
      </c>
      <c r="C379">
        <v>3.9140000000000001</v>
      </c>
      <c r="D379">
        <v>3.9140000000000001</v>
      </c>
      <c r="E379">
        <v>3.8359999999999999</v>
      </c>
      <c r="F379" s="21">
        <v>-1.8100000000000002E-2</v>
      </c>
    </row>
    <row r="380" spans="1:6" x14ac:dyDescent="0.35">
      <c r="A380" s="22" t="s">
        <v>746</v>
      </c>
      <c r="B380">
        <v>3.9140000000000001</v>
      </c>
      <c r="C380">
        <v>3.742</v>
      </c>
      <c r="D380">
        <v>3.9140000000000001</v>
      </c>
      <c r="E380">
        <v>3.742</v>
      </c>
      <c r="F380" s="21">
        <v>4.5999999999999999E-2</v>
      </c>
    </row>
    <row r="381" spans="1:6" x14ac:dyDescent="0.35">
      <c r="A381" s="22" t="s">
        <v>748</v>
      </c>
      <c r="B381">
        <v>3.742</v>
      </c>
      <c r="C381">
        <v>3.8679999999999999</v>
      </c>
      <c r="D381">
        <v>3.8679999999999999</v>
      </c>
      <c r="E381">
        <v>3.6560000000000001</v>
      </c>
      <c r="F381" s="21">
        <v>-3.2599999999999997E-2</v>
      </c>
    </row>
    <row r="382" spans="1:6" x14ac:dyDescent="0.35">
      <c r="A382" s="22">
        <v>42985</v>
      </c>
      <c r="B382">
        <v>3.8679999999999999</v>
      </c>
      <c r="C382">
        <v>4.1239999999999997</v>
      </c>
      <c r="D382">
        <v>4.1239999999999997</v>
      </c>
      <c r="E382">
        <v>3.8</v>
      </c>
      <c r="F382" s="21">
        <v>-6.2100000000000002E-2</v>
      </c>
    </row>
    <row r="383" spans="1:6" x14ac:dyDescent="0.35">
      <c r="A383" s="22">
        <v>42773</v>
      </c>
      <c r="B383">
        <v>4.1239999999999997</v>
      </c>
      <c r="C383">
        <v>4.1909999999999998</v>
      </c>
      <c r="D383">
        <v>4.1909999999999998</v>
      </c>
      <c r="E383">
        <v>4.1239999999999997</v>
      </c>
      <c r="F383" s="21">
        <v>-1.6E-2</v>
      </c>
    </row>
    <row r="384" spans="1:6" x14ac:dyDescent="0.35">
      <c r="A384" s="22" t="s">
        <v>749</v>
      </c>
      <c r="B384">
        <v>4.1909999999999998</v>
      </c>
      <c r="C384">
        <v>4.1980000000000004</v>
      </c>
      <c r="D384">
        <v>4.2060000000000004</v>
      </c>
      <c r="E384">
        <v>4.1840000000000002</v>
      </c>
      <c r="F384" s="21">
        <v>-1.6999999999999999E-3</v>
      </c>
    </row>
    <row r="385" spans="1:6" x14ac:dyDescent="0.35">
      <c r="A385" s="22" t="s">
        <v>750</v>
      </c>
      <c r="B385">
        <v>4.1980000000000004</v>
      </c>
      <c r="C385">
        <v>4.22</v>
      </c>
      <c r="D385">
        <v>4.2220000000000004</v>
      </c>
      <c r="E385">
        <v>4.1900000000000004</v>
      </c>
      <c r="F385" s="21">
        <v>-5.1999999999999998E-3</v>
      </c>
    </row>
    <row r="386" spans="1:6" x14ac:dyDescent="0.35">
      <c r="A386" s="22">
        <v>43045</v>
      </c>
      <c r="B386">
        <v>4.22</v>
      </c>
      <c r="C386">
        <v>4.298</v>
      </c>
      <c r="D386">
        <v>4.298</v>
      </c>
      <c r="E386">
        <v>4.2149999999999999</v>
      </c>
      <c r="F386" s="21">
        <v>-1.8100000000000002E-2</v>
      </c>
    </row>
    <row r="387" spans="1:6" x14ac:dyDescent="0.35">
      <c r="A387" s="22">
        <v>42831</v>
      </c>
      <c r="B387">
        <v>4.298</v>
      </c>
      <c r="C387">
        <v>4.4550000000000001</v>
      </c>
      <c r="D387">
        <v>4.4550000000000001</v>
      </c>
      <c r="E387">
        <v>4.298</v>
      </c>
      <c r="F387" s="21">
        <v>-3.5200000000000002E-2</v>
      </c>
    </row>
    <row r="388" spans="1:6" x14ac:dyDescent="0.35">
      <c r="A388" s="22" t="s">
        <v>751</v>
      </c>
      <c r="B388">
        <v>4.4550000000000001</v>
      </c>
      <c r="C388">
        <v>4.2679999999999998</v>
      </c>
      <c r="D388">
        <v>4.4820000000000002</v>
      </c>
      <c r="E388">
        <v>4.2309999999999999</v>
      </c>
      <c r="F388" s="21">
        <v>4.3799999999999999E-2</v>
      </c>
    </row>
    <row r="389" spans="1:6" x14ac:dyDescent="0.35">
      <c r="A389" s="22" t="s">
        <v>752</v>
      </c>
      <c r="B389">
        <v>4.2679999999999998</v>
      </c>
      <c r="C389">
        <v>4.5789999999999997</v>
      </c>
      <c r="D389">
        <v>4.5789999999999997</v>
      </c>
      <c r="E389">
        <v>4.2679999999999998</v>
      </c>
      <c r="F389" s="21">
        <v>-6.7900000000000002E-2</v>
      </c>
    </row>
    <row r="390" spans="1:6" x14ac:dyDescent="0.35">
      <c r="A390" s="22" t="s">
        <v>753</v>
      </c>
      <c r="B390">
        <v>4.5789999999999997</v>
      </c>
      <c r="C390">
        <v>4.6920000000000002</v>
      </c>
      <c r="D390">
        <v>4.6920000000000002</v>
      </c>
      <c r="E390">
        <v>4.5250000000000004</v>
      </c>
      <c r="F390" s="21">
        <v>-2.41E-2</v>
      </c>
    </row>
    <row r="391" spans="1:6" x14ac:dyDescent="0.35">
      <c r="A391" s="22">
        <v>42921</v>
      </c>
      <c r="B391">
        <v>4.6920000000000002</v>
      </c>
      <c r="C391">
        <v>4.8159999999999998</v>
      </c>
      <c r="D391">
        <v>4.8159999999999998</v>
      </c>
      <c r="E391">
        <v>4.6479999999999997</v>
      </c>
      <c r="F391" s="21">
        <v>-2.5700000000000001E-2</v>
      </c>
    </row>
    <row r="392" spans="1:6" x14ac:dyDescent="0.35">
      <c r="A392" s="22" t="s">
        <v>754</v>
      </c>
      <c r="B392">
        <v>4.8159999999999998</v>
      </c>
      <c r="C392">
        <v>4.7709999999999999</v>
      </c>
      <c r="D392">
        <v>4.8159999999999998</v>
      </c>
      <c r="E392">
        <v>4.7709999999999999</v>
      </c>
      <c r="F392" s="21">
        <v>9.1999999999999998E-3</v>
      </c>
    </row>
    <row r="393" spans="1:6" x14ac:dyDescent="0.35">
      <c r="A393" s="22" t="s">
        <v>756</v>
      </c>
      <c r="B393">
        <v>4.7720000000000002</v>
      </c>
      <c r="C393">
        <v>4.67</v>
      </c>
      <c r="D393">
        <v>4.7720000000000002</v>
      </c>
      <c r="E393">
        <v>4.67</v>
      </c>
      <c r="F393" s="21">
        <v>2.18E-2</v>
      </c>
    </row>
    <row r="394" spans="1:6" x14ac:dyDescent="0.35">
      <c r="A394" s="22" t="s">
        <v>758</v>
      </c>
      <c r="B394">
        <v>4.67</v>
      </c>
      <c r="C394">
        <v>4.5469999999999997</v>
      </c>
      <c r="D394">
        <v>4.67</v>
      </c>
      <c r="E394">
        <v>4.5469999999999997</v>
      </c>
      <c r="F394" s="21">
        <v>2.7099999999999999E-2</v>
      </c>
    </row>
    <row r="395" spans="1:6" x14ac:dyDescent="0.35">
      <c r="A395" s="22">
        <v>42982</v>
      </c>
      <c r="B395">
        <v>4.5469999999999997</v>
      </c>
      <c r="C395">
        <v>4.6059999999999999</v>
      </c>
      <c r="D395">
        <v>4.609</v>
      </c>
      <c r="E395">
        <v>4.5460000000000003</v>
      </c>
      <c r="F395" s="21">
        <v>-1.2800000000000001E-2</v>
      </c>
    </row>
    <row r="396" spans="1:6" x14ac:dyDescent="0.35">
      <c r="A396" s="22">
        <v>42770</v>
      </c>
      <c r="B396">
        <v>4.6059999999999999</v>
      </c>
      <c r="C396">
        <v>4.6890000000000001</v>
      </c>
      <c r="D396">
        <v>4.6890000000000001</v>
      </c>
      <c r="E396">
        <v>4.6059999999999999</v>
      </c>
      <c r="F396" s="21">
        <v>-1.77E-2</v>
      </c>
    </row>
    <row r="397" spans="1:6" x14ac:dyDescent="0.35">
      <c r="A397" s="22" t="s">
        <v>762</v>
      </c>
      <c r="B397">
        <v>4.6890000000000001</v>
      </c>
      <c r="C397">
        <v>4.6269999999999998</v>
      </c>
      <c r="D397">
        <v>4.6890000000000001</v>
      </c>
      <c r="E397">
        <v>4.6269999999999998</v>
      </c>
      <c r="F397" s="21">
        <v>1.34E-2</v>
      </c>
    </row>
    <row r="398" spans="1:6" x14ac:dyDescent="0.35">
      <c r="A398" s="22" t="s">
        <v>763</v>
      </c>
      <c r="B398">
        <v>4.6269999999999998</v>
      </c>
      <c r="C398">
        <v>4.4909999999999997</v>
      </c>
      <c r="D398">
        <v>4.6269999999999998</v>
      </c>
      <c r="E398">
        <v>4.4909999999999997</v>
      </c>
      <c r="F398" s="21">
        <v>3.0300000000000001E-2</v>
      </c>
    </row>
    <row r="399" spans="1:6" x14ac:dyDescent="0.35">
      <c r="A399" s="22">
        <v>43072</v>
      </c>
      <c r="B399">
        <v>4.4909999999999997</v>
      </c>
      <c r="C399">
        <v>4.5090000000000003</v>
      </c>
      <c r="D399">
        <v>4.6239999999999997</v>
      </c>
      <c r="E399">
        <v>4.4630000000000001</v>
      </c>
      <c r="F399" s="21">
        <v>-4.0000000000000001E-3</v>
      </c>
    </row>
    <row r="400" spans="1:6" x14ac:dyDescent="0.35">
      <c r="A400" s="22">
        <v>42858</v>
      </c>
      <c r="B400">
        <v>4.5090000000000003</v>
      </c>
      <c r="C400">
        <v>4.3979999999999997</v>
      </c>
      <c r="D400">
        <v>4.5090000000000003</v>
      </c>
      <c r="E400">
        <v>4.3979999999999997</v>
      </c>
      <c r="F400" s="21">
        <v>2.52E-2</v>
      </c>
    </row>
    <row r="401" spans="1:6" x14ac:dyDescent="0.35">
      <c r="A401" s="22" t="s">
        <v>766</v>
      </c>
      <c r="B401">
        <v>4.3979999999999997</v>
      </c>
      <c r="C401">
        <v>4.2889999999999997</v>
      </c>
      <c r="D401">
        <v>4.3979999999999997</v>
      </c>
      <c r="E401">
        <v>4.2889999999999997</v>
      </c>
      <c r="F401" s="21">
        <v>2.5399999999999999E-2</v>
      </c>
    </row>
    <row r="402" spans="1:6" x14ac:dyDescent="0.35">
      <c r="A402" s="22" t="s">
        <v>768</v>
      </c>
      <c r="B402">
        <v>4.2889999999999997</v>
      </c>
      <c r="C402">
        <v>4.3620000000000001</v>
      </c>
      <c r="D402">
        <v>4.3620000000000001</v>
      </c>
      <c r="E402">
        <v>4.2889999999999997</v>
      </c>
      <c r="F402" s="21">
        <v>-1.67E-2</v>
      </c>
    </row>
    <row r="403" spans="1:6" x14ac:dyDescent="0.35">
      <c r="A403" s="22">
        <v>43071</v>
      </c>
      <c r="B403">
        <v>4.3620000000000001</v>
      </c>
      <c r="C403">
        <v>4.2489999999999997</v>
      </c>
      <c r="D403">
        <v>4.3620000000000001</v>
      </c>
      <c r="E403">
        <v>4.2409999999999997</v>
      </c>
      <c r="F403" s="21">
        <v>2.6599999999999999E-2</v>
      </c>
    </row>
    <row r="404" spans="1:6" x14ac:dyDescent="0.35">
      <c r="A404" s="22">
        <v>42857</v>
      </c>
      <c r="B404">
        <v>4.2489999999999997</v>
      </c>
      <c r="C404">
        <v>4.5940000000000003</v>
      </c>
      <c r="D404">
        <v>4.5940000000000003</v>
      </c>
      <c r="E404">
        <v>4.2309999999999999</v>
      </c>
      <c r="F404" s="21">
        <v>-7.51E-2</v>
      </c>
    </row>
    <row r="405" spans="1:6" x14ac:dyDescent="0.35">
      <c r="A405" s="22" t="s">
        <v>771</v>
      </c>
      <c r="B405">
        <v>4.5940000000000003</v>
      </c>
      <c r="C405">
        <v>4.6120000000000001</v>
      </c>
      <c r="D405">
        <v>4.6120000000000001</v>
      </c>
      <c r="E405">
        <v>4.5940000000000003</v>
      </c>
      <c r="F405" s="21">
        <v>1.5900000000000001E-2</v>
      </c>
    </row>
    <row r="406" spans="1:6" x14ac:dyDescent="0.35">
      <c r="A406" s="22" t="s">
        <v>773</v>
      </c>
      <c r="B406">
        <v>4.5220000000000002</v>
      </c>
      <c r="C406">
        <v>4.5960000000000001</v>
      </c>
      <c r="D406">
        <v>4.5960000000000001</v>
      </c>
      <c r="E406">
        <v>4.5220000000000002</v>
      </c>
      <c r="F406" s="21">
        <v>-1.61E-2</v>
      </c>
    </row>
    <row r="407" spans="1:6" x14ac:dyDescent="0.35">
      <c r="A407" s="22" t="s">
        <v>775</v>
      </c>
      <c r="B407">
        <v>4.5960000000000001</v>
      </c>
      <c r="C407">
        <v>4.5730000000000004</v>
      </c>
      <c r="D407">
        <v>4.6150000000000002</v>
      </c>
      <c r="E407">
        <v>4.5730000000000004</v>
      </c>
      <c r="F407" s="21">
        <v>5.0000000000000001E-3</v>
      </c>
    </row>
    <row r="408" spans="1:6" x14ac:dyDescent="0.35">
      <c r="A408" s="22">
        <v>42948</v>
      </c>
      <c r="B408">
        <v>4.5730000000000004</v>
      </c>
      <c r="C408">
        <v>4.6390000000000002</v>
      </c>
      <c r="D408">
        <v>4.6390000000000002</v>
      </c>
      <c r="E408">
        <v>4.548</v>
      </c>
      <c r="F408" s="21">
        <v>-1.4200000000000001E-2</v>
      </c>
    </row>
    <row r="409" spans="1:6" x14ac:dyDescent="0.35">
      <c r="A409" s="22">
        <v>42736</v>
      </c>
      <c r="B409">
        <v>4.6390000000000002</v>
      </c>
      <c r="C409">
        <v>4.6680000000000001</v>
      </c>
      <c r="D409">
        <v>4.6879999999999997</v>
      </c>
      <c r="E409">
        <v>4.6390000000000002</v>
      </c>
      <c r="F409" s="21">
        <v>-6.1999999999999998E-3</v>
      </c>
    </row>
    <row r="410" spans="1:6" x14ac:dyDescent="0.35">
      <c r="A410" s="22" t="s">
        <v>779</v>
      </c>
      <c r="B410">
        <v>4.6680000000000001</v>
      </c>
      <c r="C410">
        <v>4.8019999999999996</v>
      </c>
      <c r="D410">
        <v>4.8019999999999996</v>
      </c>
      <c r="E410">
        <v>4.6680000000000001</v>
      </c>
      <c r="F410" s="21">
        <v>-2.7900000000000001E-2</v>
      </c>
    </row>
    <row r="411" spans="1:6" x14ac:dyDescent="0.35">
      <c r="A411" s="22" t="s">
        <v>781</v>
      </c>
      <c r="B411">
        <v>4.8019999999999996</v>
      </c>
      <c r="C411">
        <v>4.806</v>
      </c>
      <c r="D411">
        <v>4.8529999999999998</v>
      </c>
      <c r="E411">
        <v>4.8019999999999996</v>
      </c>
      <c r="F411" s="21">
        <v>-8.0000000000000004E-4</v>
      </c>
    </row>
    <row r="412" spans="1:6" x14ac:dyDescent="0.35">
      <c r="A412" s="22">
        <v>42686</v>
      </c>
      <c r="B412">
        <v>4.806</v>
      </c>
      <c r="C412">
        <v>4.4180000000000001</v>
      </c>
      <c r="D412">
        <v>4.806</v>
      </c>
      <c r="E412">
        <v>4.4180000000000001</v>
      </c>
      <c r="F412" s="21">
        <v>8.7800000000000003E-2</v>
      </c>
    </row>
    <row r="413" spans="1:6" x14ac:dyDescent="0.35">
      <c r="A413" s="22">
        <v>42472</v>
      </c>
      <c r="B413">
        <v>4.4180000000000001</v>
      </c>
      <c r="C413">
        <v>4.3579999999999997</v>
      </c>
      <c r="D413">
        <v>4.4180000000000001</v>
      </c>
      <c r="E413">
        <v>4.3579999999999997</v>
      </c>
      <c r="F413" s="21">
        <v>1.38E-2</v>
      </c>
    </row>
    <row r="414" spans="1:6" x14ac:dyDescent="0.35">
      <c r="A414" s="22" t="s">
        <v>785</v>
      </c>
      <c r="B414">
        <v>4.3579999999999997</v>
      </c>
      <c r="C414">
        <v>4.3959999999999999</v>
      </c>
      <c r="D414">
        <v>4.4139999999999997</v>
      </c>
      <c r="E414">
        <v>4.3559999999999999</v>
      </c>
      <c r="F414" s="21">
        <v>-8.6E-3</v>
      </c>
    </row>
    <row r="415" spans="1:6" x14ac:dyDescent="0.35">
      <c r="A415" s="22" t="s">
        <v>787</v>
      </c>
      <c r="B415">
        <v>4.3959999999999999</v>
      </c>
      <c r="C415">
        <v>4.556</v>
      </c>
      <c r="D415">
        <v>4.556</v>
      </c>
      <c r="E415">
        <v>4.2720000000000002</v>
      </c>
      <c r="F415" s="21">
        <v>-3.5099999999999999E-2</v>
      </c>
    </row>
    <row r="416" spans="1:6" x14ac:dyDescent="0.35">
      <c r="A416" s="22" t="s">
        <v>789</v>
      </c>
      <c r="B416">
        <v>4.556</v>
      </c>
      <c r="C416">
        <v>4.2439999999999998</v>
      </c>
      <c r="D416">
        <v>4.556</v>
      </c>
      <c r="E416">
        <v>4.1740000000000004</v>
      </c>
      <c r="F416" s="21">
        <v>7.3499999999999996E-2</v>
      </c>
    </row>
    <row r="417" spans="1:6" x14ac:dyDescent="0.35">
      <c r="A417" s="22">
        <v>42532</v>
      </c>
      <c r="B417">
        <v>4.2439999999999998</v>
      </c>
      <c r="C417">
        <v>4.0350000000000001</v>
      </c>
      <c r="D417">
        <v>4.2439999999999998</v>
      </c>
      <c r="E417">
        <v>4.0350000000000001</v>
      </c>
      <c r="F417" s="21">
        <v>5.1799999999999999E-2</v>
      </c>
    </row>
    <row r="418" spans="1:6" x14ac:dyDescent="0.35">
      <c r="A418" s="22" t="s">
        <v>792</v>
      </c>
      <c r="B418">
        <v>4.0350000000000001</v>
      </c>
      <c r="C418">
        <v>3.9630000000000001</v>
      </c>
      <c r="D418">
        <v>4.0350000000000001</v>
      </c>
      <c r="E418">
        <v>3.96</v>
      </c>
      <c r="F418" s="21">
        <v>1.8200000000000001E-2</v>
      </c>
    </row>
    <row r="419" spans="1:6" x14ac:dyDescent="0.35">
      <c r="A419" s="22" t="s">
        <v>794</v>
      </c>
      <c r="B419">
        <v>3.9630000000000001</v>
      </c>
      <c r="C419">
        <v>3.9580000000000002</v>
      </c>
      <c r="D419">
        <v>3.9689999999999999</v>
      </c>
      <c r="E419">
        <v>3.9580000000000002</v>
      </c>
      <c r="F419" s="21">
        <v>1.2999999999999999E-3</v>
      </c>
    </row>
    <row r="420" spans="1:6" x14ac:dyDescent="0.35">
      <c r="A420" s="22" t="s">
        <v>796</v>
      </c>
      <c r="B420">
        <v>3.9580000000000002</v>
      </c>
      <c r="C420">
        <v>4.0199999999999996</v>
      </c>
      <c r="D420">
        <v>4.085</v>
      </c>
      <c r="E420">
        <v>3.9580000000000002</v>
      </c>
      <c r="F420" s="21">
        <v>-1.54E-2</v>
      </c>
    </row>
    <row r="421" spans="1:6" x14ac:dyDescent="0.35">
      <c r="A421" s="22">
        <v>42623</v>
      </c>
      <c r="B421">
        <v>4.0199999999999996</v>
      </c>
      <c r="C421">
        <v>4.069</v>
      </c>
      <c r="D421">
        <v>4.069</v>
      </c>
      <c r="E421">
        <v>3.956</v>
      </c>
      <c r="F421" s="21">
        <v>-1.2E-2</v>
      </c>
    </row>
    <row r="422" spans="1:6" x14ac:dyDescent="0.35">
      <c r="A422" s="22">
        <v>42410</v>
      </c>
      <c r="B422">
        <v>4.069</v>
      </c>
      <c r="C422">
        <v>4.2569999999999997</v>
      </c>
      <c r="D422">
        <v>4.3140000000000001</v>
      </c>
      <c r="E422">
        <v>4.069</v>
      </c>
      <c r="F422" s="21">
        <v>-4.4200000000000003E-2</v>
      </c>
    </row>
    <row r="423" spans="1:6" x14ac:dyDescent="0.35">
      <c r="A423" s="22" t="s">
        <v>800</v>
      </c>
      <c r="B423">
        <v>4.2569999999999997</v>
      </c>
      <c r="C423">
        <v>4.5620000000000003</v>
      </c>
      <c r="D423">
        <v>4.5620000000000003</v>
      </c>
      <c r="E423">
        <v>4.2569999999999997</v>
      </c>
      <c r="F423" s="21">
        <v>-6.6900000000000001E-2</v>
      </c>
    </row>
    <row r="424" spans="1:6" x14ac:dyDescent="0.35">
      <c r="A424" s="22" t="s">
        <v>802</v>
      </c>
      <c r="B424">
        <v>4.5620000000000003</v>
      </c>
      <c r="C424">
        <v>4.8230000000000004</v>
      </c>
      <c r="D424">
        <v>4.8230000000000004</v>
      </c>
      <c r="E424">
        <v>4.5620000000000003</v>
      </c>
      <c r="F424" s="21">
        <v>-5.4100000000000002E-2</v>
      </c>
    </row>
    <row r="425" spans="1:6" x14ac:dyDescent="0.35">
      <c r="A425" s="22">
        <v>42683</v>
      </c>
      <c r="B425">
        <v>4.8230000000000004</v>
      </c>
      <c r="C425">
        <v>4.899</v>
      </c>
      <c r="D425">
        <v>4.9029999999999996</v>
      </c>
      <c r="E425">
        <v>4.8230000000000004</v>
      </c>
      <c r="F425" s="21">
        <v>-1.55E-2</v>
      </c>
    </row>
    <row r="426" spans="1:6" x14ac:dyDescent="0.35">
      <c r="A426" s="22">
        <v>42469</v>
      </c>
      <c r="B426">
        <v>4.899</v>
      </c>
      <c r="C426">
        <v>4.96</v>
      </c>
      <c r="D426">
        <v>4.96</v>
      </c>
      <c r="E426">
        <v>4.899</v>
      </c>
      <c r="F426" s="21">
        <v>-1.2500000000000001E-2</v>
      </c>
    </row>
    <row r="427" spans="1:6" x14ac:dyDescent="0.35">
      <c r="A427" s="22" t="s">
        <v>806</v>
      </c>
      <c r="B427">
        <v>4.9610000000000003</v>
      </c>
      <c r="C427">
        <v>4.6449999999999996</v>
      </c>
      <c r="D427">
        <v>4.9770000000000003</v>
      </c>
      <c r="E427">
        <v>4.6449999999999996</v>
      </c>
      <c r="F427" s="21">
        <v>6.8000000000000005E-2</v>
      </c>
    </row>
    <row r="428" spans="1:6" x14ac:dyDescent="0.35">
      <c r="A428" s="22" t="s">
        <v>808</v>
      </c>
      <c r="B428">
        <v>4.6449999999999996</v>
      </c>
      <c r="C428">
        <v>4.7130000000000001</v>
      </c>
      <c r="D428">
        <v>4.7329999999999997</v>
      </c>
      <c r="E428">
        <v>4.625</v>
      </c>
      <c r="F428" s="21">
        <v>-1.44E-2</v>
      </c>
    </row>
    <row r="429" spans="1:6" x14ac:dyDescent="0.35">
      <c r="A429" s="22" t="s">
        <v>810</v>
      </c>
      <c r="B429">
        <v>4.7130000000000001</v>
      </c>
      <c r="C429">
        <v>4.5359999999999996</v>
      </c>
      <c r="D429">
        <v>4.7130000000000001</v>
      </c>
      <c r="E429">
        <v>4.5140000000000002</v>
      </c>
      <c r="F429" s="21">
        <v>3.0200000000000001E-2</v>
      </c>
    </row>
    <row r="430" spans="1:6" x14ac:dyDescent="0.35">
      <c r="A430" s="22">
        <v>42559</v>
      </c>
      <c r="B430">
        <v>4.5750000000000002</v>
      </c>
      <c r="C430">
        <v>4.6100000000000003</v>
      </c>
      <c r="D430">
        <v>4.6139999999999999</v>
      </c>
      <c r="E430">
        <v>4.5750000000000002</v>
      </c>
      <c r="F430" s="21">
        <v>-7.6E-3</v>
      </c>
    </row>
    <row r="431" spans="1:6" x14ac:dyDescent="0.35">
      <c r="A431" s="22" t="s">
        <v>813</v>
      </c>
      <c r="B431">
        <v>4.6100000000000003</v>
      </c>
      <c r="C431">
        <v>4.6230000000000002</v>
      </c>
      <c r="D431">
        <v>4.6230000000000002</v>
      </c>
      <c r="E431">
        <v>4.6100000000000003</v>
      </c>
      <c r="F431" s="21">
        <v>-2.8E-3</v>
      </c>
    </row>
    <row r="432" spans="1:6" x14ac:dyDescent="0.35">
      <c r="A432" s="22" t="s">
        <v>815</v>
      </c>
      <c r="B432">
        <v>4.6230000000000002</v>
      </c>
      <c r="C432">
        <v>4.6230000000000002</v>
      </c>
      <c r="D432">
        <v>4.6230000000000002</v>
      </c>
      <c r="E432">
        <v>4.6230000000000002</v>
      </c>
      <c r="F432" s="21">
        <v>-2.0000000000000001E-4</v>
      </c>
    </row>
    <row r="433" spans="1:6" x14ac:dyDescent="0.35">
      <c r="A433" s="22" t="s">
        <v>817</v>
      </c>
      <c r="B433">
        <v>4.6239999999999997</v>
      </c>
      <c r="C433">
        <v>4.6239999999999997</v>
      </c>
      <c r="D433">
        <v>4.6239999999999997</v>
      </c>
      <c r="E433">
        <v>4.6239999999999997</v>
      </c>
      <c r="F433" s="21">
        <v>-2.41E-2</v>
      </c>
    </row>
    <row r="434" spans="1:6" x14ac:dyDescent="0.35">
      <c r="A434" s="22">
        <v>42650</v>
      </c>
      <c r="B434">
        <v>4.7380000000000004</v>
      </c>
      <c r="C434">
        <v>4.7380000000000004</v>
      </c>
      <c r="D434">
        <v>4.7380000000000004</v>
      </c>
      <c r="E434">
        <v>4.7380000000000004</v>
      </c>
      <c r="F434" s="21">
        <v>-7.7000000000000002E-3</v>
      </c>
    </row>
    <row r="435" spans="1:6" x14ac:dyDescent="0.35">
      <c r="A435" s="22">
        <v>42436</v>
      </c>
      <c r="B435">
        <v>4.7750000000000004</v>
      </c>
      <c r="C435">
        <v>4.7750000000000004</v>
      </c>
      <c r="D435">
        <v>4.7750000000000004</v>
      </c>
      <c r="E435">
        <v>4.7750000000000004</v>
      </c>
      <c r="F435" s="21">
        <v>1.5299999999999999E-2</v>
      </c>
    </row>
    <row r="436" spans="1:6" x14ac:dyDescent="0.35">
      <c r="A436" s="22" t="s">
        <v>821</v>
      </c>
      <c r="B436">
        <v>4.7030000000000003</v>
      </c>
      <c r="C436">
        <v>4.7030000000000003</v>
      </c>
      <c r="D436">
        <v>4.7030000000000003</v>
      </c>
      <c r="E436">
        <v>4.7030000000000003</v>
      </c>
      <c r="F436" s="21">
        <v>1.9099999999999999E-2</v>
      </c>
    </row>
    <row r="437" spans="1:6" x14ac:dyDescent="0.35">
      <c r="A437" s="22" t="s">
        <v>823</v>
      </c>
      <c r="B437">
        <v>4.6150000000000002</v>
      </c>
      <c r="C437">
        <v>4.6150000000000002</v>
      </c>
      <c r="D437">
        <v>4.6150000000000002</v>
      </c>
      <c r="E437">
        <v>4.6150000000000002</v>
      </c>
      <c r="F437" s="21">
        <v>-1.41E-2</v>
      </c>
    </row>
    <row r="438" spans="1:6" x14ac:dyDescent="0.35">
      <c r="A438" s="22">
        <v>42710</v>
      </c>
      <c r="B438">
        <v>4.681</v>
      </c>
      <c r="C438">
        <v>4.681</v>
      </c>
      <c r="D438">
        <v>4.681</v>
      </c>
      <c r="E438">
        <v>4.681</v>
      </c>
      <c r="F438" s="21">
        <v>-4.0000000000000002E-4</v>
      </c>
    </row>
    <row r="439" spans="1:6" x14ac:dyDescent="0.35">
      <c r="A439" s="22">
        <v>42496</v>
      </c>
      <c r="B439">
        <v>4.6829999999999998</v>
      </c>
      <c r="C439">
        <v>4.6829999999999998</v>
      </c>
      <c r="D439">
        <v>4.6829999999999998</v>
      </c>
      <c r="E439">
        <v>4.6829999999999998</v>
      </c>
      <c r="F439" s="21">
        <v>-1.35E-2</v>
      </c>
    </row>
    <row r="440" spans="1:6" x14ac:dyDescent="0.35">
      <c r="A440" s="22" t="s">
        <v>827</v>
      </c>
      <c r="B440">
        <v>4.7469999999999999</v>
      </c>
      <c r="C440">
        <v>4.7469999999999999</v>
      </c>
      <c r="D440">
        <v>4.7469999999999999</v>
      </c>
      <c r="E440">
        <v>4.7469999999999999</v>
      </c>
      <c r="F440" s="21">
        <v>2.3E-3</v>
      </c>
    </row>
    <row r="441" spans="1:6" x14ac:dyDescent="0.35">
      <c r="A441" s="22" t="s">
        <v>829</v>
      </c>
      <c r="B441">
        <v>4.7359999999999998</v>
      </c>
      <c r="C441">
        <v>4.7359999999999998</v>
      </c>
      <c r="D441">
        <v>4.7359999999999998</v>
      </c>
      <c r="E441">
        <v>4.7359999999999998</v>
      </c>
      <c r="F441" s="21">
        <v>-2.2700000000000001E-2</v>
      </c>
    </row>
    <row r="442" spans="1:6" x14ac:dyDescent="0.35">
      <c r="A442" s="22" t="s">
        <v>831</v>
      </c>
      <c r="B442">
        <v>4.8460000000000001</v>
      </c>
      <c r="C442">
        <v>4.8460000000000001</v>
      </c>
      <c r="D442">
        <v>4.8460000000000001</v>
      </c>
      <c r="E442">
        <v>4.8460000000000001</v>
      </c>
      <c r="F442" s="21">
        <v>-2.06E-2</v>
      </c>
    </row>
    <row r="443" spans="1:6" x14ac:dyDescent="0.35">
      <c r="A443" s="22">
        <v>42587</v>
      </c>
      <c r="B443">
        <v>4.9480000000000004</v>
      </c>
      <c r="C443">
        <v>4.9480000000000004</v>
      </c>
      <c r="D443">
        <v>4.9480000000000004</v>
      </c>
      <c r="E443">
        <v>4.9480000000000004</v>
      </c>
      <c r="F443" s="21">
        <v>-1.8800000000000001E-2</v>
      </c>
    </row>
    <row r="444" spans="1:6" x14ac:dyDescent="0.35">
      <c r="A444" s="22">
        <v>42374</v>
      </c>
      <c r="B444">
        <v>5.0430000000000001</v>
      </c>
      <c r="C444">
        <v>5.0430000000000001</v>
      </c>
      <c r="D444">
        <v>5.0430000000000001</v>
      </c>
      <c r="E444">
        <v>5.0430000000000001</v>
      </c>
      <c r="F444" s="21">
        <v>4.0000000000000001E-3</v>
      </c>
    </row>
    <row r="445" spans="1:6" x14ac:dyDescent="0.35">
      <c r="A445" s="22" t="s">
        <v>835</v>
      </c>
      <c r="B445">
        <v>5.0229999999999997</v>
      </c>
      <c r="C445">
        <v>5.0229999999999997</v>
      </c>
      <c r="D445">
        <v>5.0229999999999997</v>
      </c>
      <c r="E445">
        <v>5.0229999999999997</v>
      </c>
      <c r="F445" s="21">
        <v>-7.7000000000000002E-3</v>
      </c>
    </row>
    <row r="446" spans="1:6" x14ac:dyDescent="0.35">
      <c r="A446" s="22" t="s">
        <v>837</v>
      </c>
      <c r="B446">
        <v>5.0620000000000003</v>
      </c>
      <c r="C446">
        <v>5.0620000000000003</v>
      </c>
      <c r="D446">
        <v>5.0620000000000003</v>
      </c>
      <c r="E446">
        <v>5.0620000000000003</v>
      </c>
      <c r="F446" s="21">
        <v>-1.06E-2</v>
      </c>
    </row>
    <row r="447" spans="1:6" x14ac:dyDescent="0.35">
      <c r="A447" s="22">
        <v>42647</v>
      </c>
      <c r="B447">
        <v>5.1159999999999997</v>
      </c>
      <c r="C447">
        <v>5.1159999999999997</v>
      </c>
      <c r="D447">
        <v>5.1159999999999997</v>
      </c>
      <c r="E447">
        <v>5.1159999999999997</v>
      </c>
      <c r="F447" s="21">
        <v>-4.7000000000000002E-3</v>
      </c>
    </row>
    <row r="448" spans="1:6" x14ac:dyDescent="0.35">
      <c r="A448" s="22">
        <v>42433</v>
      </c>
      <c r="B448">
        <v>5.14</v>
      </c>
      <c r="C448">
        <v>5.14</v>
      </c>
      <c r="D448">
        <v>5.14</v>
      </c>
      <c r="E448">
        <v>5.14</v>
      </c>
      <c r="F448" s="21">
        <v>1.1999999999999999E-3</v>
      </c>
    </row>
    <row r="449" spans="1:6" x14ac:dyDescent="0.35">
      <c r="A449" s="22" t="s">
        <v>841</v>
      </c>
      <c r="B449">
        <v>5.1340000000000003</v>
      </c>
      <c r="C449">
        <v>5.1340000000000003</v>
      </c>
      <c r="D449">
        <v>5.1340000000000003</v>
      </c>
      <c r="E449">
        <v>5.1340000000000003</v>
      </c>
      <c r="F449" s="21">
        <v>1.6199999999999999E-2</v>
      </c>
    </row>
    <row r="450" spans="1:6" x14ac:dyDescent="0.35">
      <c r="A450" s="22" t="s">
        <v>843</v>
      </c>
      <c r="B450">
        <v>5.0519999999999996</v>
      </c>
      <c r="C450">
        <v>5.0519999999999996</v>
      </c>
      <c r="D450">
        <v>5.0519999999999996</v>
      </c>
      <c r="E450">
        <v>5.0519999999999996</v>
      </c>
      <c r="F450" s="21">
        <v>6.1999999999999998E-3</v>
      </c>
    </row>
    <row r="451" spans="1:6" x14ac:dyDescent="0.35">
      <c r="A451" s="22" t="s">
        <v>845</v>
      </c>
      <c r="B451">
        <v>5.0209999999999999</v>
      </c>
      <c r="C451">
        <v>5.0209999999999999</v>
      </c>
      <c r="D451">
        <v>5.0209999999999999</v>
      </c>
      <c r="E451">
        <v>5.0209999999999999</v>
      </c>
      <c r="F451" s="21">
        <v>-1.9099999999999999E-2</v>
      </c>
    </row>
    <row r="452" spans="1:6" x14ac:dyDescent="0.35">
      <c r="A452" s="22">
        <v>42524</v>
      </c>
      <c r="B452">
        <v>5.1189999999999998</v>
      </c>
      <c r="C452">
        <v>5.1189999999999998</v>
      </c>
      <c r="D452">
        <v>5.1189999999999998</v>
      </c>
      <c r="E452">
        <v>5.1189999999999998</v>
      </c>
      <c r="F452" s="21">
        <v>1.0500000000000001E-2</v>
      </c>
    </row>
    <row r="453" spans="1:6" x14ac:dyDescent="0.35">
      <c r="A453" s="22" t="s">
        <v>848</v>
      </c>
      <c r="B453">
        <v>5.0659999999999998</v>
      </c>
      <c r="C453">
        <v>5.0659999999999998</v>
      </c>
      <c r="D453">
        <v>5.0659999999999998</v>
      </c>
      <c r="E453">
        <v>5.0659999999999998</v>
      </c>
      <c r="F453" s="21">
        <v>7.0000000000000001E-3</v>
      </c>
    </row>
    <row r="454" spans="1:6" x14ac:dyDescent="0.35">
      <c r="A454" s="22" t="s">
        <v>850</v>
      </c>
      <c r="B454">
        <v>5.0309999999999997</v>
      </c>
      <c r="C454">
        <v>5.0309999999999997</v>
      </c>
      <c r="D454">
        <v>5.0309999999999997</v>
      </c>
      <c r="E454">
        <v>5.0309999999999997</v>
      </c>
      <c r="F454" s="21">
        <v>-0.01</v>
      </c>
    </row>
    <row r="455" spans="1:6" x14ac:dyDescent="0.35">
      <c r="A455" s="22" t="s">
        <v>852</v>
      </c>
      <c r="B455">
        <v>5.0819999999999999</v>
      </c>
      <c r="C455">
        <v>5.0819999999999999</v>
      </c>
      <c r="D455">
        <v>5.0819999999999999</v>
      </c>
      <c r="E455">
        <v>5.0819999999999999</v>
      </c>
      <c r="F455" s="21">
        <v>-3.7999999999999999E-2</v>
      </c>
    </row>
    <row r="456" spans="1:6" x14ac:dyDescent="0.35">
      <c r="A456" s="22">
        <v>42553</v>
      </c>
      <c r="B456">
        <v>5.2830000000000004</v>
      </c>
      <c r="C456">
        <v>5.2830000000000004</v>
      </c>
      <c r="D456">
        <v>5.2830000000000004</v>
      </c>
      <c r="E456">
        <v>5.2830000000000004</v>
      </c>
      <c r="F456" s="21">
        <v>0</v>
      </c>
    </row>
    <row r="457" spans="1:6" x14ac:dyDescent="0.35">
      <c r="A457" s="22" t="s">
        <v>854</v>
      </c>
      <c r="B457">
        <v>5.2830000000000004</v>
      </c>
      <c r="C457">
        <v>5.2830000000000004</v>
      </c>
      <c r="D457">
        <v>5.2830000000000004</v>
      </c>
      <c r="E457">
        <v>5.2830000000000004</v>
      </c>
      <c r="F457" s="21">
        <v>4.7999999999999996E-3</v>
      </c>
    </row>
    <row r="458" spans="1:6" x14ac:dyDescent="0.35">
      <c r="A458" s="22" t="s">
        <v>856</v>
      </c>
      <c r="B458">
        <v>5.258</v>
      </c>
      <c r="C458">
        <v>5.258</v>
      </c>
      <c r="D458">
        <v>5.258</v>
      </c>
      <c r="E458">
        <v>5.258</v>
      </c>
      <c r="F458" s="21">
        <v>3.2000000000000002E-3</v>
      </c>
    </row>
    <row r="459" spans="1:6" x14ac:dyDescent="0.35">
      <c r="A459" s="22" t="s">
        <v>858</v>
      </c>
      <c r="B459">
        <v>5.2409999999999997</v>
      </c>
      <c r="C459">
        <v>5.2409999999999997</v>
      </c>
      <c r="D459">
        <v>5.2409999999999997</v>
      </c>
      <c r="E459">
        <v>5.2409999999999997</v>
      </c>
      <c r="F459" s="21">
        <v>5.9999999999999995E-4</v>
      </c>
    </row>
    <row r="460" spans="1:6" x14ac:dyDescent="0.35">
      <c r="A460" s="22">
        <v>42644</v>
      </c>
      <c r="B460">
        <v>5.2380000000000004</v>
      </c>
      <c r="C460">
        <v>5.2380000000000004</v>
      </c>
      <c r="D460">
        <v>5.2380000000000004</v>
      </c>
      <c r="E460">
        <v>5.2380000000000004</v>
      </c>
      <c r="F460" s="21">
        <v>2.0000000000000001E-4</v>
      </c>
    </row>
    <row r="461" spans="1:6" x14ac:dyDescent="0.35">
      <c r="A461" s="22">
        <v>42430</v>
      </c>
      <c r="B461">
        <v>5.2370000000000001</v>
      </c>
      <c r="C461">
        <v>5.2370000000000001</v>
      </c>
      <c r="D461">
        <v>5.2370000000000001</v>
      </c>
      <c r="E461">
        <v>5.2370000000000001</v>
      </c>
      <c r="F461" s="21">
        <v>3.0999999999999999E-3</v>
      </c>
    </row>
    <row r="462" spans="1:6" x14ac:dyDescent="0.35">
      <c r="A462" s="22" t="s">
        <v>862</v>
      </c>
      <c r="B462">
        <v>5.2210000000000001</v>
      </c>
      <c r="C462">
        <v>5.2210000000000001</v>
      </c>
      <c r="D462">
        <v>5.2210000000000001</v>
      </c>
      <c r="E462">
        <v>5.2210000000000001</v>
      </c>
      <c r="F462" s="21">
        <v>-4.0000000000000002E-4</v>
      </c>
    </row>
    <row r="463" spans="1:6" x14ac:dyDescent="0.35">
      <c r="A463" s="22" t="s">
        <v>864</v>
      </c>
      <c r="B463">
        <v>5.2229999999999999</v>
      </c>
      <c r="C463">
        <v>5.2229999999999999</v>
      </c>
      <c r="D463">
        <v>5.2229999999999999</v>
      </c>
      <c r="E463">
        <v>5.2229999999999999</v>
      </c>
      <c r="F463" s="21">
        <v>-2.8999999999999998E-3</v>
      </c>
    </row>
    <row r="464" spans="1:6" x14ac:dyDescent="0.35">
      <c r="A464" s="22" t="s">
        <v>866</v>
      </c>
      <c r="B464">
        <v>5.2380000000000004</v>
      </c>
      <c r="C464">
        <v>5.2380000000000004</v>
      </c>
      <c r="D464">
        <v>5.2380000000000004</v>
      </c>
      <c r="E464">
        <v>5.2380000000000004</v>
      </c>
      <c r="F464" s="21">
        <v>-4.1999999999999997E-3</v>
      </c>
    </row>
    <row r="465" spans="1:6" x14ac:dyDescent="0.35">
      <c r="A465" s="22">
        <v>42167</v>
      </c>
      <c r="B465">
        <v>5.26</v>
      </c>
      <c r="C465">
        <v>5.26</v>
      </c>
      <c r="D465">
        <v>5.26</v>
      </c>
      <c r="E465">
        <v>5.26</v>
      </c>
      <c r="F465" s="21">
        <v>-2.0999999999999999E-3</v>
      </c>
    </row>
    <row r="466" spans="1:6" x14ac:dyDescent="0.35">
      <c r="A466" s="22" t="s">
        <v>868</v>
      </c>
      <c r="B466">
        <v>5.2709999999999999</v>
      </c>
      <c r="C466">
        <v>5.2709999999999999</v>
      </c>
      <c r="D466">
        <v>5.2709999999999999</v>
      </c>
      <c r="E466">
        <v>5.2709999999999999</v>
      </c>
      <c r="F466" s="21">
        <v>-5.7999999999999996E-3</v>
      </c>
    </row>
    <row r="467" spans="1:6" x14ac:dyDescent="0.35">
      <c r="A467" s="22" t="s">
        <v>870</v>
      </c>
      <c r="B467">
        <v>5.3019999999999996</v>
      </c>
      <c r="C467">
        <v>5.3019999999999996</v>
      </c>
      <c r="D467">
        <v>5.3019999999999996</v>
      </c>
      <c r="E467">
        <v>5.3019999999999996</v>
      </c>
      <c r="F467" s="21">
        <v>-5.1000000000000004E-3</v>
      </c>
    </row>
    <row r="468" spans="1:6" x14ac:dyDescent="0.35">
      <c r="A468" s="22" t="s">
        <v>872</v>
      </c>
      <c r="B468">
        <v>5.3289999999999997</v>
      </c>
      <c r="C468">
        <v>5.3289999999999997</v>
      </c>
      <c r="D468">
        <v>5.3289999999999997</v>
      </c>
      <c r="E468">
        <v>5.3289999999999997</v>
      </c>
      <c r="F468" s="21">
        <v>3.2000000000000002E-3</v>
      </c>
    </row>
    <row r="469" spans="1:6" x14ac:dyDescent="0.35">
      <c r="A469" s="22">
        <v>42227</v>
      </c>
      <c r="B469">
        <v>5.3120000000000003</v>
      </c>
      <c r="C469">
        <v>5.3120000000000003</v>
      </c>
      <c r="D469">
        <v>5.3120000000000003</v>
      </c>
      <c r="E469">
        <v>5.3120000000000003</v>
      </c>
      <c r="F469" s="21">
        <v>1.18E-2</v>
      </c>
    </row>
    <row r="470" spans="1:6" x14ac:dyDescent="0.35">
      <c r="A470" s="22">
        <v>42015</v>
      </c>
      <c r="B470">
        <v>5.25</v>
      </c>
      <c r="C470">
        <v>5.25</v>
      </c>
      <c r="D470">
        <v>5.25</v>
      </c>
      <c r="E470">
        <v>5.25</v>
      </c>
      <c r="F470" s="21">
        <v>-1.9800000000000002E-2</v>
      </c>
    </row>
    <row r="471" spans="1:6" x14ac:dyDescent="0.35">
      <c r="A471" s="22" t="s">
        <v>876</v>
      </c>
      <c r="B471">
        <v>5.3559999999999999</v>
      </c>
      <c r="C471">
        <v>5.3559999999999999</v>
      </c>
      <c r="D471">
        <v>5.3559999999999999</v>
      </c>
      <c r="E471">
        <v>5.3559999999999999</v>
      </c>
      <c r="F471" s="21">
        <v>-2.2800000000000001E-2</v>
      </c>
    </row>
    <row r="472" spans="1:6" x14ac:dyDescent="0.35">
      <c r="A472" s="22" t="s">
        <v>878</v>
      </c>
      <c r="B472">
        <v>5.4809999999999999</v>
      </c>
      <c r="C472">
        <v>5.4809999999999999</v>
      </c>
      <c r="D472">
        <v>5.4809999999999999</v>
      </c>
      <c r="E472">
        <v>5.4809999999999999</v>
      </c>
      <c r="F472" s="21">
        <v>-5.7999999999999996E-3</v>
      </c>
    </row>
    <row r="473" spans="1:6" x14ac:dyDescent="0.35">
      <c r="A473" s="22">
        <v>42318</v>
      </c>
      <c r="B473">
        <v>5.5129999999999999</v>
      </c>
      <c r="C473">
        <v>5.5129999999999999</v>
      </c>
      <c r="D473">
        <v>5.5129999999999999</v>
      </c>
      <c r="E473">
        <v>5.5129999999999999</v>
      </c>
      <c r="F473" s="21">
        <v>2.0000000000000001E-4</v>
      </c>
    </row>
    <row r="474" spans="1:6" x14ac:dyDescent="0.35">
      <c r="A474" s="22">
        <v>42104</v>
      </c>
      <c r="B474">
        <v>5.5119999999999996</v>
      </c>
      <c r="C474">
        <v>5.5119999999999996</v>
      </c>
      <c r="D474">
        <v>5.5119999999999996</v>
      </c>
      <c r="E474">
        <v>5.5119999999999996</v>
      </c>
      <c r="F474" s="21">
        <v>-1.55E-2</v>
      </c>
    </row>
    <row r="475" spans="1:6" x14ac:dyDescent="0.35">
      <c r="A475" s="22" t="s">
        <v>882</v>
      </c>
      <c r="B475">
        <v>5.5990000000000002</v>
      </c>
      <c r="C475">
        <v>5.5990000000000002</v>
      </c>
      <c r="D475">
        <v>5.5990000000000002</v>
      </c>
      <c r="E475">
        <v>5.5990000000000002</v>
      </c>
      <c r="F475" s="21">
        <v>2.7300000000000001E-2</v>
      </c>
    </row>
    <row r="476" spans="1:6" x14ac:dyDescent="0.35">
      <c r="A476" s="22" t="s">
        <v>884</v>
      </c>
      <c r="B476">
        <v>5.45</v>
      </c>
      <c r="C476">
        <v>5.45</v>
      </c>
      <c r="D476">
        <v>5.45</v>
      </c>
      <c r="E476">
        <v>5.45</v>
      </c>
      <c r="F476" s="21">
        <v>3.7000000000000002E-3</v>
      </c>
    </row>
    <row r="477" spans="1:6" x14ac:dyDescent="0.35">
      <c r="A477" s="22" t="s">
        <v>886</v>
      </c>
      <c r="B477">
        <v>5.43</v>
      </c>
      <c r="C477">
        <v>5.43</v>
      </c>
      <c r="D477">
        <v>5.43</v>
      </c>
      <c r="E477">
        <v>5.43</v>
      </c>
      <c r="F477" s="21">
        <v>8.8999999999999999E-3</v>
      </c>
    </row>
    <row r="478" spans="1:6" x14ac:dyDescent="0.35">
      <c r="A478" s="22">
        <v>42164</v>
      </c>
      <c r="B478">
        <v>5.3819999999999997</v>
      </c>
      <c r="C478">
        <v>5.3819999999999997</v>
      </c>
      <c r="D478">
        <v>5.3819999999999997</v>
      </c>
      <c r="E478">
        <v>5.3819999999999997</v>
      </c>
      <c r="F478" s="21">
        <v>-1.0999999999999999E-2</v>
      </c>
    </row>
    <row r="479" spans="1:6" x14ac:dyDescent="0.35">
      <c r="A479" s="22" t="s">
        <v>889</v>
      </c>
      <c r="B479">
        <v>5.4420000000000002</v>
      </c>
      <c r="C479">
        <v>5.4420000000000002</v>
      </c>
      <c r="D479">
        <v>5.4420000000000002</v>
      </c>
      <c r="E479">
        <v>5.4420000000000002</v>
      </c>
      <c r="F479" s="21">
        <v>7.1999999999999998E-3</v>
      </c>
    </row>
    <row r="480" spans="1:6" x14ac:dyDescent="0.35">
      <c r="A480" s="22" t="s">
        <v>891</v>
      </c>
      <c r="B480">
        <v>5.4029999999999996</v>
      </c>
      <c r="C480">
        <v>5.4029999999999996</v>
      </c>
      <c r="D480">
        <v>5.4029999999999996</v>
      </c>
      <c r="E480">
        <v>5.4029999999999996</v>
      </c>
      <c r="F480" s="21">
        <v>1.9E-3</v>
      </c>
    </row>
    <row r="481" spans="1:6" x14ac:dyDescent="0.35">
      <c r="A481" s="22" t="s">
        <v>893</v>
      </c>
      <c r="B481">
        <v>5.3929999999999998</v>
      </c>
      <c r="C481">
        <v>5.3929999999999998</v>
      </c>
      <c r="D481">
        <v>5.3929999999999998</v>
      </c>
      <c r="E481">
        <v>5.3929999999999998</v>
      </c>
      <c r="F481" s="21">
        <v>2.8E-3</v>
      </c>
    </row>
    <row r="482" spans="1:6" x14ac:dyDescent="0.35">
      <c r="A482" s="22">
        <v>42255</v>
      </c>
      <c r="B482">
        <v>5.3780000000000001</v>
      </c>
      <c r="C482">
        <v>5.3780000000000001</v>
      </c>
      <c r="D482">
        <v>5.3780000000000001</v>
      </c>
      <c r="E482">
        <v>5.3780000000000001</v>
      </c>
      <c r="F482" s="21">
        <v>1.7999999999999999E-2</v>
      </c>
    </row>
    <row r="483" spans="1:6" x14ac:dyDescent="0.35">
      <c r="A483" s="22">
        <v>42043</v>
      </c>
      <c r="B483">
        <v>5.2830000000000004</v>
      </c>
      <c r="C483">
        <v>5.2830000000000004</v>
      </c>
      <c r="D483">
        <v>5.2830000000000004</v>
      </c>
      <c r="E483">
        <v>5.2830000000000004</v>
      </c>
      <c r="F483" s="21">
        <v>5.8999999999999999E-3</v>
      </c>
    </row>
    <row r="484" spans="1:6" x14ac:dyDescent="0.35">
      <c r="A484" s="22" t="s">
        <v>897</v>
      </c>
      <c r="B484">
        <v>5.2519999999999998</v>
      </c>
      <c r="C484">
        <v>5.2519999999999998</v>
      </c>
      <c r="D484">
        <v>5.2519999999999998</v>
      </c>
      <c r="E484">
        <v>5.2519999999999998</v>
      </c>
      <c r="F484" s="21">
        <v>5.1999999999999998E-3</v>
      </c>
    </row>
    <row r="485" spans="1:6" x14ac:dyDescent="0.35">
      <c r="A485" s="22" t="s">
        <v>899</v>
      </c>
      <c r="B485">
        <v>5.2249999999999996</v>
      </c>
      <c r="C485">
        <v>5.2249999999999996</v>
      </c>
      <c r="D485">
        <v>5.2249999999999996</v>
      </c>
      <c r="E485">
        <v>5.2249999999999996</v>
      </c>
      <c r="F485" s="21">
        <v>-8.2000000000000007E-3</v>
      </c>
    </row>
    <row r="486" spans="1:6" x14ac:dyDescent="0.35">
      <c r="A486" s="22">
        <v>42345</v>
      </c>
      <c r="B486">
        <v>5.2679999999999998</v>
      </c>
      <c r="C486">
        <v>5.2679999999999998</v>
      </c>
      <c r="D486">
        <v>5.2679999999999998</v>
      </c>
      <c r="E486">
        <v>5.2679999999999998</v>
      </c>
      <c r="F486" s="21">
        <v>4.0000000000000001E-3</v>
      </c>
    </row>
    <row r="487" spans="1:6" x14ac:dyDescent="0.35">
      <c r="A487" s="22">
        <v>42131</v>
      </c>
      <c r="B487">
        <v>5.2469999999999999</v>
      </c>
      <c r="C487">
        <v>5.2469999999999999</v>
      </c>
      <c r="D487">
        <v>5.2469999999999999</v>
      </c>
      <c r="E487">
        <v>5.2469999999999999</v>
      </c>
      <c r="F487" s="21">
        <v>-6.1999999999999998E-3</v>
      </c>
    </row>
    <row r="488" spans="1:6" x14ac:dyDescent="0.35">
      <c r="A488" s="22" t="s">
        <v>903</v>
      </c>
      <c r="B488">
        <v>5.28</v>
      </c>
      <c r="C488">
        <v>5.28</v>
      </c>
      <c r="D488">
        <v>5.28</v>
      </c>
      <c r="E488">
        <v>5.28</v>
      </c>
      <c r="F488" s="21">
        <v>-2.2200000000000001E-2</v>
      </c>
    </row>
    <row r="489" spans="1:6" x14ac:dyDescent="0.35">
      <c r="A489" s="22" t="s">
        <v>905</v>
      </c>
      <c r="B489">
        <v>5.4</v>
      </c>
      <c r="C489">
        <v>5.4</v>
      </c>
      <c r="D489">
        <v>5.4</v>
      </c>
      <c r="E489">
        <v>5.4</v>
      </c>
      <c r="F489" s="21">
        <v>-2.5399999999999999E-2</v>
      </c>
    </row>
    <row r="490" spans="1:6" x14ac:dyDescent="0.35">
      <c r="A490" s="22" t="s">
        <v>907</v>
      </c>
      <c r="B490">
        <v>5.5410000000000004</v>
      </c>
      <c r="C490">
        <v>5.5410000000000004</v>
      </c>
      <c r="D490">
        <v>5.5410000000000004</v>
      </c>
      <c r="E490">
        <v>5.5410000000000004</v>
      </c>
      <c r="F490" s="21">
        <v>6.0000000000000001E-3</v>
      </c>
    </row>
    <row r="491" spans="1:6" x14ac:dyDescent="0.35">
      <c r="A491" s="22">
        <v>42191</v>
      </c>
      <c r="B491">
        <v>5.508</v>
      </c>
      <c r="C491">
        <v>5.508</v>
      </c>
      <c r="D491">
        <v>5.508</v>
      </c>
      <c r="E491">
        <v>5.508</v>
      </c>
      <c r="F491" s="21">
        <v>3.32E-2</v>
      </c>
    </row>
    <row r="492" spans="1:6" x14ac:dyDescent="0.35">
      <c r="A492" s="22" t="s">
        <v>910</v>
      </c>
      <c r="B492">
        <v>5.3310000000000004</v>
      </c>
      <c r="C492">
        <v>5.3310000000000004</v>
      </c>
      <c r="D492">
        <v>5.3310000000000004</v>
      </c>
      <c r="E492">
        <v>5.3310000000000004</v>
      </c>
      <c r="F492" s="21">
        <v>2.8000000000000001E-2</v>
      </c>
    </row>
    <row r="493" spans="1:6" x14ac:dyDescent="0.35">
      <c r="A493" s="22" t="s">
        <v>912</v>
      </c>
      <c r="B493">
        <v>5.1859999999999999</v>
      </c>
      <c r="C493">
        <v>5.1859999999999999</v>
      </c>
      <c r="D493">
        <v>5.1859999999999999</v>
      </c>
      <c r="E493">
        <v>5.1859999999999999</v>
      </c>
      <c r="F493" s="21">
        <v>-9.4000000000000004E-3</v>
      </c>
    </row>
    <row r="494" spans="1:6" x14ac:dyDescent="0.35">
      <c r="A494" s="22" t="s">
        <v>914</v>
      </c>
      <c r="B494">
        <v>5.2350000000000003</v>
      </c>
      <c r="C494">
        <v>5.2350000000000003</v>
      </c>
      <c r="D494">
        <v>5.2350000000000003</v>
      </c>
      <c r="E494">
        <v>5.2350000000000003</v>
      </c>
      <c r="F494" s="21">
        <v>-2.5000000000000001E-2</v>
      </c>
    </row>
    <row r="495" spans="1:6" x14ac:dyDescent="0.35">
      <c r="A495" s="22">
        <v>42282</v>
      </c>
      <c r="B495">
        <v>5.3689999999999998</v>
      </c>
      <c r="C495">
        <v>5.3689999999999998</v>
      </c>
      <c r="D495">
        <v>5.3689999999999998</v>
      </c>
      <c r="E495">
        <v>5.3689999999999998</v>
      </c>
      <c r="F495" s="21">
        <v>7.7000000000000002E-3</v>
      </c>
    </row>
    <row r="496" spans="1:6" x14ac:dyDescent="0.35">
      <c r="A496" s="22">
        <v>42068</v>
      </c>
      <c r="B496">
        <v>5.3280000000000003</v>
      </c>
      <c r="C496">
        <v>5.3280000000000003</v>
      </c>
      <c r="D496">
        <v>5.3280000000000003</v>
      </c>
      <c r="E496">
        <v>5.3280000000000003</v>
      </c>
      <c r="F496" s="21">
        <v>2.4400000000000002E-2</v>
      </c>
    </row>
    <row r="497" spans="1:6" x14ac:dyDescent="0.35">
      <c r="A497" s="22" t="s">
        <v>918</v>
      </c>
      <c r="B497">
        <v>5.2009999999999996</v>
      </c>
      <c r="C497">
        <v>5.2009999999999996</v>
      </c>
      <c r="D497">
        <v>5.2009999999999996</v>
      </c>
      <c r="E497">
        <v>5.2009999999999996</v>
      </c>
      <c r="F497" s="21">
        <v>-4.53E-2</v>
      </c>
    </row>
    <row r="498" spans="1:6" x14ac:dyDescent="0.35">
      <c r="A498" s="22" t="s">
        <v>920</v>
      </c>
      <c r="B498">
        <v>5.4480000000000004</v>
      </c>
      <c r="C498">
        <v>5.4480000000000004</v>
      </c>
      <c r="D498">
        <v>5.4480000000000004</v>
      </c>
      <c r="E498">
        <v>5.4480000000000004</v>
      </c>
      <c r="F498" s="21">
        <v>3.2599999999999997E-2</v>
      </c>
    </row>
    <row r="499" spans="1:6" x14ac:dyDescent="0.35">
      <c r="A499" s="22">
        <v>42342</v>
      </c>
      <c r="B499">
        <v>5.2759999999999998</v>
      </c>
      <c r="C499">
        <v>5.2759999999999998</v>
      </c>
      <c r="D499">
        <v>5.2759999999999998</v>
      </c>
      <c r="E499">
        <v>5.2759999999999998</v>
      </c>
      <c r="F499" s="21">
        <v>4.1500000000000002E-2</v>
      </c>
    </row>
    <row r="500" spans="1:6" x14ac:dyDescent="0.35">
      <c r="A500" s="22">
        <v>42128</v>
      </c>
      <c r="B500">
        <v>5.0659999999999998</v>
      </c>
      <c r="C500">
        <v>5.0659999999999998</v>
      </c>
      <c r="D500">
        <v>5.0659999999999998</v>
      </c>
      <c r="E500">
        <v>5.0659999999999998</v>
      </c>
      <c r="F500" s="21">
        <v>3.0499999999999999E-2</v>
      </c>
    </row>
    <row r="501" spans="1:6" x14ac:dyDescent="0.35">
      <c r="A501" s="22" t="s">
        <v>924</v>
      </c>
      <c r="B501">
        <v>4.9160000000000004</v>
      </c>
      <c r="C501">
        <v>4.9160000000000004</v>
      </c>
      <c r="D501">
        <v>4.9160000000000004</v>
      </c>
      <c r="E501">
        <v>4.9160000000000004</v>
      </c>
      <c r="F501" s="21">
        <v>8.6E-3</v>
      </c>
    </row>
    <row r="502" spans="1:6" x14ac:dyDescent="0.35">
      <c r="A502" s="22" t="s">
        <v>926</v>
      </c>
      <c r="B502">
        <v>4.8739999999999997</v>
      </c>
      <c r="C502">
        <v>4.8739999999999997</v>
      </c>
      <c r="D502">
        <v>4.8739999999999997</v>
      </c>
      <c r="E502">
        <v>4.8739999999999997</v>
      </c>
      <c r="F502" s="21">
        <v>2.7400000000000001E-2</v>
      </c>
    </row>
    <row r="503" spans="1:6" x14ac:dyDescent="0.35">
      <c r="A503" s="22" t="s">
        <v>928</v>
      </c>
      <c r="B503">
        <v>4.7439999999999998</v>
      </c>
      <c r="C503">
        <v>4.7439999999999998</v>
      </c>
      <c r="D503">
        <v>4.7439999999999998</v>
      </c>
      <c r="E503">
        <v>4.7439999999999998</v>
      </c>
      <c r="F503" s="21">
        <v>2.3099999999999999E-2</v>
      </c>
    </row>
    <row r="504" spans="1:6" x14ac:dyDescent="0.35">
      <c r="A504" s="22">
        <v>42219</v>
      </c>
      <c r="B504">
        <v>4.6369999999999996</v>
      </c>
      <c r="C504">
        <v>4.6369999999999996</v>
      </c>
      <c r="D504">
        <v>4.6369999999999996</v>
      </c>
      <c r="E504">
        <v>4.6369999999999996</v>
      </c>
      <c r="F504" s="21">
        <v>5.5999999999999999E-3</v>
      </c>
    </row>
    <row r="505" spans="1:6" x14ac:dyDescent="0.35">
      <c r="A505" s="22">
        <v>42007</v>
      </c>
      <c r="B505">
        <v>4.6109999999999998</v>
      </c>
      <c r="C505">
        <v>4.6109999999999998</v>
      </c>
      <c r="D505">
        <v>4.6109999999999998</v>
      </c>
      <c r="E505">
        <v>4.6109999999999998</v>
      </c>
      <c r="F505" s="21">
        <v>6.9999999999999999E-4</v>
      </c>
    </row>
    <row r="506" spans="1:6" x14ac:dyDescent="0.35">
      <c r="A506" s="22" t="s">
        <v>932</v>
      </c>
      <c r="B506">
        <v>4.6079999999999997</v>
      </c>
      <c r="C506">
        <v>4.6079999999999997</v>
      </c>
      <c r="D506">
        <v>4.6079999999999997</v>
      </c>
      <c r="E506">
        <v>4.6079999999999997</v>
      </c>
      <c r="F506" s="21">
        <v>-9.1999999999999998E-3</v>
      </c>
    </row>
    <row r="507" spans="1:6" x14ac:dyDescent="0.35">
      <c r="A507" s="22" t="s">
        <v>934</v>
      </c>
      <c r="B507">
        <v>4.6509999999999998</v>
      </c>
      <c r="C507">
        <v>4.6509999999999998</v>
      </c>
      <c r="D507">
        <v>4.6509999999999998</v>
      </c>
      <c r="E507">
        <v>4.6509999999999998</v>
      </c>
      <c r="F507" s="21">
        <v>0</v>
      </c>
    </row>
    <row r="508" spans="1:6" x14ac:dyDescent="0.35">
      <c r="A508" s="22">
        <v>42218</v>
      </c>
      <c r="B508">
        <v>4.6509999999999998</v>
      </c>
      <c r="C508">
        <v>4.6509999999999998</v>
      </c>
      <c r="D508">
        <v>4.6509999999999998</v>
      </c>
      <c r="E508">
        <v>4.6509999999999998</v>
      </c>
      <c r="F508" s="21">
        <v>-9.4000000000000004E-3</v>
      </c>
    </row>
    <row r="509" spans="1:6" x14ac:dyDescent="0.35">
      <c r="A509" s="22">
        <v>42006</v>
      </c>
      <c r="B509">
        <v>4.6950000000000003</v>
      </c>
      <c r="C509">
        <v>4.6950000000000003</v>
      </c>
      <c r="D509">
        <v>4.6950000000000003</v>
      </c>
      <c r="E509">
        <v>4.6950000000000003</v>
      </c>
      <c r="F509" s="21">
        <v>1.7299999999999999E-2</v>
      </c>
    </row>
    <row r="510" spans="1:6" x14ac:dyDescent="0.35">
      <c r="A510" s="22" t="s">
        <v>937</v>
      </c>
      <c r="B510">
        <v>4.6150000000000002</v>
      </c>
      <c r="C510">
        <v>4.6150000000000002</v>
      </c>
      <c r="D510">
        <v>4.6150000000000002</v>
      </c>
      <c r="E510">
        <v>4.6150000000000002</v>
      </c>
      <c r="F510" s="21">
        <v>-1.9300000000000001E-2</v>
      </c>
    </row>
    <row r="511" spans="1:6" x14ac:dyDescent="0.35">
      <c r="A511" s="22" t="s">
        <v>939</v>
      </c>
      <c r="B511">
        <v>4.7060000000000004</v>
      </c>
      <c r="C511">
        <v>4.7060000000000004</v>
      </c>
      <c r="D511">
        <v>4.7060000000000004</v>
      </c>
      <c r="E511">
        <v>4.7060000000000004</v>
      </c>
      <c r="F511" s="21">
        <v>1.1599999999999999E-2</v>
      </c>
    </row>
    <row r="512" spans="1:6" x14ac:dyDescent="0.35">
      <c r="A512" s="22">
        <v>42309</v>
      </c>
      <c r="B512">
        <v>4.6520000000000001</v>
      </c>
      <c r="C512">
        <v>4.6520000000000001</v>
      </c>
      <c r="D512">
        <v>4.6520000000000001</v>
      </c>
      <c r="E512">
        <v>4.6520000000000001</v>
      </c>
      <c r="F512" s="21">
        <v>-6.0400000000000002E-2</v>
      </c>
    </row>
    <row r="513" spans="1:6" x14ac:dyDescent="0.35">
      <c r="A513" s="22">
        <v>42095</v>
      </c>
      <c r="B513">
        <v>4.9509999999999996</v>
      </c>
      <c r="C513">
        <v>4.9509999999999996</v>
      </c>
      <c r="D513">
        <v>4.9509999999999996</v>
      </c>
      <c r="E513">
        <v>4.9509999999999996</v>
      </c>
      <c r="F513" s="21">
        <v>7.9000000000000008E-3</v>
      </c>
    </row>
    <row r="514" spans="1:6" x14ac:dyDescent="0.35">
      <c r="A514" s="22" t="s">
        <v>942</v>
      </c>
      <c r="B514">
        <v>4.9119999999999999</v>
      </c>
      <c r="C514">
        <v>4.9119999999999999</v>
      </c>
      <c r="D514">
        <v>4.9119999999999999</v>
      </c>
      <c r="E514">
        <v>4.9119999999999999</v>
      </c>
      <c r="F514" s="21">
        <v>-2.8500000000000001E-2</v>
      </c>
    </row>
    <row r="515" spans="1:6" x14ac:dyDescent="0.35">
      <c r="A515" s="22" t="s">
        <v>944</v>
      </c>
      <c r="B515">
        <v>5.056</v>
      </c>
      <c r="C515">
        <v>5.056</v>
      </c>
      <c r="D515">
        <v>5.056</v>
      </c>
      <c r="E515">
        <v>5.056</v>
      </c>
      <c r="F515" s="21">
        <v>-1.06E-2</v>
      </c>
    </row>
    <row r="516" spans="1:6" x14ac:dyDescent="0.35">
      <c r="A516" s="22" t="s">
        <v>946</v>
      </c>
      <c r="B516">
        <v>5.1100000000000003</v>
      </c>
      <c r="C516">
        <v>5.1100000000000003</v>
      </c>
      <c r="D516">
        <v>5.1100000000000003</v>
      </c>
      <c r="E516">
        <v>5.1100000000000003</v>
      </c>
      <c r="F516" s="21">
        <v>2.9000000000000001E-2</v>
      </c>
    </row>
    <row r="517" spans="1:6" x14ac:dyDescent="0.35">
      <c r="A517" s="22">
        <v>41832</v>
      </c>
      <c r="B517">
        <v>4.9660000000000002</v>
      </c>
      <c r="C517">
        <v>4.9660000000000002</v>
      </c>
      <c r="D517">
        <v>4.9660000000000002</v>
      </c>
      <c r="E517">
        <v>4.9660000000000002</v>
      </c>
      <c r="F517" s="21">
        <v>3.2399999999999998E-2</v>
      </c>
    </row>
    <row r="518" spans="1:6" x14ac:dyDescent="0.35">
      <c r="A518" s="22" t="s">
        <v>949</v>
      </c>
      <c r="B518">
        <v>4.8099999999999996</v>
      </c>
      <c r="C518">
        <v>4.8099999999999996</v>
      </c>
      <c r="D518">
        <v>4.8099999999999996</v>
      </c>
      <c r="E518">
        <v>4.8099999999999996</v>
      </c>
      <c r="F518" s="21">
        <v>4.2299999999999997E-2</v>
      </c>
    </row>
    <row r="519" spans="1:6" x14ac:dyDescent="0.35">
      <c r="A519" s="22" t="s">
        <v>951</v>
      </c>
      <c r="B519">
        <v>4.6150000000000002</v>
      </c>
      <c r="C519">
        <v>4.6150000000000002</v>
      </c>
      <c r="D519">
        <v>4.6150000000000002</v>
      </c>
      <c r="E519">
        <v>4.6150000000000002</v>
      </c>
      <c r="F519" s="21">
        <v>5.4399999999999997E-2</v>
      </c>
    </row>
    <row r="520" spans="1:6" x14ac:dyDescent="0.35">
      <c r="A520" s="22" t="s">
        <v>953</v>
      </c>
      <c r="B520">
        <v>4.3769999999999998</v>
      </c>
      <c r="C520">
        <v>4.3769999999999998</v>
      </c>
      <c r="D520">
        <v>4.3769999999999998</v>
      </c>
      <c r="E520">
        <v>4.3769999999999998</v>
      </c>
      <c r="F520" s="21">
        <v>-7.0000000000000001E-3</v>
      </c>
    </row>
    <row r="521" spans="1:6" x14ac:dyDescent="0.35">
      <c r="A521" s="22">
        <v>41893</v>
      </c>
      <c r="B521">
        <v>4.4080000000000004</v>
      </c>
      <c r="C521">
        <v>4.4080000000000004</v>
      </c>
      <c r="D521">
        <v>4.4080000000000004</v>
      </c>
      <c r="E521">
        <v>4.4080000000000004</v>
      </c>
      <c r="F521" s="21">
        <v>4.9500000000000002E-2</v>
      </c>
    </row>
    <row r="522" spans="1:6" x14ac:dyDescent="0.35">
      <c r="A522" s="22">
        <v>41681</v>
      </c>
      <c r="B522">
        <v>4.2</v>
      </c>
      <c r="C522">
        <v>4.2</v>
      </c>
      <c r="D522">
        <v>4.2</v>
      </c>
      <c r="E522">
        <v>4.2</v>
      </c>
      <c r="F522" s="21">
        <v>7.4000000000000003E-3</v>
      </c>
    </row>
    <row r="523" spans="1:6" x14ac:dyDescent="0.35">
      <c r="A523" s="22" t="s">
        <v>957</v>
      </c>
      <c r="B523">
        <v>4.1689999999999996</v>
      </c>
      <c r="C523">
        <v>4.1689999999999996</v>
      </c>
      <c r="D523">
        <v>4.1689999999999996</v>
      </c>
      <c r="E523">
        <v>4.1689999999999996</v>
      </c>
      <c r="F523" s="21">
        <v>-4.3E-3</v>
      </c>
    </row>
    <row r="524" spans="1:6" x14ac:dyDescent="0.35">
      <c r="A524" s="22" t="s">
        <v>959</v>
      </c>
      <c r="B524">
        <v>4.1870000000000003</v>
      </c>
      <c r="C524">
        <v>4.1870000000000003</v>
      </c>
      <c r="D524">
        <v>4.1870000000000003</v>
      </c>
      <c r="E524">
        <v>4.1870000000000003</v>
      </c>
      <c r="F524" s="21">
        <v>1.77E-2</v>
      </c>
    </row>
    <row r="525" spans="1:6" x14ac:dyDescent="0.35">
      <c r="A525" s="22">
        <v>41983</v>
      </c>
      <c r="B525">
        <v>4.1139999999999999</v>
      </c>
      <c r="C525">
        <v>4.1139999999999999</v>
      </c>
      <c r="D525">
        <v>4.1139999999999999</v>
      </c>
      <c r="E525">
        <v>4.1139999999999999</v>
      </c>
      <c r="F525" s="21">
        <v>-5.5999999999999999E-3</v>
      </c>
    </row>
    <row r="526" spans="1:6" x14ac:dyDescent="0.35">
      <c r="A526" s="22">
        <v>41769</v>
      </c>
      <c r="B526">
        <v>4.1369999999999996</v>
      </c>
      <c r="C526">
        <v>4.1369999999999996</v>
      </c>
      <c r="D526">
        <v>4.1369999999999996</v>
      </c>
      <c r="E526">
        <v>4.1369999999999996</v>
      </c>
      <c r="F526" s="21">
        <v>-9.1200000000000003E-2</v>
      </c>
    </row>
    <row r="527" spans="1:6" x14ac:dyDescent="0.35">
      <c r="A527" s="22" t="s">
        <v>963</v>
      </c>
      <c r="B527">
        <v>4.5519999999999996</v>
      </c>
      <c r="C527">
        <v>4.5519999999999996</v>
      </c>
      <c r="D527">
        <v>4.5519999999999996</v>
      </c>
      <c r="E527">
        <v>4.5519999999999996</v>
      </c>
      <c r="F527" s="21">
        <v>2.3800000000000002E-2</v>
      </c>
    </row>
    <row r="528" spans="1:6" x14ac:dyDescent="0.35">
      <c r="A528" s="22" t="s">
        <v>965</v>
      </c>
      <c r="B528">
        <v>4.4459999999999997</v>
      </c>
      <c r="C528">
        <v>4.4459999999999997</v>
      </c>
      <c r="D528">
        <v>4.4459999999999997</v>
      </c>
      <c r="E528">
        <v>4.4459999999999997</v>
      </c>
      <c r="F528" s="21">
        <v>-1.09E-2</v>
      </c>
    </row>
    <row r="529" spans="1:6" x14ac:dyDescent="0.35">
      <c r="A529" s="22" t="s">
        <v>967</v>
      </c>
      <c r="B529">
        <v>4.4950000000000001</v>
      </c>
      <c r="C529">
        <v>4.4950000000000001</v>
      </c>
      <c r="D529">
        <v>4.4950000000000001</v>
      </c>
      <c r="E529">
        <v>4.4950000000000001</v>
      </c>
      <c r="F529" s="21">
        <v>-1.83E-2</v>
      </c>
    </row>
    <row r="530" spans="1:6" x14ac:dyDescent="0.35">
      <c r="A530" s="22">
        <v>41829</v>
      </c>
      <c r="B530">
        <v>4.5789999999999997</v>
      </c>
      <c r="C530">
        <v>4.5789999999999997</v>
      </c>
      <c r="D530">
        <v>4.5789999999999997</v>
      </c>
      <c r="E530">
        <v>4.5789999999999997</v>
      </c>
      <c r="F530" s="21">
        <v>-6.13E-2</v>
      </c>
    </row>
    <row r="531" spans="1:6" x14ac:dyDescent="0.35">
      <c r="A531" s="22" t="s">
        <v>970</v>
      </c>
      <c r="B531">
        <v>4.8780000000000001</v>
      </c>
      <c r="C531">
        <v>4.8780000000000001</v>
      </c>
      <c r="D531">
        <v>4.8780000000000001</v>
      </c>
      <c r="E531">
        <v>4.8780000000000001</v>
      </c>
      <c r="F531" s="21">
        <v>-1.09E-2</v>
      </c>
    </row>
    <row r="532" spans="1:6" x14ac:dyDescent="0.35">
      <c r="A532" s="22" t="s">
        <v>972</v>
      </c>
      <c r="B532">
        <v>4.9320000000000004</v>
      </c>
      <c r="C532">
        <v>4.9320000000000004</v>
      </c>
      <c r="D532">
        <v>4.9320000000000004</v>
      </c>
      <c r="E532">
        <v>4.9320000000000004</v>
      </c>
      <c r="F532" s="21">
        <v>2.8E-3</v>
      </c>
    </row>
    <row r="533" spans="1:6" x14ac:dyDescent="0.35">
      <c r="A533" s="22" t="s">
        <v>974</v>
      </c>
      <c r="B533">
        <v>4.9180000000000001</v>
      </c>
      <c r="C533">
        <v>4.9180000000000001</v>
      </c>
      <c r="D533">
        <v>4.9180000000000001</v>
      </c>
      <c r="E533">
        <v>4.9180000000000001</v>
      </c>
      <c r="F533" s="21">
        <v>-1.24E-2</v>
      </c>
    </row>
    <row r="534" spans="1:6" x14ac:dyDescent="0.35">
      <c r="A534" s="22">
        <v>41920</v>
      </c>
      <c r="B534">
        <v>4.9800000000000004</v>
      </c>
      <c r="C534">
        <v>4.9800000000000004</v>
      </c>
      <c r="D534">
        <v>4.9800000000000004</v>
      </c>
      <c r="E534">
        <v>4.9800000000000004</v>
      </c>
      <c r="F534" s="21">
        <v>1.24E-2</v>
      </c>
    </row>
    <row r="535" spans="1:6" x14ac:dyDescent="0.35">
      <c r="A535" s="22">
        <v>41706</v>
      </c>
      <c r="B535">
        <v>4.9189999999999996</v>
      </c>
      <c r="C535">
        <v>4.9189999999999996</v>
      </c>
      <c r="D535">
        <v>4.9189999999999996</v>
      </c>
      <c r="E535">
        <v>4.9189999999999996</v>
      </c>
      <c r="F535" s="21">
        <v>-2.8799999999999999E-2</v>
      </c>
    </row>
    <row r="536" spans="1:6" x14ac:dyDescent="0.35">
      <c r="A536" s="22" t="s">
        <v>978</v>
      </c>
      <c r="B536">
        <v>5.0650000000000004</v>
      </c>
      <c r="C536">
        <v>5.0650000000000004</v>
      </c>
      <c r="D536">
        <v>5.0650000000000004</v>
      </c>
      <c r="E536">
        <v>5.0650000000000004</v>
      </c>
      <c r="F536" s="21">
        <v>-1.7299999999999999E-2</v>
      </c>
    </row>
    <row r="537" spans="1:6" x14ac:dyDescent="0.35">
      <c r="A537" s="22" t="s">
        <v>980</v>
      </c>
      <c r="B537">
        <v>5.1539999999999999</v>
      </c>
      <c r="C537">
        <v>5.1539999999999999</v>
      </c>
      <c r="D537">
        <v>5.1539999999999999</v>
      </c>
      <c r="E537">
        <v>5.1539999999999999</v>
      </c>
      <c r="F537" s="21">
        <v>-1.11E-2</v>
      </c>
    </row>
    <row r="538" spans="1:6" x14ac:dyDescent="0.35">
      <c r="A538" s="22" t="s">
        <v>982</v>
      </c>
      <c r="B538">
        <v>5.2119999999999997</v>
      </c>
      <c r="C538">
        <v>5.2119999999999997</v>
      </c>
      <c r="D538">
        <v>5.2119999999999997</v>
      </c>
      <c r="E538">
        <v>5.2119999999999997</v>
      </c>
      <c r="F538" s="21">
        <v>-2.7400000000000001E-2</v>
      </c>
    </row>
    <row r="539" spans="1:6" x14ac:dyDescent="0.35">
      <c r="A539" s="22">
        <v>41797</v>
      </c>
      <c r="B539">
        <v>5.359</v>
      </c>
      <c r="C539">
        <v>5.359</v>
      </c>
      <c r="D539">
        <v>5.359</v>
      </c>
      <c r="E539">
        <v>5.359</v>
      </c>
      <c r="F539" s="21">
        <v>-1.7100000000000001E-2</v>
      </c>
    </row>
    <row r="540" spans="1:6" x14ac:dyDescent="0.35">
      <c r="A540" s="22" t="s">
        <v>985</v>
      </c>
      <c r="B540">
        <v>5.452</v>
      </c>
      <c r="C540">
        <v>5.452</v>
      </c>
      <c r="D540">
        <v>5.452</v>
      </c>
      <c r="E540">
        <v>5.452</v>
      </c>
      <c r="F540" s="21">
        <v>-4.4000000000000003E-3</v>
      </c>
    </row>
    <row r="541" spans="1:6" x14ac:dyDescent="0.35">
      <c r="A541" s="22" t="s">
        <v>987</v>
      </c>
      <c r="B541">
        <v>5.476</v>
      </c>
      <c r="C541">
        <v>5.476</v>
      </c>
      <c r="D541">
        <v>5.476</v>
      </c>
      <c r="E541">
        <v>5.476</v>
      </c>
      <c r="F541" s="21">
        <v>-1.6000000000000001E-3</v>
      </c>
    </row>
    <row r="542" spans="1:6" x14ac:dyDescent="0.35">
      <c r="A542" s="22" t="s">
        <v>989</v>
      </c>
      <c r="B542">
        <v>5.4850000000000003</v>
      </c>
      <c r="C542">
        <v>5.4850000000000003</v>
      </c>
      <c r="D542">
        <v>5.4850000000000003</v>
      </c>
      <c r="E542">
        <v>5.4850000000000003</v>
      </c>
      <c r="F542" s="21">
        <v>1.2999999999999999E-3</v>
      </c>
    </row>
    <row r="543" spans="1:6" x14ac:dyDescent="0.35">
      <c r="A543" s="22">
        <v>41857</v>
      </c>
      <c r="B543">
        <v>5.4779999999999998</v>
      </c>
      <c r="C543">
        <v>5.4779999999999998</v>
      </c>
      <c r="D543">
        <v>5.4779999999999998</v>
      </c>
      <c r="E543">
        <v>5.4779999999999998</v>
      </c>
      <c r="F543" s="21">
        <v>-2.58E-2</v>
      </c>
    </row>
    <row r="544" spans="1:6" x14ac:dyDescent="0.35">
      <c r="A544" s="22">
        <v>41645</v>
      </c>
      <c r="B544">
        <v>5.6230000000000002</v>
      </c>
      <c r="C544">
        <v>5.6230000000000002</v>
      </c>
      <c r="D544">
        <v>5.6230000000000002</v>
      </c>
      <c r="E544">
        <v>5.6230000000000002</v>
      </c>
      <c r="F544" s="21">
        <v>-6.8999999999999999E-3</v>
      </c>
    </row>
    <row r="545" spans="1:6" x14ac:dyDescent="0.35">
      <c r="A545" s="22" t="s">
        <v>993</v>
      </c>
      <c r="B545">
        <v>5.6619999999999999</v>
      </c>
      <c r="C545">
        <v>5.6619999999999999</v>
      </c>
      <c r="D545">
        <v>5.6619999999999999</v>
      </c>
      <c r="E545">
        <v>5.6619999999999999</v>
      </c>
      <c r="F545" s="21">
        <v>-1.6000000000000001E-3</v>
      </c>
    </row>
    <row r="546" spans="1:6" x14ac:dyDescent="0.35">
      <c r="A546" s="22" t="s">
        <v>995</v>
      </c>
      <c r="B546">
        <v>5.6710000000000003</v>
      </c>
      <c r="C546">
        <v>5.6710000000000003</v>
      </c>
      <c r="D546">
        <v>5.6710000000000003</v>
      </c>
      <c r="E546">
        <v>5.6710000000000003</v>
      </c>
      <c r="F546" s="21">
        <v>1.54E-2</v>
      </c>
    </row>
    <row r="547" spans="1:6" x14ac:dyDescent="0.35">
      <c r="A547" s="22">
        <v>41948</v>
      </c>
      <c r="B547">
        <v>5.585</v>
      </c>
      <c r="C547">
        <v>5.585</v>
      </c>
      <c r="D547">
        <v>5.585</v>
      </c>
      <c r="E547">
        <v>5.585</v>
      </c>
      <c r="F547" s="21">
        <v>2.4E-2</v>
      </c>
    </row>
    <row r="548" spans="1:6" x14ac:dyDescent="0.35">
      <c r="A548" s="22">
        <v>41734</v>
      </c>
      <c r="B548">
        <v>5.4539999999999997</v>
      </c>
      <c r="C548">
        <v>5.4539999999999997</v>
      </c>
      <c r="D548">
        <v>5.4539999999999997</v>
      </c>
      <c r="E548">
        <v>5.4539999999999997</v>
      </c>
      <c r="F548" s="21">
        <v>0.1094</v>
      </c>
    </row>
    <row r="549" spans="1:6" x14ac:dyDescent="0.35">
      <c r="A549" s="22" t="s">
        <v>999</v>
      </c>
      <c r="B549">
        <v>4.9160000000000004</v>
      </c>
      <c r="C549">
        <v>4.9160000000000004</v>
      </c>
      <c r="D549">
        <v>4.9160000000000004</v>
      </c>
      <c r="E549">
        <v>4.9160000000000004</v>
      </c>
      <c r="F549" s="21">
        <v>-6.8999999999999999E-3</v>
      </c>
    </row>
    <row r="550" spans="1:6" x14ac:dyDescent="0.35">
      <c r="A550" s="22" t="s">
        <v>1001</v>
      </c>
      <c r="B550">
        <v>4.95</v>
      </c>
      <c r="C550">
        <v>4.95</v>
      </c>
      <c r="D550">
        <v>4.95</v>
      </c>
      <c r="E550">
        <v>4.95</v>
      </c>
      <c r="F550" s="21">
        <v>-3.32E-2</v>
      </c>
    </row>
    <row r="551" spans="1:6" x14ac:dyDescent="0.35">
      <c r="A551" s="22" t="s">
        <v>1003</v>
      </c>
      <c r="B551">
        <v>5.12</v>
      </c>
      <c r="C551">
        <v>5.12</v>
      </c>
      <c r="D551">
        <v>5.12</v>
      </c>
      <c r="E551">
        <v>5.12</v>
      </c>
      <c r="F551" s="21">
        <v>2.2599999999999999E-2</v>
      </c>
    </row>
    <row r="552" spans="1:6" x14ac:dyDescent="0.35">
      <c r="A552" s="22">
        <v>41794</v>
      </c>
      <c r="B552">
        <v>5.0069999999999997</v>
      </c>
      <c r="C552">
        <v>5.0069999999999997</v>
      </c>
      <c r="D552">
        <v>5.0069999999999997</v>
      </c>
      <c r="E552">
        <v>5.0069999999999997</v>
      </c>
      <c r="F552" s="21">
        <v>-1.84E-2</v>
      </c>
    </row>
    <row r="553" spans="1:6" x14ac:dyDescent="0.35">
      <c r="A553" s="22" t="s">
        <v>1006</v>
      </c>
      <c r="B553">
        <v>5.101</v>
      </c>
      <c r="C553">
        <v>5.101</v>
      </c>
      <c r="D553">
        <v>5.101</v>
      </c>
      <c r="E553">
        <v>5.101</v>
      </c>
      <c r="F553" s="21">
        <v>5.1000000000000004E-3</v>
      </c>
    </row>
    <row r="554" spans="1:6" x14ac:dyDescent="0.35">
      <c r="A554" s="22" t="s">
        <v>1008</v>
      </c>
      <c r="B554">
        <v>5.0750000000000002</v>
      </c>
      <c r="C554">
        <v>5.0750000000000002</v>
      </c>
      <c r="D554">
        <v>5.0750000000000002</v>
      </c>
      <c r="E554">
        <v>5.0750000000000002</v>
      </c>
      <c r="F554" s="21">
        <v>-2.01E-2</v>
      </c>
    </row>
    <row r="555" spans="1:6" x14ac:dyDescent="0.35">
      <c r="A555" s="22" t="s">
        <v>1010</v>
      </c>
      <c r="B555">
        <v>5.1790000000000003</v>
      </c>
      <c r="C555">
        <v>5.1790000000000003</v>
      </c>
      <c r="D555">
        <v>5.1790000000000003</v>
      </c>
      <c r="E555">
        <v>5.1790000000000003</v>
      </c>
      <c r="F555" s="21">
        <v>-5.8000000000000003E-2</v>
      </c>
    </row>
    <row r="556" spans="1:6" x14ac:dyDescent="0.35">
      <c r="A556" s="22">
        <v>41885</v>
      </c>
      <c r="B556">
        <v>5.4980000000000002</v>
      </c>
      <c r="C556">
        <v>5.4980000000000002</v>
      </c>
      <c r="D556">
        <v>5.4980000000000002</v>
      </c>
      <c r="E556">
        <v>5.4980000000000002</v>
      </c>
      <c r="F556" s="21">
        <v>-5.4800000000000001E-2</v>
      </c>
    </row>
    <row r="557" spans="1:6" x14ac:dyDescent="0.35">
      <c r="A557" s="22">
        <v>41673</v>
      </c>
      <c r="B557">
        <v>5.8170000000000002</v>
      </c>
      <c r="C557">
        <v>5.8170000000000002</v>
      </c>
      <c r="D557">
        <v>5.8170000000000002</v>
      </c>
      <c r="E557">
        <v>5.8170000000000002</v>
      </c>
      <c r="F557" s="21">
        <v>-2.3199999999999998E-2</v>
      </c>
    </row>
    <row r="558" spans="1:6" x14ac:dyDescent="0.35">
      <c r="A558" s="22" t="s">
        <v>1014</v>
      </c>
      <c r="B558">
        <v>5.9550000000000001</v>
      </c>
      <c r="C558">
        <v>5.9550000000000001</v>
      </c>
      <c r="D558">
        <v>5.9550000000000001</v>
      </c>
      <c r="E558">
        <v>5.9550000000000001</v>
      </c>
      <c r="F558" s="21">
        <v>1.2999999999999999E-3</v>
      </c>
    </row>
    <row r="559" spans="1:6" x14ac:dyDescent="0.35">
      <c r="A559" s="22" t="s">
        <v>1016</v>
      </c>
      <c r="B559">
        <v>5.9470000000000001</v>
      </c>
      <c r="C559">
        <v>5.9470000000000001</v>
      </c>
      <c r="D559">
        <v>5.9470000000000001</v>
      </c>
      <c r="E559">
        <v>5.9470000000000001</v>
      </c>
      <c r="F559" s="21">
        <v>-4.3099999999999999E-2</v>
      </c>
    </row>
    <row r="560" spans="1:6" x14ac:dyDescent="0.35">
      <c r="A560" s="22">
        <v>41884</v>
      </c>
      <c r="B560">
        <v>6.2149999999999999</v>
      </c>
      <c r="C560">
        <v>6.2149999999999999</v>
      </c>
      <c r="D560">
        <v>6.2149999999999999</v>
      </c>
      <c r="E560">
        <v>6.2149999999999999</v>
      </c>
      <c r="F560" s="21">
        <v>-1.7500000000000002E-2</v>
      </c>
    </row>
    <row r="561" spans="1:6" x14ac:dyDescent="0.35">
      <c r="A561" s="22">
        <v>41672</v>
      </c>
      <c r="B561">
        <v>6.3259999999999996</v>
      </c>
      <c r="C561">
        <v>6.3259999999999996</v>
      </c>
      <c r="D561">
        <v>6.3259999999999996</v>
      </c>
      <c r="E561">
        <v>6.3259999999999996</v>
      </c>
      <c r="F561" s="21">
        <v>-1.0200000000000001E-2</v>
      </c>
    </row>
    <row r="562" spans="1:6" x14ac:dyDescent="0.35">
      <c r="A562" s="22" t="s">
        <v>1020</v>
      </c>
      <c r="B562">
        <v>6.391</v>
      </c>
      <c r="C562">
        <v>6.391</v>
      </c>
      <c r="D562">
        <v>6.391</v>
      </c>
      <c r="E562">
        <v>6.391</v>
      </c>
      <c r="F562" s="21">
        <v>2.2000000000000001E-3</v>
      </c>
    </row>
    <row r="563" spans="1:6" x14ac:dyDescent="0.35">
      <c r="A563" s="22" t="s">
        <v>1022</v>
      </c>
      <c r="B563">
        <v>6.3769999999999998</v>
      </c>
      <c r="C563">
        <v>6.3769999999999998</v>
      </c>
      <c r="D563">
        <v>6.3769999999999998</v>
      </c>
      <c r="E563">
        <v>6.3769999999999998</v>
      </c>
      <c r="F563" s="21">
        <v>-1.0200000000000001E-2</v>
      </c>
    </row>
    <row r="564" spans="1:6" x14ac:dyDescent="0.35">
      <c r="A564" s="22">
        <v>41974</v>
      </c>
      <c r="B564">
        <v>6.4429999999999996</v>
      </c>
      <c r="C564">
        <v>6.4429999999999996</v>
      </c>
      <c r="D564">
        <v>6.4429999999999996</v>
      </c>
      <c r="E564">
        <v>6.4429999999999996</v>
      </c>
      <c r="F564" s="21">
        <v>-2.01E-2</v>
      </c>
    </row>
    <row r="565" spans="1:6" x14ac:dyDescent="0.35">
      <c r="A565" s="22">
        <v>41760</v>
      </c>
      <c r="B565">
        <v>6.5750000000000002</v>
      </c>
      <c r="C565">
        <v>6.5750000000000002</v>
      </c>
      <c r="D565">
        <v>6.5750000000000002</v>
      </c>
      <c r="E565">
        <v>6.5750000000000002</v>
      </c>
      <c r="F565" s="21">
        <v>-1.14E-2</v>
      </c>
    </row>
    <row r="566" spans="1:6" x14ac:dyDescent="0.35">
      <c r="A566" s="22" t="s">
        <v>1026</v>
      </c>
      <c r="B566">
        <v>6.6509999999999998</v>
      </c>
      <c r="C566">
        <v>6.6509999999999998</v>
      </c>
      <c r="D566">
        <v>6.6509999999999998</v>
      </c>
      <c r="E566">
        <v>6.6509999999999998</v>
      </c>
      <c r="F566" s="21">
        <v>-6.3E-3</v>
      </c>
    </row>
    <row r="567" spans="1:6" x14ac:dyDescent="0.35">
      <c r="A567" s="22" t="s">
        <v>1028</v>
      </c>
      <c r="B567">
        <v>6.6929999999999996</v>
      </c>
      <c r="C567">
        <v>6.6929999999999996</v>
      </c>
      <c r="D567">
        <v>6.6929999999999996</v>
      </c>
      <c r="E567">
        <v>6.6929999999999996</v>
      </c>
      <c r="F567" s="21">
        <v>-1.21E-2</v>
      </c>
    </row>
    <row r="568" spans="1:6" x14ac:dyDescent="0.35">
      <c r="A568" s="22" t="s">
        <v>1030</v>
      </c>
      <c r="B568">
        <v>6.7750000000000004</v>
      </c>
      <c r="C568">
        <v>6.7750000000000004</v>
      </c>
      <c r="D568">
        <v>6.7750000000000004</v>
      </c>
      <c r="E568">
        <v>6.7750000000000004</v>
      </c>
      <c r="F568" s="21">
        <v>0</v>
      </c>
    </row>
    <row r="569" spans="1:6" x14ac:dyDescent="0.35">
      <c r="A569" s="22">
        <v>41498</v>
      </c>
      <c r="B569">
        <v>6.7750000000000004</v>
      </c>
      <c r="C569">
        <v>6.7750000000000004</v>
      </c>
      <c r="D569">
        <v>6.7750000000000004</v>
      </c>
      <c r="E569">
        <v>6.7750000000000004</v>
      </c>
      <c r="F569" s="21">
        <v>-1.9E-2</v>
      </c>
    </row>
    <row r="570" spans="1:6" x14ac:dyDescent="0.35">
      <c r="A570" s="22">
        <v>41286</v>
      </c>
      <c r="B570">
        <v>6.9059999999999997</v>
      </c>
      <c r="C570">
        <v>6.9059999999999997</v>
      </c>
      <c r="D570">
        <v>6.9059999999999997</v>
      </c>
      <c r="E570">
        <v>6.9059999999999997</v>
      </c>
      <c r="F570" s="21">
        <v>-1.5699999999999999E-2</v>
      </c>
    </row>
    <row r="571" spans="1:6" x14ac:dyDescent="0.35">
      <c r="A571" s="22" t="s">
        <v>1034</v>
      </c>
      <c r="B571">
        <v>7.016</v>
      </c>
      <c r="C571">
        <v>7.016</v>
      </c>
      <c r="D571">
        <v>7.016</v>
      </c>
      <c r="E571">
        <v>7.016</v>
      </c>
      <c r="F571" s="21">
        <v>-4.7999999999999996E-3</v>
      </c>
    </row>
    <row r="572" spans="1:6" x14ac:dyDescent="0.35">
      <c r="A572" s="22" t="s">
        <v>1036</v>
      </c>
      <c r="B572">
        <v>7.05</v>
      </c>
      <c r="C572">
        <v>7.05</v>
      </c>
      <c r="D572">
        <v>7.05</v>
      </c>
      <c r="E572">
        <v>7.05</v>
      </c>
      <c r="F572" s="21">
        <v>-4.1999999999999997E-3</v>
      </c>
    </row>
    <row r="573" spans="1:6" x14ac:dyDescent="0.35">
      <c r="A573" s="22">
        <v>41558</v>
      </c>
      <c r="B573">
        <v>7.08</v>
      </c>
      <c r="C573">
        <v>7.08</v>
      </c>
      <c r="D573">
        <v>7.08</v>
      </c>
      <c r="E573">
        <v>7.08</v>
      </c>
      <c r="F573" s="21">
        <v>1.5800000000000002E-2</v>
      </c>
    </row>
    <row r="574" spans="1:6" x14ac:dyDescent="0.35">
      <c r="A574" s="22">
        <v>41344</v>
      </c>
      <c r="B574">
        <v>6.97</v>
      </c>
      <c r="C574">
        <v>6.97</v>
      </c>
      <c r="D574">
        <v>6.97</v>
      </c>
      <c r="E574">
        <v>6.97</v>
      </c>
      <c r="F574" s="21">
        <v>-2.9999999999999997E-4</v>
      </c>
    </row>
    <row r="575" spans="1:6" x14ac:dyDescent="0.35">
      <c r="A575" s="22" t="s">
        <v>1040</v>
      </c>
      <c r="B575">
        <v>6.9720000000000004</v>
      </c>
      <c r="C575">
        <v>6.9720000000000004</v>
      </c>
      <c r="D575">
        <v>6.9720000000000004</v>
      </c>
      <c r="E575">
        <v>6.9720000000000004</v>
      </c>
      <c r="F575" s="21">
        <v>2.9499999999999998E-2</v>
      </c>
    </row>
    <row r="576" spans="1:6" x14ac:dyDescent="0.35">
      <c r="A576" s="22" t="s">
        <v>1042</v>
      </c>
      <c r="B576">
        <v>6.7720000000000002</v>
      </c>
      <c r="C576">
        <v>6.7720000000000002</v>
      </c>
      <c r="D576">
        <v>6.7720000000000002</v>
      </c>
      <c r="E576">
        <v>6.7720000000000002</v>
      </c>
      <c r="F576" s="21">
        <v>-1.23E-2</v>
      </c>
    </row>
    <row r="577" spans="1:6" x14ac:dyDescent="0.35">
      <c r="A577" s="22" t="s">
        <v>1044</v>
      </c>
      <c r="B577">
        <v>6.8559999999999999</v>
      </c>
      <c r="C577">
        <v>6.8559999999999999</v>
      </c>
      <c r="D577">
        <v>6.8559999999999999</v>
      </c>
      <c r="E577">
        <v>6.8559999999999999</v>
      </c>
      <c r="F577" s="21">
        <v>-1.01E-2</v>
      </c>
    </row>
    <row r="578" spans="1:6" x14ac:dyDescent="0.35">
      <c r="A578" s="22">
        <v>41435</v>
      </c>
      <c r="B578">
        <v>6.9260000000000002</v>
      </c>
      <c r="C578">
        <v>6.9260000000000002</v>
      </c>
      <c r="D578">
        <v>6.9260000000000002</v>
      </c>
      <c r="E578">
        <v>6.9260000000000002</v>
      </c>
      <c r="F578" s="21">
        <v>-1.61E-2</v>
      </c>
    </row>
    <row r="579" spans="1:6" x14ac:dyDescent="0.35">
      <c r="A579" s="22" t="s">
        <v>1047</v>
      </c>
      <c r="B579">
        <v>7.0389999999999997</v>
      </c>
      <c r="C579">
        <v>7.0389999999999997</v>
      </c>
      <c r="D579">
        <v>7.0389999999999997</v>
      </c>
      <c r="E579">
        <v>7.0389999999999997</v>
      </c>
      <c r="F579" s="21">
        <v>-2.24E-2</v>
      </c>
    </row>
    <row r="580" spans="1:6" x14ac:dyDescent="0.35">
      <c r="A580" s="22" t="s">
        <v>1049</v>
      </c>
      <c r="B580">
        <v>7.2</v>
      </c>
      <c r="C580">
        <v>7.2</v>
      </c>
      <c r="D580">
        <v>7.2</v>
      </c>
      <c r="E580">
        <v>7.2</v>
      </c>
      <c r="F580" s="21">
        <v>0</v>
      </c>
    </row>
    <row r="581" spans="1:6" x14ac:dyDescent="0.35">
      <c r="A581" s="22" t="s">
        <v>1051</v>
      </c>
      <c r="B581">
        <v>7.2</v>
      </c>
      <c r="C581">
        <v>7.2</v>
      </c>
      <c r="D581">
        <v>7.2</v>
      </c>
      <c r="E581">
        <v>7.2</v>
      </c>
      <c r="F581" s="21">
        <v>-9.1000000000000004E-3</v>
      </c>
    </row>
    <row r="582" spans="1:6" x14ac:dyDescent="0.35">
      <c r="A582" s="22">
        <v>41495</v>
      </c>
      <c r="B582">
        <v>7.266</v>
      </c>
      <c r="C582">
        <v>7.266</v>
      </c>
      <c r="D582">
        <v>7.266</v>
      </c>
      <c r="E582">
        <v>7.266</v>
      </c>
      <c r="F582" s="21">
        <v>6.7999999999999996E-3</v>
      </c>
    </row>
    <row r="583" spans="1:6" x14ac:dyDescent="0.35">
      <c r="A583" s="22">
        <v>41283</v>
      </c>
      <c r="B583">
        <v>7.2169999999999996</v>
      </c>
      <c r="C583">
        <v>7.2169999999999996</v>
      </c>
      <c r="D583">
        <v>7.2169999999999996</v>
      </c>
      <c r="E583">
        <v>7.2169999999999996</v>
      </c>
      <c r="F583" s="21">
        <v>4.1999999999999997E-3</v>
      </c>
    </row>
    <row r="584" spans="1:6" x14ac:dyDescent="0.35">
      <c r="A584" s="22" t="s">
        <v>1055</v>
      </c>
      <c r="B584">
        <v>7.1870000000000003</v>
      </c>
      <c r="C584">
        <v>7.1870000000000003</v>
      </c>
      <c r="D584">
        <v>7.1870000000000003</v>
      </c>
      <c r="E584">
        <v>7.1870000000000003</v>
      </c>
      <c r="F584" s="21">
        <v>2.7300000000000001E-2</v>
      </c>
    </row>
    <row r="585" spans="1:6" x14ac:dyDescent="0.35">
      <c r="A585" s="22" t="s">
        <v>1057</v>
      </c>
      <c r="B585">
        <v>6.9960000000000004</v>
      </c>
      <c r="C585">
        <v>6.9960000000000004</v>
      </c>
      <c r="D585">
        <v>6.9960000000000004</v>
      </c>
      <c r="E585">
        <v>6.9960000000000004</v>
      </c>
      <c r="F585" s="21">
        <v>2.4799999999999999E-2</v>
      </c>
    </row>
    <row r="586" spans="1:6" x14ac:dyDescent="0.35">
      <c r="A586" s="22">
        <v>41586</v>
      </c>
      <c r="B586">
        <v>6.827</v>
      </c>
      <c r="C586">
        <v>6.827</v>
      </c>
      <c r="D586">
        <v>6.827</v>
      </c>
      <c r="E586">
        <v>6.827</v>
      </c>
      <c r="F586" s="21">
        <v>-8.9999999999999998E-4</v>
      </c>
    </row>
    <row r="587" spans="1:6" x14ac:dyDescent="0.35">
      <c r="A587" s="22">
        <v>41372</v>
      </c>
      <c r="B587">
        <v>6.8330000000000002</v>
      </c>
      <c r="C587">
        <v>6.8330000000000002</v>
      </c>
      <c r="D587">
        <v>6.8330000000000002</v>
      </c>
      <c r="E587">
        <v>6.8330000000000002</v>
      </c>
      <c r="F587" s="21">
        <v>-3.2199999999999999E-2</v>
      </c>
    </row>
    <row r="588" spans="1:6" x14ac:dyDescent="0.35">
      <c r="A588" s="22" t="s">
        <v>1061</v>
      </c>
      <c r="B588">
        <v>7.06</v>
      </c>
      <c r="C588">
        <v>7.06</v>
      </c>
      <c r="D588">
        <v>7.06</v>
      </c>
      <c r="E588">
        <v>7.06</v>
      </c>
      <c r="F588" s="21">
        <v>-6.9999999999999999E-4</v>
      </c>
    </row>
    <row r="589" spans="1:6" x14ac:dyDescent="0.35">
      <c r="A589" s="22" t="s">
        <v>1063</v>
      </c>
      <c r="B589">
        <v>7.0650000000000004</v>
      </c>
      <c r="C589">
        <v>7.0650000000000004</v>
      </c>
      <c r="D589">
        <v>7.0650000000000004</v>
      </c>
      <c r="E589">
        <v>7.0650000000000004</v>
      </c>
      <c r="F589" s="21">
        <v>2.7000000000000001E-3</v>
      </c>
    </row>
    <row r="590" spans="1:6" x14ac:dyDescent="0.35">
      <c r="A590" s="22" t="s">
        <v>1065</v>
      </c>
      <c r="B590">
        <v>7.0460000000000003</v>
      </c>
      <c r="C590">
        <v>7.0460000000000003</v>
      </c>
      <c r="D590">
        <v>7.0460000000000003</v>
      </c>
      <c r="E590">
        <v>7.0460000000000003</v>
      </c>
      <c r="F590" s="21">
        <v>3.8199999999999998E-2</v>
      </c>
    </row>
    <row r="591" spans="1:6" x14ac:dyDescent="0.35">
      <c r="A591" s="22">
        <v>41462</v>
      </c>
      <c r="B591">
        <v>6.7869999999999999</v>
      </c>
      <c r="C591">
        <v>6.7869999999999999</v>
      </c>
      <c r="D591">
        <v>6.7869999999999999</v>
      </c>
      <c r="E591">
        <v>6.7869999999999999</v>
      </c>
      <c r="F591" s="21">
        <v>1.2999999999999999E-2</v>
      </c>
    </row>
    <row r="592" spans="1:6" x14ac:dyDescent="0.35">
      <c r="A592" s="22" t="s">
        <v>1068</v>
      </c>
      <c r="B592">
        <v>6.7</v>
      </c>
      <c r="C592">
        <v>6.7</v>
      </c>
      <c r="D592">
        <v>6.7</v>
      </c>
      <c r="E592">
        <v>6.7</v>
      </c>
      <c r="F592" s="21">
        <v>2.92E-2</v>
      </c>
    </row>
    <row r="593" spans="1:6" x14ac:dyDescent="0.35">
      <c r="A593" s="22" t="s">
        <v>1070</v>
      </c>
      <c r="B593">
        <v>6.51</v>
      </c>
      <c r="C593">
        <v>6.51</v>
      </c>
      <c r="D593">
        <v>6.51</v>
      </c>
      <c r="E593">
        <v>6.51</v>
      </c>
      <c r="F593" s="21">
        <v>1.04E-2</v>
      </c>
    </row>
    <row r="594" spans="1:6" x14ac:dyDescent="0.35">
      <c r="A594" s="22" t="s">
        <v>1072</v>
      </c>
      <c r="B594">
        <v>6.4429999999999996</v>
      </c>
      <c r="C594">
        <v>6.4429999999999996</v>
      </c>
      <c r="D594">
        <v>6.4429999999999996</v>
      </c>
      <c r="E594">
        <v>6.4429999999999996</v>
      </c>
      <c r="F594" s="21">
        <v>3.32E-2</v>
      </c>
    </row>
    <row r="595" spans="1:6" x14ac:dyDescent="0.35">
      <c r="A595" s="22">
        <v>41523</v>
      </c>
      <c r="B595">
        <v>6.2359999999999998</v>
      </c>
      <c r="C595">
        <v>6.2359999999999998</v>
      </c>
      <c r="D595">
        <v>6.2359999999999998</v>
      </c>
      <c r="E595">
        <v>6.2359999999999998</v>
      </c>
      <c r="F595" s="21">
        <v>4.1399999999999999E-2</v>
      </c>
    </row>
    <row r="596" spans="1:6" x14ac:dyDescent="0.35">
      <c r="A596" s="22">
        <v>41311</v>
      </c>
      <c r="B596">
        <v>5.9880000000000004</v>
      </c>
      <c r="C596">
        <v>5.9880000000000004</v>
      </c>
      <c r="D596">
        <v>5.9880000000000004</v>
      </c>
      <c r="E596">
        <v>5.9880000000000004</v>
      </c>
      <c r="F596" s="21">
        <v>-7.3200000000000001E-2</v>
      </c>
    </row>
    <row r="597" spans="1:6" x14ac:dyDescent="0.35">
      <c r="A597" s="22" t="s">
        <v>1076</v>
      </c>
      <c r="B597">
        <v>6.4610000000000003</v>
      </c>
      <c r="C597">
        <v>6.4610000000000003</v>
      </c>
      <c r="D597">
        <v>6.4610000000000003</v>
      </c>
      <c r="E597">
        <v>6.4610000000000003</v>
      </c>
      <c r="F597" s="21">
        <v>-2.4500000000000001E-2</v>
      </c>
    </row>
    <row r="598" spans="1:6" x14ac:dyDescent="0.35">
      <c r="A598" s="22" t="s">
        <v>1078</v>
      </c>
      <c r="B598">
        <v>6.6230000000000002</v>
      </c>
      <c r="C598">
        <v>6.6230000000000002</v>
      </c>
      <c r="D598">
        <v>6.6230000000000002</v>
      </c>
      <c r="E598">
        <v>6.6230000000000002</v>
      </c>
      <c r="F598" s="21">
        <v>-5.21E-2</v>
      </c>
    </row>
    <row r="599" spans="1:6" x14ac:dyDescent="0.35">
      <c r="A599" s="22">
        <v>41613</v>
      </c>
      <c r="B599">
        <v>6.9870000000000001</v>
      </c>
      <c r="C599">
        <v>6.9870000000000001</v>
      </c>
      <c r="D599">
        <v>6.9870000000000001</v>
      </c>
      <c r="E599">
        <v>6.9870000000000001</v>
      </c>
      <c r="F599" s="21">
        <v>-2.3199999999999998E-2</v>
      </c>
    </row>
    <row r="600" spans="1:6" x14ac:dyDescent="0.35">
      <c r="A600" s="22">
        <v>41399</v>
      </c>
      <c r="B600">
        <v>7.1529999999999996</v>
      </c>
      <c r="C600">
        <v>7.1529999999999996</v>
      </c>
      <c r="D600">
        <v>7.1529999999999996</v>
      </c>
      <c r="E600">
        <v>7.1529999999999996</v>
      </c>
      <c r="F600" s="21">
        <v>-8.2000000000000007E-3</v>
      </c>
    </row>
    <row r="601" spans="1:6" x14ac:dyDescent="0.35">
      <c r="A601" s="22" t="s">
        <v>1082</v>
      </c>
      <c r="B601">
        <v>7.2119999999999997</v>
      </c>
      <c r="C601">
        <v>7.2119999999999997</v>
      </c>
      <c r="D601">
        <v>7.2119999999999997</v>
      </c>
      <c r="E601">
        <v>7.2119999999999997</v>
      </c>
      <c r="F601" s="21">
        <v>-2.0400000000000001E-2</v>
      </c>
    </row>
    <row r="602" spans="1:6" x14ac:dyDescent="0.35">
      <c r="A602" s="22" t="s">
        <v>1084</v>
      </c>
      <c r="B602">
        <v>7.3620000000000001</v>
      </c>
      <c r="C602">
        <v>7.3620000000000001</v>
      </c>
      <c r="D602">
        <v>7.3620000000000001</v>
      </c>
      <c r="E602">
        <v>7.3620000000000001</v>
      </c>
      <c r="F602" s="21">
        <v>-8.9999999999999993E-3</v>
      </c>
    </row>
    <row r="603" spans="1:6" x14ac:dyDescent="0.35">
      <c r="A603" s="22" t="s">
        <v>1086</v>
      </c>
      <c r="B603">
        <v>7.4290000000000003</v>
      </c>
      <c r="C603">
        <v>7.4290000000000003</v>
      </c>
      <c r="D603">
        <v>7.4290000000000003</v>
      </c>
      <c r="E603">
        <v>7.4290000000000003</v>
      </c>
      <c r="F603" s="21">
        <v>-1.37E-2</v>
      </c>
    </row>
    <row r="604" spans="1:6" x14ac:dyDescent="0.35">
      <c r="A604" s="22">
        <v>41459</v>
      </c>
      <c r="B604">
        <v>7.532</v>
      </c>
      <c r="C604">
        <v>7.532</v>
      </c>
      <c r="D604">
        <v>7.532</v>
      </c>
      <c r="E604">
        <v>7.532</v>
      </c>
      <c r="F604" s="21">
        <v>-8.6999999999999994E-3</v>
      </c>
    </row>
    <row r="605" spans="1:6" x14ac:dyDescent="0.35">
      <c r="A605" s="22" t="s">
        <v>1089</v>
      </c>
      <c r="B605">
        <v>7.5979999999999999</v>
      </c>
      <c r="C605">
        <v>7.5979999999999999</v>
      </c>
      <c r="D605">
        <v>7.5979999999999999</v>
      </c>
      <c r="E605">
        <v>7.5979999999999999</v>
      </c>
      <c r="F605" s="21">
        <v>-3.15E-2</v>
      </c>
    </row>
    <row r="606" spans="1:6" x14ac:dyDescent="0.35">
      <c r="A606" s="22" t="s">
        <v>1091</v>
      </c>
      <c r="B606">
        <v>7.8449999999999998</v>
      </c>
      <c r="C606">
        <v>7.8449999999999998</v>
      </c>
      <c r="D606">
        <v>7.8449999999999998</v>
      </c>
      <c r="E606">
        <v>7.8449999999999998</v>
      </c>
      <c r="F606" s="21">
        <v>-2.07E-2</v>
      </c>
    </row>
    <row r="607" spans="1:6" x14ac:dyDescent="0.35">
      <c r="A607" s="22" t="s">
        <v>1093</v>
      </c>
      <c r="B607">
        <v>8.0109999999999992</v>
      </c>
      <c r="C607">
        <v>8.0109999999999992</v>
      </c>
      <c r="D607">
        <v>8.0109999999999992</v>
      </c>
      <c r="E607">
        <v>8.0109999999999992</v>
      </c>
      <c r="F607" s="21">
        <v>-3.1699999999999999E-2</v>
      </c>
    </row>
    <row r="608" spans="1:6" x14ac:dyDescent="0.35">
      <c r="A608" s="22">
        <v>41550</v>
      </c>
      <c r="B608">
        <v>8.2729999999999997</v>
      </c>
      <c r="C608">
        <v>8.2729999999999997</v>
      </c>
      <c r="D608">
        <v>8.2729999999999997</v>
      </c>
      <c r="E608">
        <v>8.2729999999999997</v>
      </c>
      <c r="F608" s="21">
        <v>2.0999999999999999E-3</v>
      </c>
    </row>
    <row r="609" spans="1:6" x14ac:dyDescent="0.35">
      <c r="A609" s="22">
        <v>41336</v>
      </c>
      <c r="B609">
        <v>8.2560000000000002</v>
      </c>
      <c r="C609">
        <v>8.2560000000000002</v>
      </c>
      <c r="D609">
        <v>8.2560000000000002</v>
      </c>
      <c r="E609">
        <v>8.2560000000000002</v>
      </c>
      <c r="F609" s="21">
        <v>-5.1999999999999998E-3</v>
      </c>
    </row>
    <row r="610" spans="1:6" x14ac:dyDescent="0.35">
      <c r="A610" s="22" t="s">
        <v>1097</v>
      </c>
      <c r="B610">
        <v>8.2989999999999995</v>
      </c>
      <c r="C610">
        <v>8.2989999999999995</v>
      </c>
      <c r="D610">
        <v>8.2989999999999995</v>
      </c>
      <c r="E610">
        <v>8.2989999999999995</v>
      </c>
      <c r="F610" s="21">
        <v>-1.4500000000000001E-2</v>
      </c>
    </row>
    <row r="611" spans="1:6" x14ac:dyDescent="0.35">
      <c r="A611" s="22" t="s">
        <v>1099</v>
      </c>
      <c r="B611">
        <v>8.4209999999999994</v>
      </c>
      <c r="C611">
        <v>8.4209999999999994</v>
      </c>
      <c r="D611">
        <v>8.4209999999999994</v>
      </c>
      <c r="E611">
        <v>8.4209999999999994</v>
      </c>
      <c r="F611" s="21">
        <v>-5.3E-3</v>
      </c>
    </row>
    <row r="612" spans="1:6" x14ac:dyDescent="0.35">
      <c r="A612" s="22">
        <v>41335</v>
      </c>
      <c r="B612">
        <v>8.4659999999999993</v>
      </c>
      <c r="C612">
        <v>8.4659999999999993</v>
      </c>
      <c r="D612">
        <v>8.4659999999999993</v>
      </c>
      <c r="E612">
        <v>8.4659999999999993</v>
      </c>
      <c r="F612" s="21">
        <v>1.6999999999999999E-3</v>
      </c>
    </row>
    <row r="613" spans="1:6" x14ac:dyDescent="0.35">
      <c r="A613" s="22" t="s">
        <v>1102</v>
      </c>
      <c r="B613">
        <v>8.452</v>
      </c>
      <c r="C613">
        <v>8.452</v>
      </c>
      <c r="D613">
        <v>8.452</v>
      </c>
      <c r="E613">
        <v>8.452</v>
      </c>
      <c r="F613" s="21">
        <v>2.7300000000000001E-2</v>
      </c>
    </row>
    <row r="614" spans="1:6" x14ac:dyDescent="0.35">
      <c r="A614" s="22" t="s">
        <v>1104</v>
      </c>
      <c r="B614">
        <v>8.2270000000000003</v>
      </c>
      <c r="C614">
        <v>8.2270000000000003</v>
      </c>
      <c r="D614">
        <v>8.2270000000000003</v>
      </c>
      <c r="E614">
        <v>8.2270000000000003</v>
      </c>
      <c r="F614" s="21">
        <v>-9.9000000000000008E-3</v>
      </c>
    </row>
    <row r="615" spans="1:6" x14ac:dyDescent="0.35">
      <c r="A615" s="22" t="s">
        <v>1106</v>
      </c>
      <c r="B615">
        <v>8.3089999999999993</v>
      </c>
      <c r="C615">
        <v>8.3089999999999993</v>
      </c>
      <c r="D615">
        <v>8.3089999999999993</v>
      </c>
      <c r="E615">
        <v>8.3089999999999993</v>
      </c>
      <c r="F615" s="21">
        <v>-4.2900000000000001E-2</v>
      </c>
    </row>
    <row r="616" spans="1:6" x14ac:dyDescent="0.35">
      <c r="A616" s="22">
        <v>41426</v>
      </c>
      <c r="B616">
        <v>8.6809999999999992</v>
      </c>
      <c r="C616">
        <v>8.6809999999999992</v>
      </c>
      <c r="D616">
        <v>8.6809999999999992</v>
      </c>
      <c r="E616">
        <v>8.6809999999999992</v>
      </c>
      <c r="F616" s="21">
        <v>-2.64E-2</v>
      </c>
    </row>
    <row r="617" spans="1:6" x14ac:dyDescent="0.35">
      <c r="A617" s="22" t="s">
        <v>1109</v>
      </c>
      <c r="B617">
        <v>8.9160000000000004</v>
      </c>
      <c r="C617">
        <v>8.9160000000000004</v>
      </c>
      <c r="D617">
        <v>8.9160000000000004</v>
      </c>
      <c r="E617">
        <v>8.9160000000000004</v>
      </c>
      <c r="F617" s="21">
        <v>2.2000000000000001E-3</v>
      </c>
    </row>
    <row r="618" spans="1:6" x14ac:dyDescent="0.35">
      <c r="A618" s="22" t="s">
        <v>1111</v>
      </c>
      <c r="B618">
        <v>8.8960000000000008</v>
      </c>
      <c r="C618">
        <v>8.8960000000000008</v>
      </c>
      <c r="D618">
        <v>8.8960000000000008</v>
      </c>
      <c r="E618">
        <v>8.8960000000000008</v>
      </c>
      <c r="F618" s="21">
        <v>-1.2500000000000001E-2</v>
      </c>
    </row>
    <row r="619" spans="1:6" x14ac:dyDescent="0.35">
      <c r="A619" s="22" t="s">
        <v>1113</v>
      </c>
      <c r="B619">
        <v>9.0090000000000003</v>
      </c>
      <c r="C619">
        <v>9.0090000000000003</v>
      </c>
      <c r="D619">
        <v>9.0090000000000003</v>
      </c>
      <c r="E619">
        <v>9.0090000000000003</v>
      </c>
      <c r="F619" s="21">
        <v>2.9999999999999997E-4</v>
      </c>
    </row>
    <row r="620" spans="1:6" x14ac:dyDescent="0.35">
      <c r="A620" s="22">
        <v>41164</v>
      </c>
      <c r="B620">
        <v>9.0060000000000002</v>
      </c>
      <c r="C620">
        <v>9.0060000000000002</v>
      </c>
      <c r="D620">
        <v>9.0060000000000002</v>
      </c>
      <c r="E620">
        <v>9.0060000000000002</v>
      </c>
      <c r="F620" s="21">
        <v>-1.8E-3</v>
      </c>
    </row>
    <row r="621" spans="1:6" x14ac:dyDescent="0.35">
      <c r="A621" s="22">
        <v>40951</v>
      </c>
      <c r="B621">
        <v>9.0220000000000002</v>
      </c>
      <c r="C621">
        <v>9.0220000000000002</v>
      </c>
      <c r="D621">
        <v>9.0220000000000002</v>
      </c>
      <c r="E621">
        <v>9.0220000000000002</v>
      </c>
      <c r="F621" s="21">
        <v>-2.8E-3</v>
      </c>
    </row>
    <row r="622" spans="1:6" x14ac:dyDescent="0.35">
      <c r="A622" s="22" t="s">
        <v>1117</v>
      </c>
      <c r="B622">
        <v>9.0470000000000006</v>
      </c>
      <c r="C622">
        <v>9.0470000000000006</v>
      </c>
      <c r="D622">
        <v>9.0470000000000006</v>
      </c>
      <c r="E622">
        <v>9.0470000000000006</v>
      </c>
      <c r="F622" s="21">
        <v>-1.6400000000000001E-2</v>
      </c>
    </row>
    <row r="623" spans="1:6" x14ac:dyDescent="0.35">
      <c r="A623" s="22" t="s">
        <v>1119</v>
      </c>
      <c r="B623">
        <v>9.1980000000000004</v>
      </c>
      <c r="C623">
        <v>9.1980000000000004</v>
      </c>
      <c r="D623">
        <v>9.1980000000000004</v>
      </c>
      <c r="E623">
        <v>9.1980000000000004</v>
      </c>
      <c r="F623" s="21">
        <v>-2.0899999999999998E-2</v>
      </c>
    </row>
    <row r="624" spans="1:6" x14ac:dyDescent="0.35">
      <c r="A624" s="22">
        <v>41224</v>
      </c>
      <c r="B624">
        <v>9.3940000000000001</v>
      </c>
      <c r="C624">
        <v>9.3940000000000001</v>
      </c>
      <c r="D624">
        <v>9.3940000000000001</v>
      </c>
      <c r="E624">
        <v>9.3940000000000001</v>
      </c>
      <c r="F624" s="21">
        <v>-1.2200000000000001E-2</v>
      </c>
    </row>
    <row r="625" spans="1:6" x14ac:dyDescent="0.35">
      <c r="A625" s="22">
        <v>41010</v>
      </c>
      <c r="B625">
        <v>9.51</v>
      </c>
      <c r="C625">
        <v>9.51</v>
      </c>
      <c r="D625">
        <v>9.51</v>
      </c>
      <c r="E625">
        <v>9.51</v>
      </c>
      <c r="F625" s="21">
        <v>-7.1000000000000004E-3</v>
      </c>
    </row>
    <row r="626" spans="1:6" x14ac:dyDescent="0.35">
      <c r="A626" s="22" t="s">
        <v>1123</v>
      </c>
      <c r="B626">
        <v>9.5779999999999994</v>
      </c>
      <c r="C626">
        <v>9.5779999999999994</v>
      </c>
      <c r="D626">
        <v>9.5779999999999994</v>
      </c>
      <c r="E626">
        <v>9.5779999999999994</v>
      </c>
      <c r="F626" s="21">
        <v>-1.24E-2</v>
      </c>
    </row>
    <row r="627" spans="1:6" x14ac:dyDescent="0.35">
      <c r="A627" s="22" t="s">
        <v>1125</v>
      </c>
      <c r="B627">
        <v>9.6980000000000004</v>
      </c>
      <c r="C627">
        <v>9.6980000000000004</v>
      </c>
      <c r="D627">
        <v>9.6980000000000004</v>
      </c>
      <c r="E627">
        <v>9.6980000000000004</v>
      </c>
      <c r="F627" s="21">
        <v>1.5E-3</v>
      </c>
    </row>
    <row r="628" spans="1:6" x14ac:dyDescent="0.35">
      <c r="A628" s="22" t="s">
        <v>1127</v>
      </c>
      <c r="B628">
        <v>9.6829999999999998</v>
      </c>
      <c r="C628">
        <v>9.6829999999999998</v>
      </c>
      <c r="D628">
        <v>9.6829999999999998</v>
      </c>
      <c r="E628">
        <v>9.6829999999999998</v>
      </c>
      <c r="F628" s="21">
        <v>5.7999999999999996E-3</v>
      </c>
    </row>
    <row r="629" spans="1:6" x14ac:dyDescent="0.35">
      <c r="A629" s="22">
        <v>41100</v>
      </c>
      <c r="B629">
        <v>9.6270000000000007</v>
      </c>
      <c r="C629">
        <v>9.6270000000000007</v>
      </c>
      <c r="D629">
        <v>9.6270000000000007</v>
      </c>
      <c r="E629">
        <v>9.6270000000000007</v>
      </c>
      <c r="F629" s="21">
        <v>1.1900000000000001E-2</v>
      </c>
    </row>
    <row r="630" spans="1:6" x14ac:dyDescent="0.35">
      <c r="A630" s="22" t="s">
        <v>1130</v>
      </c>
      <c r="B630">
        <v>9.5139999999999993</v>
      </c>
      <c r="C630">
        <v>9.5139999999999993</v>
      </c>
      <c r="D630">
        <v>9.5139999999999993</v>
      </c>
      <c r="E630">
        <v>9.5139999999999993</v>
      </c>
      <c r="F630" s="21">
        <v>-4.0000000000000002E-4</v>
      </c>
    </row>
    <row r="631" spans="1:6" x14ac:dyDescent="0.35">
      <c r="A631" s="22" t="s">
        <v>1132</v>
      </c>
      <c r="B631">
        <v>9.5180000000000007</v>
      </c>
      <c r="C631">
        <v>9.5180000000000007</v>
      </c>
      <c r="D631">
        <v>9.5180000000000007</v>
      </c>
      <c r="E631">
        <v>9.5180000000000007</v>
      </c>
      <c r="F631" s="21">
        <v>2.3400000000000001E-2</v>
      </c>
    </row>
    <row r="632" spans="1:6" x14ac:dyDescent="0.35">
      <c r="A632" s="22" t="s">
        <v>1134</v>
      </c>
      <c r="B632">
        <v>9.3000000000000007</v>
      </c>
      <c r="C632">
        <v>9.3000000000000007</v>
      </c>
      <c r="D632">
        <v>9.3000000000000007</v>
      </c>
      <c r="E632">
        <v>9.3000000000000007</v>
      </c>
      <c r="F632" s="21">
        <v>3.5999999999999999E-3</v>
      </c>
    </row>
    <row r="633" spans="1:6" x14ac:dyDescent="0.35">
      <c r="A633" s="22">
        <v>41161</v>
      </c>
      <c r="B633">
        <v>9.2669999999999995</v>
      </c>
      <c r="C633">
        <v>9.2669999999999995</v>
      </c>
      <c r="D633">
        <v>9.2669999999999995</v>
      </c>
      <c r="E633">
        <v>9.2669999999999995</v>
      </c>
      <c r="F633" s="21">
        <v>-1.9E-3</v>
      </c>
    </row>
    <row r="634" spans="1:6" x14ac:dyDescent="0.35">
      <c r="A634" s="22">
        <v>40948</v>
      </c>
      <c r="B634">
        <v>9.2850000000000001</v>
      </c>
      <c r="C634">
        <v>9.2850000000000001</v>
      </c>
      <c r="D634">
        <v>9.2850000000000001</v>
      </c>
      <c r="E634">
        <v>9.2850000000000001</v>
      </c>
      <c r="F634" s="21">
        <v>8.0000000000000002E-3</v>
      </c>
    </row>
    <row r="635" spans="1:6" x14ac:dyDescent="0.35">
      <c r="A635" s="22" t="s">
        <v>1138</v>
      </c>
      <c r="B635">
        <v>9.2110000000000003</v>
      </c>
      <c r="C635">
        <v>9.2110000000000003</v>
      </c>
      <c r="D635">
        <v>9.2110000000000003</v>
      </c>
      <c r="E635">
        <v>9.2110000000000003</v>
      </c>
      <c r="F635" s="21">
        <v>7.1000000000000004E-3</v>
      </c>
    </row>
    <row r="636" spans="1:6" x14ac:dyDescent="0.35">
      <c r="A636" s="22" t="s">
        <v>1140</v>
      </c>
      <c r="B636">
        <v>9.1460000000000008</v>
      </c>
      <c r="C636">
        <v>9.1460000000000008</v>
      </c>
      <c r="D636">
        <v>9.1460000000000008</v>
      </c>
      <c r="E636">
        <v>9.1460000000000008</v>
      </c>
      <c r="F636" s="21">
        <v>2.7099999999999999E-2</v>
      </c>
    </row>
    <row r="637" spans="1:6" x14ac:dyDescent="0.35">
      <c r="A637" s="22">
        <v>41251</v>
      </c>
      <c r="B637">
        <v>8.9049999999999994</v>
      </c>
      <c r="C637">
        <v>8.9049999999999994</v>
      </c>
      <c r="D637">
        <v>8.9049999999999994</v>
      </c>
      <c r="E637">
        <v>8.9049999999999994</v>
      </c>
      <c r="F637" s="21">
        <v>1.9E-3</v>
      </c>
    </row>
    <row r="638" spans="1:6" x14ac:dyDescent="0.35">
      <c r="A638" s="22">
        <v>41037</v>
      </c>
      <c r="B638">
        <v>8.8879999999999999</v>
      </c>
      <c r="C638">
        <v>8.8879999999999999</v>
      </c>
      <c r="D638">
        <v>8.8879999999999999</v>
      </c>
      <c r="E638">
        <v>8.8879999999999999</v>
      </c>
      <c r="F638" s="21">
        <v>-7.3000000000000001E-3</v>
      </c>
    </row>
    <row r="639" spans="1:6" x14ac:dyDescent="0.35">
      <c r="A639" s="22" t="s">
        <v>1144</v>
      </c>
      <c r="B639">
        <v>8.9529999999999994</v>
      </c>
      <c r="C639">
        <v>8.9529999999999994</v>
      </c>
      <c r="D639">
        <v>8.9529999999999994</v>
      </c>
      <c r="E639">
        <v>8.9529999999999994</v>
      </c>
      <c r="F639" s="21">
        <v>-3.9100000000000003E-2</v>
      </c>
    </row>
    <row r="640" spans="1:6" x14ac:dyDescent="0.35">
      <c r="A640" s="22" t="s">
        <v>1146</v>
      </c>
      <c r="B640">
        <v>9.3170000000000002</v>
      </c>
      <c r="C640">
        <v>9.3170000000000002</v>
      </c>
      <c r="D640">
        <v>9.3170000000000002</v>
      </c>
      <c r="E640">
        <v>9.3170000000000002</v>
      </c>
      <c r="F640" s="21">
        <v>-1.4999999999999999E-2</v>
      </c>
    </row>
    <row r="641" spans="1:6" x14ac:dyDescent="0.35">
      <c r="A641" s="22" t="s">
        <v>1148</v>
      </c>
      <c r="B641">
        <v>9.4589999999999996</v>
      </c>
      <c r="C641">
        <v>9.4589999999999996</v>
      </c>
      <c r="D641">
        <v>9.4589999999999996</v>
      </c>
      <c r="E641">
        <v>9.4589999999999996</v>
      </c>
      <c r="F641" s="21">
        <v>-4.1000000000000003E-3</v>
      </c>
    </row>
    <row r="642" spans="1:6" x14ac:dyDescent="0.35">
      <c r="A642" s="22">
        <v>41128</v>
      </c>
      <c r="B642">
        <v>9.4979999999999993</v>
      </c>
      <c r="C642">
        <v>9.4979999999999993</v>
      </c>
      <c r="D642">
        <v>9.4979999999999993</v>
      </c>
      <c r="E642">
        <v>9.4979999999999993</v>
      </c>
      <c r="F642" s="21">
        <v>1.84E-2</v>
      </c>
    </row>
    <row r="643" spans="1:6" x14ac:dyDescent="0.35">
      <c r="A643" s="22">
        <v>40915</v>
      </c>
      <c r="B643">
        <v>9.3260000000000005</v>
      </c>
      <c r="C643">
        <v>9.3260000000000005</v>
      </c>
      <c r="D643">
        <v>9.3260000000000005</v>
      </c>
      <c r="E643">
        <v>9.3260000000000005</v>
      </c>
      <c r="F643" s="21">
        <v>-6.3E-3</v>
      </c>
    </row>
    <row r="644" spans="1:6" x14ac:dyDescent="0.35">
      <c r="A644" s="22" t="s">
        <v>1152</v>
      </c>
      <c r="B644">
        <v>9.3849999999999998</v>
      </c>
      <c r="C644">
        <v>9.3849999999999998</v>
      </c>
      <c r="D644">
        <v>9.3849999999999998</v>
      </c>
      <c r="E644">
        <v>9.3849999999999998</v>
      </c>
      <c r="F644" s="21">
        <v>3.2000000000000001E-2</v>
      </c>
    </row>
    <row r="645" spans="1:6" x14ac:dyDescent="0.35">
      <c r="A645" s="22" t="s">
        <v>1154</v>
      </c>
      <c r="B645">
        <v>9.0939999999999994</v>
      </c>
      <c r="C645">
        <v>9.0939999999999994</v>
      </c>
      <c r="D645">
        <v>9.0939999999999994</v>
      </c>
      <c r="E645">
        <v>9.0939999999999994</v>
      </c>
      <c r="F645" s="21">
        <v>7.6E-3</v>
      </c>
    </row>
    <row r="646" spans="1:6" x14ac:dyDescent="0.35">
      <c r="A646" s="22">
        <v>41188</v>
      </c>
      <c r="B646">
        <v>9.0250000000000004</v>
      </c>
      <c r="C646">
        <v>9.0250000000000004</v>
      </c>
      <c r="D646">
        <v>9.0250000000000004</v>
      </c>
      <c r="E646">
        <v>9.0250000000000004</v>
      </c>
      <c r="F646" s="21">
        <v>1.89E-2</v>
      </c>
    </row>
    <row r="647" spans="1:6" x14ac:dyDescent="0.35">
      <c r="A647" s="22">
        <v>40974</v>
      </c>
      <c r="B647">
        <v>8.8580000000000005</v>
      </c>
      <c r="C647">
        <v>8.8580000000000005</v>
      </c>
      <c r="D647">
        <v>8.8580000000000005</v>
      </c>
      <c r="E647">
        <v>8.8580000000000005</v>
      </c>
      <c r="F647" s="21">
        <v>-1.5100000000000001E-2</v>
      </c>
    </row>
    <row r="648" spans="1:6" x14ac:dyDescent="0.35">
      <c r="A648" s="22" t="s">
        <v>1158</v>
      </c>
      <c r="B648">
        <v>8.9939999999999998</v>
      </c>
      <c r="C648">
        <v>8.9939999999999998</v>
      </c>
      <c r="D648">
        <v>8.9939999999999998</v>
      </c>
      <c r="E648">
        <v>8.9939999999999998</v>
      </c>
      <c r="F648" s="21">
        <v>-2.2000000000000001E-3</v>
      </c>
    </row>
    <row r="649" spans="1:6" x14ac:dyDescent="0.35">
      <c r="A649" s="22" t="s">
        <v>1160</v>
      </c>
      <c r="B649">
        <v>9.0139999999999993</v>
      </c>
      <c r="C649">
        <v>9.0139999999999993</v>
      </c>
      <c r="D649">
        <v>9.0139999999999993</v>
      </c>
      <c r="E649">
        <v>9.0139999999999993</v>
      </c>
      <c r="F649" s="21">
        <v>4.0000000000000002E-4</v>
      </c>
    </row>
    <row r="650" spans="1:6" x14ac:dyDescent="0.35">
      <c r="A650" s="22" t="s">
        <v>1162</v>
      </c>
      <c r="B650">
        <v>9.01</v>
      </c>
      <c r="C650">
        <v>9.01</v>
      </c>
      <c r="D650">
        <v>9.01</v>
      </c>
      <c r="E650">
        <v>9.01</v>
      </c>
      <c r="F650" s="21">
        <v>-7.2999999999999995E-2</v>
      </c>
    </row>
    <row r="651" spans="1:6" x14ac:dyDescent="0.35">
      <c r="A651" s="22">
        <v>41065</v>
      </c>
      <c r="B651">
        <v>9.7200000000000006</v>
      </c>
      <c r="C651">
        <v>9.7200000000000006</v>
      </c>
      <c r="D651">
        <v>9.7200000000000006</v>
      </c>
      <c r="E651">
        <v>9.7200000000000006</v>
      </c>
      <c r="F651" s="21">
        <v>-3.3500000000000002E-2</v>
      </c>
    </row>
    <row r="652" spans="1:6" x14ac:dyDescent="0.35">
      <c r="A652" s="22" t="s">
        <v>1165</v>
      </c>
      <c r="B652">
        <v>10.057</v>
      </c>
      <c r="C652">
        <v>10.057</v>
      </c>
      <c r="D652">
        <v>10.057</v>
      </c>
      <c r="E652">
        <v>10.057</v>
      </c>
      <c r="F652" s="21">
        <v>-5.4800000000000001E-2</v>
      </c>
    </row>
    <row r="653" spans="1:6" x14ac:dyDescent="0.35">
      <c r="A653" s="22" t="s">
        <v>1167</v>
      </c>
      <c r="B653">
        <v>10.64</v>
      </c>
      <c r="C653">
        <v>10.64</v>
      </c>
      <c r="D653">
        <v>10.64</v>
      </c>
      <c r="E653">
        <v>10.64</v>
      </c>
      <c r="F653" s="21">
        <v>-2.6599999999999999E-2</v>
      </c>
    </row>
    <row r="654" spans="1:6" x14ac:dyDescent="0.35">
      <c r="A654" s="22" t="s">
        <v>1169</v>
      </c>
      <c r="B654">
        <v>10.930999999999999</v>
      </c>
      <c r="C654">
        <v>10.930999999999999</v>
      </c>
      <c r="D654">
        <v>10.930999999999999</v>
      </c>
      <c r="E654">
        <v>10.930999999999999</v>
      </c>
      <c r="F654" s="21">
        <v>-8.5000000000000006E-3</v>
      </c>
    </row>
    <row r="655" spans="1:6" x14ac:dyDescent="0.35">
      <c r="A655" s="22">
        <v>41125</v>
      </c>
      <c r="B655">
        <v>11.025</v>
      </c>
      <c r="C655">
        <v>11.025</v>
      </c>
      <c r="D655">
        <v>11.025</v>
      </c>
      <c r="E655">
        <v>11.025</v>
      </c>
      <c r="F655" s="21">
        <v>-2.0299999999999999E-2</v>
      </c>
    </row>
    <row r="656" spans="1:6" x14ac:dyDescent="0.35">
      <c r="A656" s="22">
        <v>40912</v>
      </c>
      <c r="B656">
        <v>11.254</v>
      </c>
      <c r="C656">
        <v>11.254</v>
      </c>
      <c r="D656">
        <v>11.254</v>
      </c>
      <c r="E656">
        <v>11.254</v>
      </c>
      <c r="F656" s="21">
        <v>-2.2000000000000001E-3</v>
      </c>
    </row>
    <row r="657" spans="1:6" x14ac:dyDescent="0.35">
      <c r="A657" s="22" t="s">
        <v>1173</v>
      </c>
      <c r="B657">
        <v>11.279</v>
      </c>
      <c r="C657">
        <v>11.279</v>
      </c>
      <c r="D657">
        <v>11.279</v>
      </c>
      <c r="E657">
        <v>11.279</v>
      </c>
      <c r="F657" s="21">
        <v>9.9000000000000008E-3</v>
      </c>
    </row>
    <row r="658" spans="1:6" x14ac:dyDescent="0.35">
      <c r="A658" s="22" t="s">
        <v>1175</v>
      </c>
      <c r="B658">
        <v>11.167999999999999</v>
      </c>
      <c r="C658">
        <v>11.167999999999999</v>
      </c>
      <c r="D658">
        <v>11.167999999999999</v>
      </c>
      <c r="E658">
        <v>11.167999999999999</v>
      </c>
      <c r="F658" s="21">
        <v>-1.01E-2</v>
      </c>
    </row>
    <row r="659" spans="1:6" x14ac:dyDescent="0.35">
      <c r="A659" s="22">
        <v>41216</v>
      </c>
      <c r="B659">
        <v>11.282</v>
      </c>
      <c r="C659">
        <v>11.282</v>
      </c>
      <c r="D659">
        <v>11.282</v>
      </c>
      <c r="E659">
        <v>11.282</v>
      </c>
      <c r="F659" s="21">
        <v>-2.8E-3</v>
      </c>
    </row>
    <row r="660" spans="1:6" x14ac:dyDescent="0.35">
      <c r="A660" s="22">
        <v>41002</v>
      </c>
      <c r="B660">
        <v>11.314</v>
      </c>
      <c r="C660">
        <v>11.314</v>
      </c>
      <c r="D660">
        <v>11.314</v>
      </c>
      <c r="E660">
        <v>11.314</v>
      </c>
      <c r="F660" s="21">
        <v>-1.52E-2</v>
      </c>
    </row>
    <row r="661" spans="1:6" x14ac:dyDescent="0.35">
      <c r="A661" s="22" t="s">
        <v>1179</v>
      </c>
      <c r="B661">
        <v>11.489000000000001</v>
      </c>
      <c r="C661">
        <v>11.489000000000001</v>
      </c>
      <c r="D661">
        <v>11.489000000000001</v>
      </c>
      <c r="E661">
        <v>11.489000000000001</v>
      </c>
      <c r="F661" s="21">
        <v>-1.3599999999999999E-2</v>
      </c>
    </row>
    <row r="662" spans="1:6" x14ac:dyDescent="0.35">
      <c r="A662" s="22" t="s">
        <v>1181</v>
      </c>
      <c r="B662">
        <v>11.647</v>
      </c>
      <c r="C662">
        <v>11.647</v>
      </c>
      <c r="D662">
        <v>11.647</v>
      </c>
      <c r="E662">
        <v>11.647</v>
      </c>
      <c r="F662" s="21">
        <v>-3.5000000000000003E-2</v>
      </c>
    </row>
    <row r="663" spans="1:6" x14ac:dyDescent="0.35">
      <c r="A663" s="22">
        <v>41245</v>
      </c>
      <c r="B663">
        <v>12.069000000000001</v>
      </c>
      <c r="C663">
        <v>12.069000000000001</v>
      </c>
      <c r="D663">
        <v>12.069000000000001</v>
      </c>
      <c r="E663">
        <v>12.069000000000001</v>
      </c>
      <c r="F663" s="21">
        <v>-1.77E-2</v>
      </c>
    </row>
    <row r="664" spans="1:6" x14ac:dyDescent="0.35">
      <c r="A664" s="22">
        <v>41031</v>
      </c>
      <c r="B664">
        <v>12.286</v>
      </c>
      <c r="C664">
        <v>12.286</v>
      </c>
      <c r="D664">
        <v>12.286</v>
      </c>
      <c r="E664">
        <v>12.286</v>
      </c>
      <c r="F664" s="21">
        <v>-1.17E-2</v>
      </c>
    </row>
    <row r="665" spans="1:6" x14ac:dyDescent="0.35">
      <c r="A665" s="22" t="s">
        <v>1185</v>
      </c>
      <c r="B665">
        <v>12.430999999999999</v>
      </c>
      <c r="C665">
        <v>12.430999999999999</v>
      </c>
      <c r="D665">
        <v>12.430999999999999</v>
      </c>
      <c r="E665">
        <v>12.430999999999999</v>
      </c>
      <c r="F665" s="21">
        <v>-5.4000000000000003E-3</v>
      </c>
    </row>
    <row r="666" spans="1:6" x14ac:dyDescent="0.35">
      <c r="A666" s="22" t="s">
        <v>1187</v>
      </c>
      <c r="B666">
        <v>12.497999999999999</v>
      </c>
      <c r="C666">
        <v>12.497999999999999</v>
      </c>
      <c r="D666">
        <v>12.497999999999999</v>
      </c>
      <c r="E666">
        <v>12.497999999999999</v>
      </c>
      <c r="F666" s="21">
        <v>4.3E-3</v>
      </c>
    </row>
    <row r="667" spans="1:6" x14ac:dyDescent="0.35">
      <c r="A667" s="22">
        <v>41122</v>
      </c>
      <c r="B667">
        <v>12.444000000000001</v>
      </c>
      <c r="C667">
        <v>12.444000000000001</v>
      </c>
      <c r="D667">
        <v>12.444000000000001</v>
      </c>
      <c r="E667">
        <v>12.444000000000001</v>
      </c>
      <c r="F667" s="21">
        <v>2.7000000000000001E-3</v>
      </c>
    </row>
    <row r="668" spans="1:6" x14ac:dyDescent="0.35">
      <c r="A668" s="22">
        <v>40909</v>
      </c>
      <c r="B668">
        <v>12.411</v>
      </c>
      <c r="C668">
        <v>12.411</v>
      </c>
      <c r="D668">
        <v>12.411</v>
      </c>
      <c r="E668">
        <v>12.411</v>
      </c>
      <c r="F668" s="21">
        <v>2.7000000000000001E-3</v>
      </c>
    </row>
    <row r="669" spans="1:6" x14ac:dyDescent="0.35">
      <c r="A669" s="22" t="s">
        <v>1191</v>
      </c>
      <c r="B669">
        <v>12.378</v>
      </c>
      <c r="C669">
        <v>12.378</v>
      </c>
      <c r="D669">
        <v>12.378</v>
      </c>
      <c r="E669">
        <v>12.378</v>
      </c>
      <c r="F669" s="21">
        <v>-5.4999999999999997E-3</v>
      </c>
    </row>
    <row r="670" spans="1:6" x14ac:dyDescent="0.35">
      <c r="A670" s="22" t="s">
        <v>1193</v>
      </c>
      <c r="B670">
        <v>12.446</v>
      </c>
      <c r="C670">
        <v>12.446</v>
      </c>
      <c r="D670">
        <v>12.446</v>
      </c>
      <c r="E670">
        <v>12.446</v>
      </c>
      <c r="F670" s="21">
        <v>7.4000000000000003E-3</v>
      </c>
    </row>
    <row r="671" spans="1:6" x14ac:dyDescent="0.35">
      <c r="A671" s="22">
        <v>40859</v>
      </c>
      <c r="B671">
        <v>12.353999999999999</v>
      </c>
      <c r="C671">
        <v>12.353999999999999</v>
      </c>
      <c r="D671">
        <v>12.353999999999999</v>
      </c>
      <c r="E671">
        <v>12.353999999999999</v>
      </c>
      <c r="F671" s="21">
        <v>-1.0500000000000001E-2</v>
      </c>
    </row>
    <row r="672" spans="1:6" x14ac:dyDescent="0.35">
      <c r="A672" s="22">
        <v>40645</v>
      </c>
      <c r="B672">
        <v>12.484999999999999</v>
      </c>
      <c r="C672">
        <v>12.484999999999999</v>
      </c>
      <c r="D672">
        <v>12.484999999999999</v>
      </c>
      <c r="E672">
        <v>12.484999999999999</v>
      </c>
      <c r="F672" s="21">
        <v>1.04E-2</v>
      </c>
    </row>
    <row r="673" spans="1:6" x14ac:dyDescent="0.35">
      <c r="A673" s="22" t="s">
        <v>1197</v>
      </c>
      <c r="B673">
        <v>12.356999999999999</v>
      </c>
      <c r="C673">
        <v>12.356999999999999</v>
      </c>
      <c r="D673">
        <v>12.356999999999999</v>
      </c>
      <c r="E673">
        <v>12.356999999999999</v>
      </c>
      <c r="F673" s="21">
        <v>-9.1999999999999998E-3</v>
      </c>
    </row>
    <row r="674" spans="1:6" x14ac:dyDescent="0.35">
      <c r="A674" s="22" t="s">
        <v>1199</v>
      </c>
      <c r="B674">
        <v>12.472</v>
      </c>
      <c r="C674">
        <v>12.472</v>
      </c>
      <c r="D674">
        <v>12.472</v>
      </c>
      <c r="E674">
        <v>12.472</v>
      </c>
      <c r="F674" s="21">
        <v>4.4000000000000003E-3</v>
      </c>
    </row>
    <row r="675" spans="1:6" x14ac:dyDescent="0.35">
      <c r="A675" s="22" t="s">
        <v>1201</v>
      </c>
      <c r="B675">
        <v>12.417</v>
      </c>
      <c r="C675">
        <v>12.417</v>
      </c>
      <c r="D675">
        <v>12.417</v>
      </c>
      <c r="E675">
        <v>12.417</v>
      </c>
      <c r="F675" s="21">
        <v>2.3E-3</v>
      </c>
    </row>
    <row r="676" spans="1:6" x14ac:dyDescent="0.35">
      <c r="A676" s="22">
        <v>40705</v>
      </c>
      <c r="B676">
        <v>12.388</v>
      </c>
      <c r="C676">
        <v>12.388</v>
      </c>
      <c r="D676">
        <v>12.388</v>
      </c>
      <c r="E676">
        <v>12.388</v>
      </c>
      <c r="F676" s="21">
        <v>2.3999999999999998E-3</v>
      </c>
    </row>
    <row r="677" spans="1:6" x14ac:dyDescent="0.35">
      <c r="A677" s="22" t="s">
        <v>1204</v>
      </c>
      <c r="B677">
        <v>12.358000000000001</v>
      </c>
      <c r="C677">
        <v>12.358000000000001</v>
      </c>
      <c r="D677">
        <v>12.358000000000001</v>
      </c>
      <c r="E677">
        <v>12.358000000000001</v>
      </c>
      <c r="F677" s="21">
        <v>-9.1000000000000004E-3</v>
      </c>
    </row>
    <row r="678" spans="1:6" x14ac:dyDescent="0.35">
      <c r="A678" s="22" t="s">
        <v>1206</v>
      </c>
      <c r="B678">
        <v>12.471</v>
      </c>
      <c r="C678">
        <v>12.471</v>
      </c>
      <c r="D678">
        <v>12.471</v>
      </c>
      <c r="E678">
        <v>12.471</v>
      </c>
      <c r="F678" s="21">
        <v>8.8000000000000005E-3</v>
      </c>
    </row>
    <row r="679" spans="1:6" x14ac:dyDescent="0.35">
      <c r="A679" s="22" t="s">
        <v>1208</v>
      </c>
      <c r="B679">
        <v>12.362</v>
      </c>
      <c r="C679">
        <v>12.362</v>
      </c>
      <c r="D679">
        <v>12.362</v>
      </c>
      <c r="E679">
        <v>12.362</v>
      </c>
      <c r="F679" s="21">
        <v>-6.7000000000000002E-3</v>
      </c>
    </row>
    <row r="680" spans="1:6" x14ac:dyDescent="0.35">
      <c r="A680" s="22">
        <v>40796</v>
      </c>
      <c r="B680">
        <v>12.446</v>
      </c>
      <c r="C680">
        <v>12.446</v>
      </c>
      <c r="D680">
        <v>12.446</v>
      </c>
      <c r="E680">
        <v>12.446</v>
      </c>
      <c r="F680" s="21">
        <v>2.24E-2</v>
      </c>
    </row>
    <row r="681" spans="1:6" x14ac:dyDescent="0.35">
      <c r="A681" s="22">
        <v>40584</v>
      </c>
      <c r="B681">
        <v>12.173</v>
      </c>
      <c r="C681">
        <v>12.173</v>
      </c>
      <c r="D681">
        <v>12.173</v>
      </c>
      <c r="E681">
        <v>12.173</v>
      </c>
      <c r="F681" s="21">
        <v>8.8000000000000005E-3</v>
      </c>
    </row>
    <row r="682" spans="1:6" x14ac:dyDescent="0.35">
      <c r="A682" s="22" t="s">
        <v>1212</v>
      </c>
      <c r="B682">
        <v>12.067</v>
      </c>
      <c r="C682">
        <v>12.067</v>
      </c>
      <c r="D682">
        <v>12.067</v>
      </c>
      <c r="E682">
        <v>12.067</v>
      </c>
      <c r="F682" s="21">
        <v>-5.4000000000000003E-3</v>
      </c>
    </row>
    <row r="683" spans="1:6" x14ac:dyDescent="0.35">
      <c r="A683" s="22" t="s">
        <v>1214</v>
      </c>
      <c r="B683">
        <v>12.132999999999999</v>
      </c>
      <c r="C683">
        <v>12.132999999999999</v>
      </c>
      <c r="D683">
        <v>12.132999999999999</v>
      </c>
      <c r="E683">
        <v>12.132999999999999</v>
      </c>
      <c r="F683" s="21">
        <v>-2E-3</v>
      </c>
    </row>
    <row r="684" spans="1:6" x14ac:dyDescent="0.35">
      <c r="A684" s="22">
        <v>40856</v>
      </c>
      <c r="B684">
        <v>12.157</v>
      </c>
      <c r="C684">
        <v>12.157</v>
      </c>
      <c r="D684">
        <v>12.157</v>
      </c>
      <c r="E684">
        <v>12.157</v>
      </c>
      <c r="F684" s="21">
        <v>2.5000000000000001E-3</v>
      </c>
    </row>
    <row r="685" spans="1:6" x14ac:dyDescent="0.35">
      <c r="A685" s="22">
        <v>40642</v>
      </c>
      <c r="B685">
        <v>12.127000000000001</v>
      </c>
      <c r="C685">
        <v>12.127000000000001</v>
      </c>
      <c r="D685">
        <v>12.127000000000001</v>
      </c>
      <c r="E685">
        <v>12.127000000000001</v>
      </c>
      <c r="F685" s="21">
        <v>-4.0000000000000002E-4</v>
      </c>
    </row>
    <row r="686" spans="1:6" x14ac:dyDescent="0.35">
      <c r="A686" s="22" t="s">
        <v>1218</v>
      </c>
      <c r="B686">
        <v>12.132</v>
      </c>
      <c r="C686">
        <v>12.132</v>
      </c>
      <c r="D686">
        <v>12.132</v>
      </c>
      <c r="E686">
        <v>12.132</v>
      </c>
      <c r="F686" s="21">
        <v>2.8E-3</v>
      </c>
    </row>
    <row r="687" spans="1:6" x14ac:dyDescent="0.35">
      <c r="A687" s="22" t="s">
        <v>1220</v>
      </c>
      <c r="B687">
        <v>12.098000000000001</v>
      </c>
      <c r="C687">
        <v>12.098000000000001</v>
      </c>
      <c r="D687">
        <v>12.098000000000001</v>
      </c>
      <c r="E687">
        <v>12.098000000000001</v>
      </c>
      <c r="F687" s="21">
        <v>4.0000000000000002E-4</v>
      </c>
    </row>
    <row r="688" spans="1:6" x14ac:dyDescent="0.35">
      <c r="A688" s="22" t="s">
        <v>1222</v>
      </c>
      <c r="B688">
        <v>12.093</v>
      </c>
      <c r="C688">
        <v>12.093</v>
      </c>
      <c r="D688">
        <v>12.093</v>
      </c>
      <c r="E688">
        <v>12.093</v>
      </c>
      <c r="F688" s="21">
        <v>-4.0000000000000001E-3</v>
      </c>
    </row>
    <row r="689" spans="1:6" x14ac:dyDescent="0.35">
      <c r="A689" s="22">
        <v>40732</v>
      </c>
      <c r="B689">
        <v>12.141999999999999</v>
      </c>
      <c r="C689">
        <v>12.141999999999999</v>
      </c>
      <c r="D689">
        <v>12.141999999999999</v>
      </c>
      <c r="E689">
        <v>12.141999999999999</v>
      </c>
      <c r="F689" s="21">
        <v>2.3999999999999998E-3</v>
      </c>
    </row>
    <row r="690" spans="1:6" x14ac:dyDescent="0.35">
      <c r="A690" s="22" t="s">
        <v>1225</v>
      </c>
      <c r="B690">
        <v>12.113</v>
      </c>
      <c r="C690">
        <v>12.113</v>
      </c>
      <c r="D690">
        <v>12.113</v>
      </c>
      <c r="E690">
        <v>12.113</v>
      </c>
      <c r="F690" s="21">
        <v>2.5000000000000001E-3</v>
      </c>
    </row>
    <row r="691" spans="1:6" x14ac:dyDescent="0.35">
      <c r="A691" s="22" t="s">
        <v>1227</v>
      </c>
      <c r="B691">
        <v>12.083</v>
      </c>
      <c r="C691">
        <v>12.083</v>
      </c>
      <c r="D691">
        <v>12.083</v>
      </c>
      <c r="E691">
        <v>12.083</v>
      </c>
      <c r="F691" s="21">
        <v>-1.8E-3</v>
      </c>
    </row>
    <row r="692" spans="1:6" x14ac:dyDescent="0.35">
      <c r="A692" s="22" t="s">
        <v>1229</v>
      </c>
      <c r="B692">
        <v>12.105</v>
      </c>
      <c r="C692">
        <v>12.105</v>
      </c>
      <c r="D692">
        <v>12.105</v>
      </c>
      <c r="E692">
        <v>12.105</v>
      </c>
      <c r="F692" s="21">
        <v>-7.7999999999999996E-3</v>
      </c>
    </row>
    <row r="693" spans="1:6" x14ac:dyDescent="0.35">
      <c r="A693" s="22">
        <v>40823</v>
      </c>
      <c r="B693">
        <v>12.2</v>
      </c>
      <c r="C693">
        <v>12.2</v>
      </c>
      <c r="D693">
        <v>12.2</v>
      </c>
      <c r="E693">
        <v>12.2</v>
      </c>
      <c r="F693" s="21">
        <v>-7.1999999999999998E-3</v>
      </c>
    </row>
    <row r="694" spans="1:6" x14ac:dyDescent="0.35">
      <c r="A694" s="22">
        <v>40609</v>
      </c>
      <c r="B694">
        <v>12.288</v>
      </c>
      <c r="C694">
        <v>12.288</v>
      </c>
      <c r="D694">
        <v>12.288</v>
      </c>
      <c r="E694">
        <v>12.288</v>
      </c>
      <c r="F694" s="21">
        <v>-1.01E-2</v>
      </c>
    </row>
    <row r="695" spans="1:6" x14ac:dyDescent="0.35">
      <c r="A695" s="22" t="s">
        <v>1233</v>
      </c>
      <c r="B695">
        <v>12.414</v>
      </c>
      <c r="C695">
        <v>12.414</v>
      </c>
      <c r="D695">
        <v>12.414</v>
      </c>
      <c r="E695">
        <v>12.414</v>
      </c>
      <c r="F695" s="21">
        <v>-2E-3</v>
      </c>
    </row>
    <row r="696" spans="1:6" x14ac:dyDescent="0.35">
      <c r="A696" s="22" t="s">
        <v>1235</v>
      </c>
      <c r="B696">
        <v>12.439</v>
      </c>
      <c r="C696">
        <v>12.439</v>
      </c>
      <c r="D696">
        <v>12.439</v>
      </c>
      <c r="E696">
        <v>12.439</v>
      </c>
      <c r="F696" s="21">
        <v>1.4E-3</v>
      </c>
    </row>
    <row r="697" spans="1:6" x14ac:dyDescent="0.35">
      <c r="A697" s="22">
        <v>40883</v>
      </c>
      <c r="B697">
        <v>12.422000000000001</v>
      </c>
      <c r="C697">
        <v>12.422000000000001</v>
      </c>
      <c r="D697">
        <v>12.422000000000001</v>
      </c>
      <c r="E697">
        <v>12.422000000000001</v>
      </c>
      <c r="F697" s="21">
        <v>-3.3399999999999999E-2</v>
      </c>
    </row>
    <row r="698" spans="1:6" x14ac:dyDescent="0.35">
      <c r="A698" s="22">
        <v>40669</v>
      </c>
      <c r="B698">
        <v>12.851000000000001</v>
      </c>
      <c r="C698">
        <v>12.851000000000001</v>
      </c>
      <c r="D698">
        <v>12.851000000000001</v>
      </c>
      <c r="E698">
        <v>12.851000000000001</v>
      </c>
      <c r="F698" s="21">
        <v>2.0000000000000001E-4</v>
      </c>
    </row>
    <row r="699" spans="1:6" x14ac:dyDescent="0.35">
      <c r="A699" s="22" t="s">
        <v>1239</v>
      </c>
      <c r="B699">
        <v>12.849</v>
      </c>
      <c r="C699">
        <v>12.849</v>
      </c>
      <c r="D699">
        <v>12.849</v>
      </c>
      <c r="E699">
        <v>12.849</v>
      </c>
      <c r="F699" s="21">
        <v>-2.47E-2</v>
      </c>
    </row>
    <row r="700" spans="1:6" x14ac:dyDescent="0.35">
      <c r="A700" s="22" t="s">
        <v>1241</v>
      </c>
      <c r="B700">
        <v>13.173999999999999</v>
      </c>
      <c r="C700">
        <v>13.173999999999999</v>
      </c>
      <c r="D700">
        <v>13.173999999999999</v>
      </c>
      <c r="E700">
        <v>13.173999999999999</v>
      </c>
      <c r="F700" s="21">
        <v>3.4099999999999998E-2</v>
      </c>
    </row>
    <row r="701" spans="1:6" x14ac:dyDescent="0.35">
      <c r="A701" s="22" t="s">
        <v>1243</v>
      </c>
      <c r="B701">
        <v>12.739000000000001</v>
      </c>
      <c r="C701">
        <v>12.739000000000001</v>
      </c>
      <c r="D701">
        <v>12.739000000000001</v>
      </c>
      <c r="E701">
        <v>12.739000000000001</v>
      </c>
      <c r="F701" s="21">
        <v>-7.6E-3</v>
      </c>
    </row>
    <row r="702" spans="1:6" x14ac:dyDescent="0.35">
      <c r="A702" s="22">
        <v>40760</v>
      </c>
      <c r="B702">
        <v>12.836</v>
      </c>
      <c r="C702">
        <v>12.836</v>
      </c>
      <c r="D702">
        <v>12.836</v>
      </c>
      <c r="E702">
        <v>12.836</v>
      </c>
      <c r="F702" s="21">
        <v>-6.1000000000000004E-3</v>
      </c>
    </row>
    <row r="703" spans="1:6" x14ac:dyDescent="0.35">
      <c r="A703" s="22">
        <v>40548</v>
      </c>
      <c r="B703">
        <v>12.914999999999999</v>
      </c>
      <c r="C703">
        <v>12.914999999999999</v>
      </c>
      <c r="D703">
        <v>12.914999999999999</v>
      </c>
      <c r="E703">
        <v>12.914999999999999</v>
      </c>
      <c r="F703" s="21">
        <v>5.6000000000000001E-2</v>
      </c>
    </row>
    <row r="704" spans="1:6" x14ac:dyDescent="0.35">
      <c r="A704" s="22" t="s">
        <v>1247</v>
      </c>
      <c r="B704">
        <v>12.23</v>
      </c>
      <c r="C704">
        <v>12.23</v>
      </c>
      <c r="D704">
        <v>12.23</v>
      </c>
      <c r="E704">
        <v>12.23</v>
      </c>
      <c r="F704" s="21">
        <v>1.11E-2</v>
      </c>
    </row>
    <row r="705" spans="1:6" x14ac:dyDescent="0.35">
      <c r="A705" s="22" t="s">
        <v>1249</v>
      </c>
      <c r="B705">
        <v>12.096</v>
      </c>
      <c r="C705">
        <v>12.096</v>
      </c>
      <c r="D705">
        <v>12.096</v>
      </c>
      <c r="E705">
        <v>12.096</v>
      </c>
      <c r="F705" s="21">
        <v>2.1899999999999999E-2</v>
      </c>
    </row>
    <row r="706" spans="1:6" x14ac:dyDescent="0.35">
      <c r="A706" s="22">
        <v>40820</v>
      </c>
      <c r="B706">
        <v>11.837</v>
      </c>
      <c r="C706">
        <v>11.837</v>
      </c>
      <c r="D706">
        <v>11.837</v>
      </c>
      <c r="E706">
        <v>11.837</v>
      </c>
      <c r="F706" s="21">
        <v>9.1999999999999998E-3</v>
      </c>
    </row>
    <row r="707" spans="1:6" x14ac:dyDescent="0.35">
      <c r="A707" s="22">
        <v>40606</v>
      </c>
      <c r="B707">
        <v>11.728999999999999</v>
      </c>
      <c r="C707">
        <v>11.728999999999999</v>
      </c>
      <c r="D707">
        <v>11.728999999999999</v>
      </c>
      <c r="E707">
        <v>11.728999999999999</v>
      </c>
      <c r="F707" s="21">
        <v>1.1000000000000001E-3</v>
      </c>
    </row>
    <row r="708" spans="1:6" x14ac:dyDescent="0.35">
      <c r="A708" s="22" t="s">
        <v>1253</v>
      </c>
      <c r="B708">
        <v>11.715999999999999</v>
      </c>
      <c r="C708">
        <v>11.715999999999999</v>
      </c>
      <c r="D708">
        <v>11.715999999999999</v>
      </c>
      <c r="E708">
        <v>11.715999999999999</v>
      </c>
      <c r="F708" s="21">
        <v>1.9400000000000001E-2</v>
      </c>
    </row>
    <row r="709" spans="1:6" x14ac:dyDescent="0.35">
      <c r="A709" s="22" t="s">
        <v>1255</v>
      </c>
      <c r="B709">
        <v>11.493</v>
      </c>
      <c r="C709">
        <v>11.493</v>
      </c>
      <c r="D709">
        <v>11.493</v>
      </c>
      <c r="E709">
        <v>11.493</v>
      </c>
      <c r="F709" s="21">
        <v>-2.2000000000000001E-3</v>
      </c>
    </row>
    <row r="710" spans="1:6" x14ac:dyDescent="0.35">
      <c r="A710" s="22" t="s">
        <v>1257</v>
      </c>
      <c r="B710">
        <v>11.518000000000001</v>
      </c>
      <c r="C710">
        <v>11.518000000000001</v>
      </c>
      <c r="D710">
        <v>11.518000000000001</v>
      </c>
      <c r="E710">
        <v>11.518000000000001</v>
      </c>
      <c r="F710" s="21">
        <v>1.26E-2</v>
      </c>
    </row>
    <row r="711" spans="1:6" x14ac:dyDescent="0.35">
      <c r="A711" s="22">
        <v>40697</v>
      </c>
      <c r="B711">
        <v>11.375</v>
      </c>
      <c r="C711">
        <v>11.375</v>
      </c>
      <c r="D711">
        <v>11.375</v>
      </c>
      <c r="E711">
        <v>11.375</v>
      </c>
      <c r="F711" s="21">
        <v>2.3300000000000001E-2</v>
      </c>
    </row>
    <row r="712" spans="1:6" x14ac:dyDescent="0.35">
      <c r="A712" s="22" t="s">
        <v>1260</v>
      </c>
      <c r="B712">
        <v>11.116</v>
      </c>
      <c r="C712">
        <v>11.116</v>
      </c>
      <c r="D712">
        <v>11.116</v>
      </c>
      <c r="E712">
        <v>11.116</v>
      </c>
      <c r="F712" s="21">
        <v>1.4200000000000001E-2</v>
      </c>
    </row>
    <row r="713" spans="1:6" x14ac:dyDescent="0.35">
      <c r="A713" s="22" t="s">
        <v>1262</v>
      </c>
      <c r="B713">
        <v>10.96</v>
      </c>
      <c r="C713">
        <v>10.96</v>
      </c>
      <c r="D713">
        <v>10.96</v>
      </c>
      <c r="E713">
        <v>10.96</v>
      </c>
      <c r="F713" s="21">
        <v>6.4000000000000003E-3</v>
      </c>
    </row>
    <row r="714" spans="1:6" x14ac:dyDescent="0.35">
      <c r="A714" s="22" t="s">
        <v>1264</v>
      </c>
      <c r="B714">
        <v>10.89</v>
      </c>
      <c r="C714">
        <v>10.89</v>
      </c>
      <c r="D714">
        <v>10.89</v>
      </c>
      <c r="E714">
        <v>10.89</v>
      </c>
      <c r="F714" s="21">
        <v>1.26E-2</v>
      </c>
    </row>
    <row r="715" spans="1:6" x14ac:dyDescent="0.35">
      <c r="A715" s="22">
        <v>40696</v>
      </c>
      <c r="B715">
        <v>10.755000000000001</v>
      </c>
      <c r="C715">
        <v>10.755000000000001</v>
      </c>
      <c r="D715">
        <v>10.755000000000001</v>
      </c>
      <c r="E715">
        <v>10.755000000000001</v>
      </c>
      <c r="F715" s="21">
        <v>1.0999999999999999E-2</v>
      </c>
    </row>
    <row r="716" spans="1:6" x14ac:dyDescent="0.35">
      <c r="A716" s="22" t="s">
        <v>1267</v>
      </c>
      <c r="B716">
        <v>10.638</v>
      </c>
      <c r="C716">
        <v>10.638</v>
      </c>
      <c r="D716">
        <v>10.638</v>
      </c>
      <c r="E716">
        <v>10.638</v>
      </c>
      <c r="F716" s="21">
        <v>-2.3E-3</v>
      </c>
    </row>
    <row r="717" spans="1:6" x14ac:dyDescent="0.35">
      <c r="A717" s="22" t="s">
        <v>1269</v>
      </c>
      <c r="B717">
        <v>10.663</v>
      </c>
      <c r="C717">
        <v>10.663</v>
      </c>
      <c r="D717">
        <v>10.663</v>
      </c>
      <c r="E717">
        <v>10.663</v>
      </c>
      <c r="F717" s="21">
        <v>2.2000000000000001E-3</v>
      </c>
    </row>
    <row r="718" spans="1:6" x14ac:dyDescent="0.35">
      <c r="A718" s="22">
        <v>40787</v>
      </c>
      <c r="B718">
        <v>10.64</v>
      </c>
      <c r="C718">
        <v>10.64</v>
      </c>
      <c r="D718">
        <v>10.64</v>
      </c>
      <c r="E718">
        <v>10.64</v>
      </c>
      <c r="F718" s="21">
        <v>1.0800000000000001E-2</v>
      </c>
    </row>
    <row r="719" spans="1:6" x14ac:dyDescent="0.35">
      <c r="A719" s="22">
        <v>40575</v>
      </c>
      <c r="B719">
        <v>10.526</v>
      </c>
      <c r="C719">
        <v>10.526</v>
      </c>
      <c r="D719">
        <v>10.526</v>
      </c>
      <c r="E719">
        <v>10.526</v>
      </c>
      <c r="F719" s="21">
        <v>-2.7000000000000001E-3</v>
      </c>
    </row>
    <row r="720" spans="1:6" x14ac:dyDescent="0.35">
      <c r="A720" s="22" t="s">
        <v>1273</v>
      </c>
      <c r="B720">
        <v>10.555</v>
      </c>
      <c r="C720">
        <v>10.555</v>
      </c>
      <c r="D720">
        <v>10.555</v>
      </c>
      <c r="E720">
        <v>10.555</v>
      </c>
      <c r="F720" s="21">
        <v>-5.5999999999999999E-3</v>
      </c>
    </row>
    <row r="721" spans="1:6" x14ac:dyDescent="0.35">
      <c r="A721" s="22" t="s">
        <v>1275</v>
      </c>
      <c r="B721">
        <v>10.614000000000001</v>
      </c>
      <c r="C721">
        <v>10.614000000000001</v>
      </c>
      <c r="D721">
        <v>10.614000000000001</v>
      </c>
      <c r="E721">
        <v>10.614000000000001</v>
      </c>
      <c r="F721" s="21">
        <v>1.9099999999999999E-2</v>
      </c>
    </row>
    <row r="722" spans="1:6" x14ac:dyDescent="0.35">
      <c r="A722" s="22">
        <v>40524</v>
      </c>
      <c r="B722">
        <v>10.414999999999999</v>
      </c>
      <c r="C722">
        <v>10.414999999999999</v>
      </c>
      <c r="D722">
        <v>10.414999999999999</v>
      </c>
      <c r="E722">
        <v>10.414999999999999</v>
      </c>
      <c r="F722" s="21">
        <v>-1.9900000000000001E-2</v>
      </c>
    </row>
    <row r="723" spans="1:6" x14ac:dyDescent="0.35">
      <c r="A723" s="22">
        <v>40310</v>
      </c>
      <c r="B723">
        <v>10.627000000000001</v>
      </c>
      <c r="C723">
        <v>10.627000000000001</v>
      </c>
      <c r="D723">
        <v>10.627000000000001</v>
      </c>
      <c r="E723">
        <v>10.627000000000001</v>
      </c>
      <c r="F723" s="21">
        <v>2.3900000000000001E-2</v>
      </c>
    </row>
    <row r="724" spans="1:6" x14ac:dyDescent="0.35">
      <c r="A724" s="22" t="s">
        <v>1279</v>
      </c>
      <c r="B724">
        <v>10.379</v>
      </c>
      <c r="C724">
        <v>10.379</v>
      </c>
      <c r="D724">
        <v>10.379</v>
      </c>
      <c r="E724">
        <v>10.379</v>
      </c>
      <c r="F724" s="21">
        <v>-6.3E-3</v>
      </c>
    </row>
    <row r="725" spans="1:6" x14ac:dyDescent="0.35">
      <c r="A725" s="22" t="s">
        <v>1281</v>
      </c>
      <c r="B725">
        <v>10.445</v>
      </c>
      <c r="C725">
        <v>10.445</v>
      </c>
      <c r="D725">
        <v>10.445</v>
      </c>
      <c r="E725">
        <v>10.445</v>
      </c>
      <c r="F725" s="21">
        <v>1.03E-2</v>
      </c>
    </row>
    <row r="726" spans="1:6" x14ac:dyDescent="0.35">
      <c r="A726" s="22" t="s">
        <v>1283</v>
      </c>
      <c r="B726">
        <v>10.339</v>
      </c>
      <c r="C726">
        <v>10.339</v>
      </c>
      <c r="D726">
        <v>10.339</v>
      </c>
      <c r="E726">
        <v>10.339</v>
      </c>
      <c r="F726" s="21">
        <v>1.9900000000000001E-2</v>
      </c>
    </row>
    <row r="727" spans="1:6" x14ac:dyDescent="0.35">
      <c r="A727" s="22">
        <v>40370</v>
      </c>
      <c r="B727">
        <v>10.137</v>
      </c>
      <c r="C727">
        <v>10.137</v>
      </c>
      <c r="D727">
        <v>10.137</v>
      </c>
      <c r="E727">
        <v>10.137</v>
      </c>
      <c r="F727" s="21">
        <v>6.1100000000000002E-2</v>
      </c>
    </row>
    <row r="728" spans="1:6" x14ac:dyDescent="0.35">
      <c r="A728" s="22" t="s">
        <v>1286</v>
      </c>
      <c r="B728">
        <v>9.5530000000000008</v>
      </c>
      <c r="C728">
        <v>9.5530000000000008</v>
      </c>
      <c r="D728">
        <v>9.5530000000000008</v>
      </c>
      <c r="E728">
        <v>9.5530000000000008</v>
      </c>
      <c r="F728" s="21">
        <v>-2.0999999999999999E-3</v>
      </c>
    </row>
    <row r="729" spans="1:6" x14ac:dyDescent="0.35">
      <c r="A729" s="22" t="s">
        <v>1288</v>
      </c>
      <c r="B729">
        <v>9.5730000000000004</v>
      </c>
      <c r="C729">
        <v>9.5730000000000004</v>
      </c>
      <c r="D729">
        <v>9.5730000000000004</v>
      </c>
      <c r="E729">
        <v>9.5730000000000004</v>
      </c>
      <c r="F729" s="21">
        <v>-4.1000000000000003E-3</v>
      </c>
    </row>
    <row r="730" spans="1:6" x14ac:dyDescent="0.35">
      <c r="A730" s="22" t="s">
        <v>1290</v>
      </c>
      <c r="B730">
        <v>9.6120000000000001</v>
      </c>
      <c r="C730">
        <v>9.6120000000000001</v>
      </c>
      <c r="D730">
        <v>9.6120000000000001</v>
      </c>
      <c r="E730">
        <v>9.6120000000000001</v>
      </c>
      <c r="F730" s="21">
        <v>3.2000000000000002E-3</v>
      </c>
    </row>
    <row r="731" spans="1:6" x14ac:dyDescent="0.35">
      <c r="A731" s="22">
        <v>40461</v>
      </c>
      <c r="B731">
        <v>9.5809999999999995</v>
      </c>
      <c r="C731">
        <v>9.5809999999999995</v>
      </c>
      <c r="D731">
        <v>9.5809999999999995</v>
      </c>
      <c r="E731">
        <v>9.5809999999999995</v>
      </c>
      <c r="F731" s="21">
        <v>-1.21E-2</v>
      </c>
    </row>
    <row r="732" spans="1:6" x14ac:dyDescent="0.35">
      <c r="A732" s="22">
        <v>40247</v>
      </c>
      <c r="B732">
        <v>9.6980000000000004</v>
      </c>
      <c r="C732">
        <v>9.6980000000000004</v>
      </c>
      <c r="D732">
        <v>9.6980000000000004</v>
      </c>
      <c r="E732">
        <v>9.6980000000000004</v>
      </c>
      <c r="F732" s="21">
        <v>-1.29E-2</v>
      </c>
    </row>
    <row r="733" spans="1:6" x14ac:dyDescent="0.35">
      <c r="A733" s="22" t="s">
        <v>1294</v>
      </c>
      <c r="B733">
        <v>9.8249999999999993</v>
      </c>
      <c r="C733">
        <v>9.8249999999999993</v>
      </c>
      <c r="D733">
        <v>9.8249999999999993</v>
      </c>
      <c r="E733">
        <v>9.8249999999999993</v>
      </c>
      <c r="F733" s="21">
        <v>-1E-4</v>
      </c>
    </row>
    <row r="734" spans="1:6" x14ac:dyDescent="0.35">
      <c r="A734" s="22" t="s">
        <v>1296</v>
      </c>
      <c r="B734">
        <v>9.8260000000000005</v>
      </c>
      <c r="C734">
        <v>9.8260000000000005</v>
      </c>
      <c r="D734">
        <v>9.8260000000000005</v>
      </c>
      <c r="E734">
        <v>9.8260000000000005</v>
      </c>
      <c r="F734" s="21">
        <v>0</v>
      </c>
    </row>
    <row r="735" spans="1:6" x14ac:dyDescent="0.35">
      <c r="A735" s="22">
        <v>40521</v>
      </c>
      <c r="B735">
        <v>9.8260000000000005</v>
      </c>
      <c r="C735">
        <v>9.8260000000000005</v>
      </c>
      <c r="D735">
        <v>9.8260000000000005</v>
      </c>
      <c r="E735">
        <v>9.8260000000000005</v>
      </c>
      <c r="F735" s="21">
        <v>5.0000000000000001E-4</v>
      </c>
    </row>
    <row r="736" spans="1:6" x14ac:dyDescent="0.35">
      <c r="A736" s="22">
        <v>40307</v>
      </c>
      <c r="B736">
        <v>9.8209999999999997</v>
      </c>
      <c r="C736">
        <v>9.8209999999999997</v>
      </c>
      <c r="D736">
        <v>9.8209999999999997</v>
      </c>
      <c r="E736">
        <v>9.8209999999999997</v>
      </c>
      <c r="F736" s="21">
        <v>1.5800000000000002E-2</v>
      </c>
    </row>
    <row r="737" spans="1:6" x14ac:dyDescent="0.35">
      <c r="A737" s="22" t="s">
        <v>1300</v>
      </c>
      <c r="B737">
        <v>9.6679999999999993</v>
      </c>
      <c r="C737">
        <v>9.6679999999999993</v>
      </c>
      <c r="D737">
        <v>9.6679999999999993</v>
      </c>
      <c r="E737">
        <v>9.6679999999999993</v>
      </c>
      <c r="F737" s="21">
        <v>-7.7000000000000002E-3</v>
      </c>
    </row>
    <row r="738" spans="1:6" x14ac:dyDescent="0.35">
      <c r="A738" s="22" t="s">
        <v>1302</v>
      </c>
      <c r="B738">
        <v>9.7430000000000003</v>
      </c>
      <c r="C738">
        <v>9.7430000000000003</v>
      </c>
      <c r="D738">
        <v>9.7430000000000003</v>
      </c>
      <c r="E738">
        <v>9.7430000000000003</v>
      </c>
      <c r="F738" s="21">
        <v>3.0000000000000001E-3</v>
      </c>
    </row>
    <row r="739" spans="1:6" x14ac:dyDescent="0.35">
      <c r="A739" s="22" t="s">
        <v>1304</v>
      </c>
      <c r="B739">
        <v>9.7140000000000004</v>
      </c>
      <c r="C739">
        <v>9.7140000000000004</v>
      </c>
      <c r="D739">
        <v>9.7140000000000004</v>
      </c>
      <c r="E739">
        <v>9.7140000000000004</v>
      </c>
      <c r="F739" s="21">
        <v>-1.1000000000000001E-3</v>
      </c>
    </row>
    <row r="740" spans="1:6" x14ac:dyDescent="0.35">
      <c r="A740" s="22">
        <v>40398</v>
      </c>
      <c r="B740">
        <v>9.7249999999999996</v>
      </c>
      <c r="C740">
        <v>9.7249999999999996</v>
      </c>
      <c r="D740">
        <v>9.7249999999999996</v>
      </c>
      <c r="E740">
        <v>9.7249999999999996</v>
      </c>
      <c r="F740" s="21">
        <v>-8.6E-3</v>
      </c>
    </row>
    <row r="741" spans="1:6" x14ac:dyDescent="0.35">
      <c r="A741" s="22">
        <v>40186</v>
      </c>
      <c r="B741">
        <v>9.8089999999999993</v>
      </c>
      <c r="C741">
        <v>9.8089999999999993</v>
      </c>
      <c r="D741">
        <v>9.8089999999999993</v>
      </c>
      <c r="E741">
        <v>9.8089999999999993</v>
      </c>
      <c r="F741" s="21">
        <v>2.5499999999999998E-2</v>
      </c>
    </row>
    <row r="742" spans="1:6" x14ac:dyDescent="0.35">
      <c r="A742" s="22" t="s">
        <v>1308</v>
      </c>
      <c r="B742">
        <v>9.5649999999999995</v>
      </c>
      <c r="C742">
        <v>9.5649999999999995</v>
      </c>
      <c r="D742">
        <v>9.5649999999999995</v>
      </c>
      <c r="E742">
        <v>9.5649999999999995</v>
      </c>
      <c r="F742" s="21">
        <v>-6.9999999999999999E-4</v>
      </c>
    </row>
    <row r="743" spans="1:6" x14ac:dyDescent="0.35">
      <c r="A743" s="22" t="s">
        <v>1310</v>
      </c>
      <c r="B743">
        <v>9.5719999999999992</v>
      </c>
      <c r="C743">
        <v>9.5719999999999992</v>
      </c>
      <c r="D743">
        <v>9.5719999999999992</v>
      </c>
      <c r="E743">
        <v>9.5719999999999992</v>
      </c>
      <c r="F743" s="21">
        <v>-2.12E-2</v>
      </c>
    </row>
    <row r="744" spans="1:6" x14ac:dyDescent="0.35">
      <c r="A744" s="22">
        <v>40489</v>
      </c>
      <c r="B744">
        <v>9.7789999999999999</v>
      </c>
      <c r="C744">
        <v>9.7789999999999999</v>
      </c>
      <c r="D744">
        <v>9.7789999999999999</v>
      </c>
      <c r="E744">
        <v>9.7789999999999999</v>
      </c>
      <c r="F744" s="21">
        <v>7.3000000000000001E-3</v>
      </c>
    </row>
    <row r="745" spans="1:6" x14ac:dyDescent="0.35">
      <c r="A745" s="22">
        <v>40275</v>
      </c>
      <c r="B745">
        <v>9.7080000000000002</v>
      </c>
      <c r="C745">
        <v>9.7080000000000002</v>
      </c>
      <c r="D745">
        <v>9.7080000000000002</v>
      </c>
      <c r="E745">
        <v>9.7080000000000002</v>
      </c>
      <c r="F745" s="21">
        <v>-1.9E-2</v>
      </c>
    </row>
    <row r="746" spans="1:6" x14ac:dyDescent="0.35">
      <c r="A746" s="22" t="s">
        <v>1314</v>
      </c>
      <c r="B746">
        <v>9.8960000000000008</v>
      </c>
      <c r="C746">
        <v>9.8960000000000008</v>
      </c>
      <c r="D746">
        <v>9.8960000000000008</v>
      </c>
      <c r="E746">
        <v>9.8960000000000008</v>
      </c>
      <c r="F746" s="21">
        <v>-6.9400000000000003E-2</v>
      </c>
    </row>
    <row r="747" spans="1:6" x14ac:dyDescent="0.35">
      <c r="A747" s="22" t="s">
        <v>1316</v>
      </c>
      <c r="B747">
        <v>10.634</v>
      </c>
      <c r="C747">
        <v>10.634</v>
      </c>
      <c r="D747">
        <v>10.634</v>
      </c>
      <c r="E747">
        <v>10.634</v>
      </c>
      <c r="F747" s="21">
        <v>-4.4999999999999997E-3</v>
      </c>
    </row>
    <row r="748" spans="1:6" x14ac:dyDescent="0.35">
      <c r="A748" s="22" t="s">
        <v>1318</v>
      </c>
      <c r="B748">
        <v>10.682</v>
      </c>
      <c r="C748">
        <v>10.682</v>
      </c>
      <c r="D748">
        <v>10.682</v>
      </c>
      <c r="E748">
        <v>10.682</v>
      </c>
      <c r="F748" s="21">
        <v>-9.5999999999999992E-3</v>
      </c>
    </row>
    <row r="749" spans="1:6" x14ac:dyDescent="0.35">
      <c r="A749" s="22">
        <v>40335</v>
      </c>
      <c r="B749">
        <v>10.785</v>
      </c>
      <c r="C749">
        <v>10.785</v>
      </c>
      <c r="D749">
        <v>10.785</v>
      </c>
      <c r="E749">
        <v>10.785</v>
      </c>
      <c r="F749" s="21">
        <v>-8.8000000000000005E-3</v>
      </c>
    </row>
    <row r="750" spans="1:6" x14ac:dyDescent="0.35">
      <c r="A750" s="22" t="s">
        <v>1321</v>
      </c>
      <c r="B750">
        <v>10.881</v>
      </c>
      <c r="C750">
        <v>10.881</v>
      </c>
      <c r="D750">
        <v>10.881</v>
      </c>
      <c r="E750">
        <v>10.881</v>
      </c>
      <c r="F750" s="21">
        <v>-1.49E-2</v>
      </c>
    </row>
    <row r="751" spans="1:6" x14ac:dyDescent="0.35">
      <c r="A751" s="22" t="s">
        <v>1323</v>
      </c>
      <c r="B751">
        <v>11.045999999999999</v>
      </c>
      <c r="C751">
        <v>11.045999999999999</v>
      </c>
      <c r="D751">
        <v>11.045999999999999</v>
      </c>
      <c r="E751">
        <v>11.045999999999999</v>
      </c>
      <c r="F751" s="21">
        <v>2.8999999999999998E-3</v>
      </c>
    </row>
    <row r="752" spans="1:6" x14ac:dyDescent="0.35">
      <c r="A752" s="22" t="s">
        <v>1325</v>
      </c>
      <c r="B752">
        <v>11.013999999999999</v>
      </c>
      <c r="C752">
        <v>11.013999999999999</v>
      </c>
      <c r="D752">
        <v>11.013999999999999</v>
      </c>
      <c r="E752">
        <v>11.013999999999999</v>
      </c>
      <c r="F752" s="21">
        <v>-1.32E-2</v>
      </c>
    </row>
    <row r="753" spans="1:6" x14ac:dyDescent="0.35">
      <c r="A753" s="22">
        <v>40426</v>
      </c>
      <c r="B753">
        <v>11.161</v>
      </c>
      <c r="C753">
        <v>11.161</v>
      </c>
      <c r="D753">
        <v>11.161</v>
      </c>
      <c r="E753">
        <v>11.161</v>
      </c>
      <c r="F753" s="21">
        <v>-4.5999999999999999E-3</v>
      </c>
    </row>
    <row r="754" spans="1:6" x14ac:dyDescent="0.35">
      <c r="A754" s="22">
        <v>40214</v>
      </c>
      <c r="B754">
        <v>11.212999999999999</v>
      </c>
      <c r="C754">
        <v>11.212999999999999</v>
      </c>
      <c r="D754">
        <v>11.212999999999999</v>
      </c>
      <c r="E754">
        <v>11.212999999999999</v>
      </c>
      <c r="F754" s="21">
        <v>-8.9999999999999993E-3</v>
      </c>
    </row>
    <row r="755" spans="1:6" x14ac:dyDescent="0.35">
      <c r="A755" s="22" t="s">
        <v>1329</v>
      </c>
      <c r="B755">
        <v>11.315</v>
      </c>
      <c r="C755">
        <v>11.315</v>
      </c>
      <c r="D755">
        <v>11.315</v>
      </c>
      <c r="E755">
        <v>11.315</v>
      </c>
      <c r="F755" s="21">
        <v>-1.17E-2</v>
      </c>
    </row>
    <row r="756" spans="1:6" x14ac:dyDescent="0.35">
      <c r="A756" s="22" t="s">
        <v>1331</v>
      </c>
      <c r="B756">
        <v>11.449</v>
      </c>
      <c r="C756">
        <v>11.449</v>
      </c>
      <c r="D756">
        <v>11.449</v>
      </c>
      <c r="E756">
        <v>11.449</v>
      </c>
      <c r="F756" s="21">
        <v>-1.9E-3</v>
      </c>
    </row>
    <row r="757" spans="1:6" x14ac:dyDescent="0.35">
      <c r="A757" s="22">
        <v>40486</v>
      </c>
      <c r="B757">
        <v>11.471</v>
      </c>
      <c r="C757">
        <v>11.471</v>
      </c>
      <c r="D757">
        <v>11.471</v>
      </c>
      <c r="E757">
        <v>11.471</v>
      </c>
      <c r="F757" s="21">
        <v>-3.8999999999999998E-3</v>
      </c>
    </row>
    <row r="758" spans="1:6" x14ac:dyDescent="0.35">
      <c r="A758" s="22">
        <v>40272</v>
      </c>
      <c r="B758">
        <v>11.516</v>
      </c>
      <c r="C758">
        <v>11.516</v>
      </c>
      <c r="D758">
        <v>11.516</v>
      </c>
      <c r="E758">
        <v>11.516</v>
      </c>
      <c r="F758" s="21">
        <v>8.6E-3</v>
      </c>
    </row>
    <row r="759" spans="1:6" x14ac:dyDescent="0.35">
      <c r="A759" s="22" t="s">
        <v>1335</v>
      </c>
      <c r="B759">
        <v>11.417999999999999</v>
      </c>
      <c r="C759">
        <v>11.417999999999999</v>
      </c>
      <c r="D759">
        <v>11.417999999999999</v>
      </c>
      <c r="E759">
        <v>11.417999999999999</v>
      </c>
      <c r="F759" s="21">
        <v>-4.4000000000000003E-3</v>
      </c>
    </row>
    <row r="760" spans="1:6" x14ac:dyDescent="0.35">
      <c r="A760" s="22" t="s">
        <v>1337</v>
      </c>
      <c r="B760">
        <v>11.468999999999999</v>
      </c>
      <c r="C760">
        <v>11.468999999999999</v>
      </c>
      <c r="D760">
        <v>11.468999999999999</v>
      </c>
      <c r="E760">
        <v>11.468999999999999</v>
      </c>
      <c r="F760" s="21">
        <v>-6.7000000000000002E-3</v>
      </c>
    </row>
    <row r="761" spans="1:6" x14ac:dyDescent="0.35">
      <c r="A761" s="22" t="s">
        <v>1339</v>
      </c>
      <c r="B761">
        <v>11.545999999999999</v>
      </c>
      <c r="C761">
        <v>11.545999999999999</v>
      </c>
      <c r="D761">
        <v>11.545999999999999</v>
      </c>
      <c r="E761">
        <v>11.545999999999999</v>
      </c>
      <c r="F761" s="21">
        <v>1.34E-2</v>
      </c>
    </row>
    <row r="762" spans="1:6" x14ac:dyDescent="0.35">
      <c r="A762" s="22">
        <v>40362</v>
      </c>
      <c r="B762">
        <v>11.393000000000001</v>
      </c>
      <c r="C762">
        <v>11.393000000000001</v>
      </c>
      <c r="D762">
        <v>11.393000000000001</v>
      </c>
      <c r="E762">
        <v>11.393000000000001</v>
      </c>
      <c r="F762" s="21">
        <v>5.3199999999999997E-2</v>
      </c>
    </row>
    <row r="763" spans="1:6" x14ac:dyDescent="0.35">
      <c r="A763" s="22" t="s">
        <v>1342</v>
      </c>
      <c r="B763">
        <v>10.817</v>
      </c>
      <c r="C763">
        <v>10.817</v>
      </c>
      <c r="D763">
        <v>10.817</v>
      </c>
      <c r="E763">
        <v>10.817</v>
      </c>
      <c r="F763" s="21">
        <v>6.0000000000000001E-3</v>
      </c>
    </row>
    <row r="764" spans="1:6" x14ac:dyDescent="0.35">
      <c r="A764" s="22" t="s">
        <v>1344</v>
      </c>
      <c r="B764">
        <v>10.753</v>
      </c>
      <c r="C764">
        <v>10.753</v>
      </c>
      <c r="D764">
        <v>10.753</v>
      </c>
      <c r="E764">
        <v>10.753</v>
      </c>
      <c r="F764" s="21">
        <v>4.4000000000000003E-3</v>
      </c>
    </row>
    <row r="765" spans="1:6" x14ac:dyDescent="0.35">
      <c r="A765" s="22" t="s">
        <v>1840</v>
      </c>
      <c r="B765">
        <v>10.706</v>
      </c>
      <c r="C765">
        <v>10.706</v>
      </c>
      <c r="D765">
        <v>10.706</v>
      </c>
      <c r="E765">
        <v>10.706</v>
      </c>
      <c r="F765" s="21">
        <v>1.5100000000000001E-2</v>
      </c>
    </row>
    <row r="766" spans="1:6" x14ac:dyDescent="0.35">
      <c r="A766" s="22">
        <v>40361</v>
      </c>
      <c r="B766">
        <v>10.547000000000001</v>
      </c>
      <c r="C766">
        <v>10.547000000000001</v>
      </c>
      <c r="D766">
        <v>10.547000000000001</v>
      </c>
      <c r="E766">
        <v>10.547000000000001</v>
      </c>
      <c r="F766" s="21">
        <v>-4.0000000000000002E-4</v>
      </c>
    </row>
    <row r="767" spans="1:6" x14ac:dyDescent="0.35">
      <c r="A767" s="22" t="s">
        <v>1347</v>
      </c>
      <c r="B767">
        <v>10.551</v>
      </c>
      <c r="C767">
        <v>10.551</v>
      </c>
      <c r="D767">
        <v>10.551</v>
      </c>
      <c r="E767">
        <v>10.551</v>
      </c>
      <c r="F767" s="21">
        <v>-3.5000000000000001E-3</v>
      </c>
    </row>
    <row r="768" spans="1:6" x14ac:dyDescent="0.35">
      <c r="A768" s="22" t="s">
        <v>1349</v>
      </c>
      <c r="B768">
        <v>10.587999999999999</v>
      </c>
      <c r="C768">
        <v>10.587999999999999</v>
      </c>
      <c r="D768">
        <v>10.587999999999999</v>
      </c>
      <c r="E768">
        <v>10.587999999999999</v>
      </c>
      <c r="F768" s="21">
        <v>5.8999999999999999E-3</v>
      </c>
    </row>
    <row r="769" spans="1:6" x14ac:dyDescent="0.35">
      <c r="A769" s="22" t="s">
        <v>1351</v>
      </c>
      <c r="B769">
        <v>10.526</v>
      </c>
      <c r="C769">
        <v>10.526</v>
      </c>
      <c r="D769">
        <v>10.526</v>
      </c>
      <c r="E769">
        <v>10.526</v>
      </c>
      <c r="F769" s="21">
        <v>6.1000000000000004E-3</v>
      </c>
    </row>
    <row r="770" spans="1:6" x14ac:dyDescent="0.35">
      <c r="A770" s="22">
        <v>40452</v>
      </c>
      <c r="B770">
        <v>10.462</v>
      </c>
      <c r="C770">
        <v>10.462</v>
      </c>
      <c r="D770">
        <v>10.462</v>
      </c>
      <c r="E770">
        <v>10.462</v>
      </c>
      <c r="F770" s="21">
        <v>7.4999999999999997E-3</v>
      </c>
    </row>
    <row r="771" spans="1:6" x14ac:dyDescent="0.35">
      <c r="A771" s="22">
        <v>40238</v>
      </c>
      <c r="B771">
        <v>10.384</v>
      </c>
      <c r="C771">
        <v>10.384</v>
      </c>
      <c r="D771">
        <v>10.384</v>
      </c>
      <c r="E771">
        <v>10.384</v>
      </c>
      <c r="F771" s="21">
        <v>-2.5999999999999999E-3</v>
      </c>
    </row>
    <row r="772" spans="1:6" x14ac:dyDescent="0.35">
      <c r="A772" s="22" t="s">
        <v>1355</v>
      </c>
      <c r="B772">
        <v>10.411</v>
      </c>
      <c r="C772">
        <v>10.411</v>
      </c>
      <c r="D772">
        <v>10.411</v>
      </c>
      <c r="E772">
        <v>10.411</v>
      </c>
      <c r="F772" s="21">
        <v>3.3999999999999998E-3</v>
      </c>
    </row>
    <row r="773" spans="1:6" x14ac:dyDescent="0.35">
      <c r="A773" s="22" t="s">
        <v>1357</v>
      </c>
      <c r="B773">
        <v>10.375999999999999</v>
      </c>
      <c r="C773">
        <v>10.375999999999999</v>
      </c>
      <c r="D773">
        <v>10.375999999999999</v>
      </c>
      <c r="E773">
        <v>10.375999999999999</v>
      </c>
      <c r="F773" s="21">
        <v>1.5599999999999999E-2</v>
      </c>
    </row>
    <row r="774" spans="1:6" x14ac:dyDescent="0.35">
      <c r="A774" s="22" t="s">
        <v>1359</v>
      </c>
      <c r="B774">
        <v>10.217000000000001</v>
      </c>
      <c r="C774">
        <v>10.217000000000001</v>
      </c>
      <c r="D774">
        <v>10.217000000000001</v>
      </c>
      <c r="E774">
        <v>10.217000000000001</v>
      </c>
      <c r="F774" s="21">
        <v>2.2200000000000001E-2</v>
      </c>
    </row>
    <row r="775" spans="1:6" x14ac:dyDescent="0.35">
      <c r="A775" s="22">
        <v>39976</v>
      </c>
      <c r="B775">
        <v>9.9949999999999992</v>
      </c>
      <c r="C775">
        <v>9.9949999999999992</v>
      </c>
      <c r="D775">
        <v>9.9949999999999992</v>
      </c>
      <c r="E775">
        <v>9.9949999999999992</v>
      </c>
      <c r="F775" s="21">
        <v>3.32E-2</v>
      </c>
    </row>
    <row r="776" spans="1:6" x14ac:dyDescent="0.35">
      <c r="A776" s="22" t="s">
        <v>1362</v>
      </c>
      <c r="B776">
        <v>9.6739999999999995</v>
      </c>
      <c r="C776">
        <v>9.6739999999999995</v>
      </c>
      <c r="D776">
        <v>9.6739999999999995</v>
      </c>
      <c r="E776">
        <v>9.6739999999999995</v>
      </c>
      <c r="F776" s="21">
        <v>-7.7000000000000002E-3</v>
      </c>
    </row>
    <row r="777" spans="1:6" x14ac:dyDescent="0.35">
      <c r="A777" s="22" t="s">
        <v>1364</v>
      </c>
      <c r="B777">
        <v>9.7490000000000006</v>
      </c>
      <c r="C777">
        <v>9.7490000000000006</v>
      </c>
      <c r="D777">
        <v>9.7490000000000006</v>
      </c>
      <c r="E777">
        <v>9.7490000000000006</v>
      </c>
      <c r="F777" s="21">
        <v>9.4000000000000004E-3</v>
      </c>
    </row>
    <row r="778" spans="1:6" x14ac:dyDescent="0.35">
      <c r="A778" s="22" t="s">
        <v>1366</v>
      </c>
      <c r="B778">
        <v>9.6579999999999995</v>
      </c>
      <c r="C778">
        <v>9.6579999999999995</v>
      </c>
      <c r="D778">
        <v>9.6579999999999995</v>
      </c>
      <c r="E778">
        <v>9.6579999999999995</v>
      </c>
      <c r="F778" s="21">
        <v>1.7399999999999999E-2</v>
      </c>
    </row>
    <row r="779" spans="1:6" x14ac:dyDescent="0.35">
      <c r="A779" s="22">
        <v>40036</v>
      </c>
      <c r="B779">
        <v>9.4930000000000003</v>
      </c>
      <c r="C779">
        <v>9.4930000000000003</v>
      </c>
      <c r="D779">
        <v>9.4930000000000003</v>
      </c>
      <c r="E779">
        <v>9.4930000000000003</v>
      </c>
      <c r="F779" s="21">
        <v>1.03E-2</v>
      </c>
    </row>
    <row r="780" spans="1:6" x14ac:dyDescent="0.35">
      <c r="A780" s="22">
        <v>39824</v>
      </c>
      <c r="B780">
        <v>9.3960000000000008</v>
      </c>
      <c r="C780">
        <v>9.3960000000000008</v>
      </c>
      <c r="D780">
        <v>9.3960000000000008</v>
      </c>
      <c r="E780">
        <v>9.3960000000000008</v>
      </c>
      <c r="F780" s="21">
        <v>1.2E-2</v>
      </c>
    </row>
    <row r="781" spans="1:6" x14ac:dyDescent="0.35">
      <c r="A781" s="22" t="s">
        <v>1370</v>
      </c>
      <c r="B781">
        <v>9.2850000000000001</v>
      </c>
      <c r="C781">
        <v>9.2850000000000001</v>
      </c>
      <c r="D781">
        <v>9.2850000000000001</v>
      </c>
      <c r="E781">
        <v>9.2850000000000001</v>
      </c>
      <c r="F781" s="21">
        <v>-0.1094</v>
      </c>
    </row>
    <row r="782" spans="1:6" x14ac:dyDescent="0.35">
      <c r="A782" s="22" t="s">
        <v>1372</v>
      </c>
      <c r="B782">
        <v>10.425000000000001</v>
      </c>
      <c r="C782">
        <v>10.425000000000001</v>
      </c>
      <c r="D782">
        <v>10.425000000000001</v>
      </c>
      <c r="E782">
        <v>10.425000000000001</v>
      </c>
      <c r="F782" s="21">
        <v>0.14810000000000001</v>
      </c>
    </row>
    <row r="783" spans="1:6" x14ac:dyDescent="0.35">
      <c r="A783" s="22">
        <v>40127</v>
      </c>
      <c r="B783">
        <v>9.08</v>
      </c>
      <c r="C783">
        <v>9.08</v>
      </c>
      <c r="D783">
        <v>9.08</v>
      </c>
      <c r="E783">
        <v>9.08</v>
      </c>
      <c r="F783" s="21">
        <v>-0.11070000000000001</v>
      </c>
    </row>
    <row r="784" spans="1:6" x14ac:dyDescent="0.35">
      <c r="A784" s="22">
        <v>39913</v>
      </c>
      <c r="B784">
        <v>10.210000000000001</v>
      </c>
      <c r="C784">
        <v>10.210000000000001</v>
      </c>
      <c r="D784">
        <v>10.210000000000001</v>
      </c>
      <c r="E784">
        <v>10.210000000000001</v>
      </c>
      <c r="F784" s="21">
        <v>0.123</v>
      </c>
    </row>
    <row r="785" spans="1:6" x14ac:dyDescent="0.35">
      <c r="A785" s="22" t="s">
        <v>1376</v>
      </c>
      <c r="B785">
        <v>9.0920000000000005</v>
      </c>
      <c r="C785">
        <v>9.0920000000000005</v>
      </c>
      <c r="D785">
        <v>9.0920000000000005</v>
      </c>
      <c r="E785">
        <v>9.0920000000000005</v>
      </c>
      <c r="F785" s="21">
        <v>-6.3600000000000004E-2</v>
      </c>
    </row>
    <row r="786" spans="1:6" x14ac:dyDescent="0.35">
      <c r="A786" s="22" t="s">
        <v>1378</v>
      </c>
      <c r="B786">
        <v>9.7100000000000009</v>
      </c>
      <c r="C786">
        <v>9.7100000000000009</v>
      </c>
      <c r="D786">
        <v>9.7100000000000009</v>
      </c>
      <c r="E786">
        <v>9.7100000000000009</v>
      </c>
      <c r="F786" s="21">
        <v>0</v>
      </c>
    </row>
    <row r="787" spans="1:6" x14ac:dyDescent="0.35">
      <c r="A787" s="22" t="s">
        <v>1380</v>
      </c>
      <c r="B787">
        <v>9.7100000000000009</v>
      </c>
      <c r="C787">
        <v>9.7100000000000009</v>
      </c>
      <c r="D787">
        <v>9.7100000000000009</v>
      </c>
      <c r="E787">
        <v>9.7100000000000009</v>
      </c>
      <c r="F787" s="21">
        <v>3.3000000000000002E-2</v>
      </c>
    </row>
    <row r="788" spans="1:6" x14ac:dyDescent="0.35">
      <c r="A788" s="22" t="s">
        <v>1385</v>
      </c>
      <c r="B788">
        <v>9.4</v>
      </c>
      <c r="C788">
        <v>9.4</v>
      </c>
      <c r="D788">
        <v>9.4</v>
      </c>
      <c r="E788">
        <v>9.4</v>
      </c>
      <c r="F788" s="21">
        <v>0</v>
      </c>
    </row>
    <row r="789" spans="1:6" x14ac:dyDescent="0.35">
      <c r="A789" s="22" t="s">
        <v>1387</v>
      </c>
      <c r="B789">
        <v>9.4</v>
      </c>
      <c r="C789">
        <v>9.4</v>
      </c>
      <c r="D789">
        <v>9.4</v>
      </c>
      <c r="E789">
        <v>9.4</v>
      </c>
      <c r="F789" s="21">
        <v>0</v>
      </c>
    </row>
    <row r="790" spans="1:6" x14ac:dyDescent="0.35">
      <c r="A790" s="22">
        <v>40064</v>
      </c>
      <c r="B790">
        <v>9.4</v>
      </c>
      <c r="C790">
        <v>9.4</v>
      </c>
      <c r="D790">
        <v>9.4</v>
      </c>
      <c r="E790">
        <v>9.4</v>
      </c>
      <c r="F790" s="21">
        <v>0</v>
      </c>
    </row>
    <row r="791" spans="1:6" x14ac:dyDescent="0.35">
      <c r="A791" s="22">
        <v>39852</v>
      </c>
      <c r="B791">
        <v>9.4</v>
      </c>
      <c r="C791">
        <v>9.4</v>
      </c>
      <c r="D791">
        <v>9.4</v>
      </c>
      <c r="E791">
        <v>9.4</v>
      </c>
      <c r="F791" s="21">
        <v>5.5E-2</v>
      </c>
    </row>
    <row r="792" spans="1:6" x14ac:dyDescent="0.35">
      <c r="A792" s="22" t="s">
        <v>1391</v>
      </c>
      <c r="B792">
        <v>8.91</v>
      </c>
      <c r="C792">
        <v>8.91</v>
      </c>
      <c r="D792">
        <v>8.91</v>
      </c>
      <c r="E792">
        <v>8.91</v>
      </c>
      <c r="F792" s="21">
        <v>0</v>
      </c>
    </row>
    <row r="793" spans="1:6" x14ac:dyDescent="0.35">
      <c r="A793" s="22" t="s">
        <v>1393</v>
      </c>
      <c r="B793">
        <v>8.91</v>
      </c>
      <c r="C793">
        <v>8.91</v>
      </c>
      <c r="D793">
        <v>8.91</v>
      </c>
      <c r="E793">
        <v>8.91</v>
      </c>
      <c r="F793" s="21">
        <v>0</v>
      </c>
    </row>
    <row r="794" spans="1:6" x14ac:dyDescent="0.35">
      <c r="A794" s="22">
        <v>40154</v>
      </c>
      <c r="B794">
        <v>8.91</v>
      </c>
      <c r="C794">
        <v>8.91</v>
      </c>
      <c r="D794">
        <v>8.91</v>
      </c>
      <c r="E794">
        <v>8.91</v>
      </c>
      <c r="F794" s="21">
        <v>0</v>
      </c>
    </row>
    <row r="795" spans="1:6" x14ac:dyDescent="0.35">
      <c r="A795" s="22">
        <v>39940</v>
      </c>
      <c r="B795">
        <v>8.91</v>
      </c>
      <c r="C795">
        <v>8.91</v>
      </c>
      <c r="D795">
        <v>8.91</v>
      </c>
      <c r="E795">
        <v>8.91</v>
      </c>
      <c r="F795" s="21">
        <v>0</v>
      </c>
    </row>
    <row r="796" spans="1:6" x14ac:dyDescent="0.35">
      <c r="A796" s="22" t="s">
        <v>1397</v>
      </c>
      <c r="B796">
        <v>8.91</v>
      </c>
      <c r="C796">
        <v>8.91</v>
      </c>
      <c r="D796">
        <v>8.91</v>
      </c>
      <c r="E796">
        <v>8.91</v>
      </c>
      <c r="F796" s="21">
        <v>0</v>
      </c>
    </row>
    <row r="797" spans="1:6" x14ac:dyDescent="0.35">
      <c r="A797" s="22" t="s">
        <v>1399</v>
      </c>
      <c r="B797">
        <v>8.91</v>
      </c>
      <c r="C797">
        <v>8.91</v>
      </c>
      <c r="D797">
        <v>8.91</v>
      </c>
      <c r="E797">
        <v>8.91</v>
      </c>
      <c r="F797" s="21">
        <v>0</v>
      </c>
    </row>
    <row r="798" spans="1:6" x14ac:dyDescent="0.35">
      <c r="A798" s="22" t="s">
        <v>1401</v>
      </c>
      <c r="B798">
        <v>8.91</v>
      </c>
      <c r="C798">
        <v>8.91</v>
      </c>
      <c r="D798">
        <v>8.91</v>
      </c>
      <c r="E798">
        <v>8.91</v>
      </c>
      <c r="F798" s="21">
        <v>0</v>
      </c>
    </row>
    <row r="799" spans="1:6" x14ac:dyDescent="0.35">
      <c r="A799" s="22">
        <v>40000</v>
      </c>
      <c r="B799">
        <v>8.91</v>
      </c>
      <c r="C799">
        <v>8.91</v>
      </c>
      <c r="D799">
        <v>8.91</v>
      </c>
      <c r="E799">
        <v>8.91</v>
      </c>
      <c r="F799" s="21">
        <v>0</v>
      </c>
    </row>
    <row r="800" spans="1:6" x14ac:dyDescent="0.35">
      <c r="A800" s="22" t="s">
        <v>1404</v>
      </c>
      <c r="B800">
        <v>8.91</v>
      </c>
      <c r="C800">
        <v>8.91</v>
      </c>
      <c r="D800">
        <v>8.91</v>
      </c>
      <c r="E800">
        <v>8.91</v>
      </c>
      <c r="F800" s="21">
        <v>0</v>
      </c>
    </row>
    <row r="801" spans="1:6" x14ac:dyDescent="0.35">
      <c r="A801" s="22" t="s">
        <v>1406</v>
      </c>
      <c r="B801">
        <v>8.91</v>
      </c>
      <c r="C801">
        <v>8.91</v>
      </c>
      <c r="D801">
        <v>8.91</v>
      </c>
      <c r="E801">
        <v>8.91</v>
      </c>
      <c r="F801" s="21">
        <v>0</v>
      </c>
    </row>
    <row r="802" spans="1:6" x14ac:dyDescent="0.35">
      <c r="A802" s="22" t="s">
        <v>1408</v>
      </c>
      <c r="B802">
        <v>8.91</v>
      </c>
      <c r="C802">
        <v>8.91</v>
      </c>
      <c r="D802">
        <v>8.91</v>
      </c>
      <c r="E802">
        <v>8.91</v>
      </c>
      <c r="F802" s="21">
        <v>0</v>
      </c>
    </row>
    <row r="803" spans="1:6" x14ac:dyDescent="0.35">
      <c r="A803" s="22">
        <v>40091</v>
      </c>
      <c r="B803">
        <v>8.91</v>
      </c>
      <c r="C803">
        <v>8.91</v>
      </c>
      <c r="D803">
        <v>8.91</v>
      </c>
      <c r="E803">
        <v>8.91</v>
      </c>
      <c r="F803" s="21">
        <v>0</v>
      </c>
    </row>
    <row r="804" spans="1:6" x14ac:dyDescent="0.35">
      <c r="A804" s="22">
        <v>39877</v>
      </c>
      <c r="B804">
        <v>8.91</v>
      </c>
      <c r="C804">
        <v>8.91</v>
      </c>
      <c r="D804">
        <v>8.91</v>
      </c>
      <c r="E804">
        <v>8.91</v>
      </c>
      <c r="F804" s="21">
        <v>0</v>
      </c>
    </row>
    <row r="805" spans="1:6" x14ac:dyDescent="0.35">
      <c r="A805" s="22" t="s">
        <v>1412</v>
      </c>
      <c r="B805">
        <v>8.91</v>
      </c>
      <c r="C805">
        <v>8.91</v>
      </c>
      <c r="D805">
        <v>8.91</v>
      </c>
      <c r="E805">
        <v>8.91</v>
      </c>
      <c r="F805" s="21">
        <v>0</v>
      </c>
    </row>
    <row r="806" spans="1:6" x14ac:dyDescent="0.35">
      <c r="A806" s="22" t="s">
        <v>1414</v>
      </c>
      <c r="B806">
        <v>8.91</v>
      </c>
      <c r="C806">
        <v>8.91</v>
      </c>
      <c r="D806">
        <v>8.91</v>
      </c>
      <c r="E806">
        <v>8.91</v>
      </c>
      <c r="F806" s="21">
        <v>0</v>
      </c>
    </row>
    <row r="807" spans="1:6" x14ac:dyDescent="0.35">
      <c r="A807" s="22">
        <v>40151</v>
      </c>
      <c r="B807">
        <v>8.91</v>
      </c>
      <c r="C807">
        <v>8.91</v>
      </c>
      <c r="D807">
        <v>8.91</v>
      </c>
      <c r="E807">
        <v>8.91</v>
      </c>
      <c r="F807" s="21">
        <v>0</v>
      </c>
    </row>
    <row r="808" spans="1:6" x14ac:dyDescent="0.35">
      <c r="A808" s="22">
        <v>39937</v>
      </c>
      <c r="B808">
        <v>8.91</v>
      </c>
      <c r="C808">
        <v>8.91</v>
      </c>
      <c r="D808">
        <v>8.91</v>
      </c>
      <c r="E808">
        <v>8.91</v>
      </c>
      <c r="F808" s="21">
        <v>0</v>
      </c>
    </row>
    <row r="809" spans="1:6" x14ac:dyDescent="0.35">
      <c r="A809" s="22" t="s">
        <v>1418</v>
      </c>
      <c r="B809">
        <v>8.91</v>
      </c>
      <c r="C809">
        <v>8.91</v>
      </c>
      <c r="D809">
        <v>8.91</v>
      </c>
      <c r="E809">
        <v>8.91</v>
      </c>
      <c r="F809" s="21">
        <v>0</v>
      </c>
    </row>
    <row r="810" spans="1:6" x14ac:dyDescent="0.35">
      <c r="A810" s="22" t="s">
        <v>1420</v>
      </c>
      <c r="B810">
        <v>8.91</v>
      </c>
      <c r="C810">
        <v>8.91</v>
      </c>
      <c r="D810">
        <v>8.91</v>
      </c>
      <c r="E810">
        <v>8.91</v>
      </c>
      <c r="F810" s="21">
        <v>0</v>
      </c>
    </row>
    <row r="811" spans="1:6" x14ac:dyDescent="0.35">
      <c r="A811" s="22" t="s">
        <v>1422</v>
      </c>
      <c r="B811">
        <v>8.91</v>
      </c>
      <c r="C811">
        <v>8.91</v>
      </c>
      <c r="D811">
        <v>8.91</v>
      </c>
      <c r="E811">
        <v>8.91</v>
      </c>
      <c r="F811" s="21">
        <v>0</v>
      </c>
    </row>
    <row r="812" spans="1:6" x14ac:dyDescent="0.35">
      <c r="A812" s="22">
        <v>40028</v>
      </c>
      <c r="B812">
        <v>8.91</v>
      </c>
      <c r="C812">
        <v>8.91</v>
      </c>
      <c r="D812">
        <v>8.91</v>
      </c>
      <c r="E812">
        <v>8.91</v>
      </c>
      <c r="F812" s="21">
        <v>1.14E-2</v>
      </c>
    </row>
    <row r="813" spans="1:6" x14ac:dyDescent="0.35">
      <c r="A813" s="22">
        <v>39816</v>
      </c>
      <c r="B813">
        <v>8.81</v>
      </c>
      <c r="C813">
        <v>8.81</v>
      </c>
      <c r="D813">
        <v>8.81</v>
      </c>
      <c r="E813">
        <v>8.81</v>
      </c>
      <c r="F813" s="21">
        <v>-3.1899999999999998E-2</v>
      </c>
    </row>
    <row r="814" spans="1:6" x14ac:dyDescent="0.35">
      <c r="A814" s="22" t="s">
        <v>1426</v>
      </c>
      <c r="B814">
        <v>9.1</v>
      </c>
      <c r="C814">
        <v>9.1</v>
      </c>
      <c r="D814">
        <v>9.1</v>
      </c>
      <c r="E814">
        <v>9.1</v>
      </c>
      <c r="F814" s="21">
        <v>0</v>
      </c>
    </row>
    <row r="815" spans="1:6" x14ac:dyDescent="0.35">
      <c r="A815" s="22" t="s">
        <v>1428</v>
      </c>
      <c r="B815">
        <v>9.1</v>
      </c>
      <c r="C815">
        <v>9.1</v>
      </c>
      <c r="D815">
        <v>9.1</v>
      </c>
      <c r="E815">
        <v>9.1</v>
      </c>
      <c r="F815" s="21">
        <v>1.11E-2</v>
      </c>
    </row>
    <row r="816" spans="1:6" x14ac:dyDescent="0.35">
      <c r="A816" s="22">
        <v>40027</v>
      </c>
      <c r="B816">
        <v>9</v>
      </c>
      <c r="C816">
        <v>9</v>
      </c>
      <c r="D816">
        <v>9</v>
      </c>
      <c r="E816">
        <v>9</v>
      </c>
      <c r="F816" s="21">
        <v>0</v>
      </c>
    </row>
    <row r="817" spans="1:6" x14ac:dyDescent="0.35">
      <c r="A817" s="22">
        <v>39815</v>
      </c>
      <c r="B817">
        <v>9</v>
      </c>
      <c r="C817">
        <v>9</v>
      </c>
      <c r="D817">
        <v>9</v>
      </c>
      <c r="E817">
        <v>9</v>
      </c>
      <c r="F817" s="21">
        <v>-1.0999999999999999E-2</v>
      </c>
    </row>
    <row r="818" spans="1:6" x14ac:dyDescent="0.35">
      <c r="A818" s="22" t="s">
        <v>1841</v>
      </c>
      <c r="B818">
        <v>9.1</v>
      </c>
      <c r="C818">
        <v>9.1</v>
      </c>
      <c r="D818">
        <v>9.1</v>
      </c>
      <c r="E818">
        <v>9.1</v>
      </c>
      <c r="F818" s="21">
        <v>0</v>
      </c>
    </row>
    <row r="819" spans="1:6" x14ac:dyDescent="0.35">
      <c r="A819" s="22" t="s">
        <v>1431</v>
      </c>
      <c r="B819">
        <v>9.1</v>
      </c>
      <c r="C819">
        <v>9.1</v>
      </c>
      <c r="D819">
        <v>9.1</v>
      </c>
      <c r="E819">
        <v>9.1</v>
      </c>
      <c r="F819" s="21">
        <v>5.8099999999999999E-2</v>
      </c>
    </row>
    <row r="820" spans="1:6" x14ac:dyDescent="0.35">
      <c r="A820" s="22">
        <v>40118</v>
      </c>
      <c r="B820">
        <v>8.6</v>
      </c>
      <c r="C820">
        <v>8.6</v>
      </c>
      <c r="D820">
        <v>8.6</v>
      </c>
      <c r="E820">
        <v>8.6</v>
      </c>
      <c r="F820" s="21">
        <v>-0.21820000000000001</v>
      </c>
    </row>
    <row r="821" spans="1:6" x14ac:dyDescent="0.35">
      <c r="A821" s="22">
        <v>39904</v>
      </c>
      <c r="B821">
        <v>11</v>
      </c>
      <c r="C821">
        <v>11</v>
      </c>
      <c r="D821">
        <v>11</v>
      </c>
      <c r="E821">
        <v>11</v>
      </c>
      <c r="F821" s="21">
        <v>0</v>
      </c>
    </row>
    <row r="822" spans="1:6" x14ac:dyDescent="0.35">
      <c r="A822" s="22" t="s">
        <v>1435</v>
      </c>
      <c r="B822">
        <v>11</v>
      </c>
      <c r="C822">
        <v>11</v>
      </c>
      <c r="D822">
        <v>11</v>
      </c>
      <c r="E822">
        <v>11</v>
      </c>
      <c r="F822" s="21">
        <v>0</v>
      </c>
    </row>
    <row r="823" spans="1:6" x14ac:dyDescent="0.35">
      <c r="A823" s="22" t="s">
        <v>1437</v>
      </c>
      <c r="B823">
        <v>11</v>
      </c>
      <c r="C823">
        <v>11</v>
      </c>
      <c r="D823">
        <v>11</v>
      </c>
      <c r="E823">
        <v>11</v>
      </c>
      <c r="F823" s="21">
        <v>0</v>
      </c>
    </row>
    <row r="824" spans="1:6" x14ac:dyDescent="0.35">
      <c r="A824" s="22" t="s">
        <v>1439</v>
      </c>
      <c r="B824">
        <v>11</v>
      </c>
      <c r="C824">
        <v>11</v>
      </c>
      <c r="D824">
        <v>11</v>
      </c>
      <c r="E824">
        <v>11</v>
      </c>
      <c r="F824" s="21">
        <v>-0.38890000000000002</v>
      </c>
    </row>
    <row r="825" spans="1:6" x14ac:dyDescent="0.35">
      <c r="A825" s="22" t="s">
        <v>1450</v>
      </c>
      <c r="B825">
        <v>18</v>
      </c>
      <c r="C825">
        <v>18</v>
      </c>
      <c r="D825">
        <v>18</v>
      </c>
      <c r="E825">
        <v>18</v>
      </c>
      <c r="F825" s="21">
        <v>0</v>
      </c>
    </row>
    <row r="826" spans="1:6" x14ac:dyDescent="0.35">
      <c r="A826" s="22" t="s">
        <v>1452</v>
      </c>
      <c r="B826">
        <v>18</v>
      </c>
      <c r="C826">
        <v>18</v>
      </c>
      <c r="D826">
        <v>18</v>
      </c>
      <c r="E826">
        <v>18</v>
      </c>
      <c r="F826" s="21">
        <v>0</v>
      </c>
    </row>
    <row r="827" spans="1:6" x14ac:dyDescent="0.35">
      <c r="A827" s="22">
        <v>39792</v>
      </c>
      <c r="B827">
        <v>18</v>
      </c>
      <c r="C827">
        <v>18</v>
      </c>
      <c r="D827">
        <v>18</v>
      </c>
      <c r="E827">
        <v>18</v>
      </c>
      <c r="F827" s="21">
        <v>0</v>
      </c>
    </row>
    <row r="828" spans="1:6" x14ac:dyDescent="0.35">
      <c r="A828" s="22">
        <v>39578</v>
      </c>
      <c r="B828">
        <v>18</v>
      </c>
      <c r="C828">
        <v>18</v>
      </c>
      <c r="D828">
        <v>18</v>
      </c>
      <c r="E828">
        <v>18</v>
      </c>
      <c r="F828" s="21">
        <v>0.1321</v>
      </c>
    </row>
    <row r="829" spans="1:6" x14ac:dyDescent="0.35">
      <c r="A829" s="22" t="s">
        <v>1456</v>
      </c>
      <c r="B829">
        <v>15.9</v>
      </c>
      <c r="C829">
        <v>15.9</v>
      </c>
      <c r="D829">
        <v>15.9</v>
      </c>
      <c r="E829">
        <v>15.9</v>
      </c>
      <c r="F829" s="21">
        <v>-2.75E-2</v>
      </c>
    </row>
    <row r="830" spans="1:6" x14ac:dyDescent="0.35">
      <c r="A830" s="22" t="s">
        <v>1458</v>
      </c>
      <c r="B830">
        <v>16.350000000000001</v>
      </c>
      <c r="C830">
        <v>16.350000000000001</v>
      </c>
      <c r="D830">
        <v>16.350000000000001</v>
      </c>
      <c r="E830">
        <v>16.350000000000001</v>
      </c>
      <c r="F830" s="21">
        <v>-1.21E-2</v>
      </c>
    </row>
    <row r="831" spans="1:6" x14ac:dyDescent="0.35">
      <c r="A831" s="22" t="s">
        <v>1460</v>
      </c>
      <c r="B831">
        <v>16.55</v>
      </c>
      <c r="C831">
        <v>16.55</v>
      </c>
      <c r="D831">
        <v>16.55</v>
      </c>
      <c r="E831">
        <v>16.55</v>
      </c>
      <c r="F831" s="21">
        <v>-1.78E-2</v>
      </c>
    </row>
    <row r="832" spans="1:6" x14ac:dyDescent="0.35">
      <c r="A832" s="22">
        <v>39638</v>
      </c>
      <c r="B832">
        <v>16.850000000000001</v>
      </c>
      <c r="C832">
        <v>16.850000000000001</v>
      </c>
      <c r="D832">
        <v>16.850000000000001</v>
      </c>
      <c r="E832">
        <v>16.850000000000001</v>
      </c>
      <c r="F832" s="21">
        <v>0</v>
      </c>
    </row>
    <row r="833" spans="1:6" x14ac:dyDescent="0.35">
      <c r="A833" s="22" t="s">
        <v>1463</v>
      </c>
      <c r="B833">
        <v>16.850000000000001</v>
      </c>
      <c r="C833">
        <v>16.850000000000001</v>
      </c>
      <c r="D833">
        <v>16.850000000000001</v>
      </c>
      <c r="E833">
        <v>16.850000000000001</v>
      </c>
      <c r="F833" s="21">
        <v>0</v>
      </c>
    </row>
    <row r="834" spans="1:6" x14ac:dyDescent="0.35">
      <c r="A834" s="22" t="s">
        <v>1465</v>
      </c>
      <c r="B834">
        <v>16.850000000000001</v>
      </c>
      <c r="C834">
        <v>16.850000000000001</v>
      </c>
      <c r="D834">
        <v>16.850000000000001</v>
      </c>
      <c r="E834">
        <v>16.850000000000001</v>
      </c>
      <c r="F834" s="21">
        <v>0</v>
      </c>
    </row>
    <row r="835" spans="1:6" x14ac:dyDescent="0.35">
      <c r="A835" s="22" t="s">
        <v>1467</v>
      </c>
      <c r="B835">
        <v>16.850000000000001</v>
      </c>
      <c r="C835">
        <v>16.850000000000001</v>
      </c>
      <c r="D835">
        <v>16.850000000000001</v>
      </c>
      <c r="E835">
        <v>16.850000000000001</v>
      </c>
      <c r="F835" s="21">
        <v>-3.44E-2</v>
      </c>
    </row>
    <row r="836" spans="1:6" x14ac:dyDescent="0.35">
      <c r="A836" s="22">
        <v>39729</v>
      </c>
      <c r="B836">
        <v>17.45</v>
      </c>
      <c r="C836">
        <v>17.45</v>
      </c>
      <c r="D836">
        <v>17.45</v>
      </c>
      <c r="E836">
        <v>17.45</v>
      </c>
      <c r="F836" s="21">
        <v>5.1200000000000002E-2</v>
      </c>
    </row>
    <row r="837" spans="1:6" x14ac:dyDescent="0.35">
      <c r="A837" s="22">
        <v>39515</v>
      </c>
      <c r="B837">
        <v>16.600000000000001</v>
      </c>
      <c r="C837">
        <v>16.600000000000001</v>
      </c>
      <c r="D837">
        <v>16.600000000000001</v>
      </c>
      <c r="E837">
        <v>16.600000000000001</v>
      </c>
      <c r="F837" s="21">
        <v>0</v>
      </c>
    </row>
    <row r="838" spans="1:6" x14ac:dyDescent="0.35">
      <c r="A838" s="22" t="s">
        <v>1471</v>
      </c>
      <c r="B838">
        <v>16.600000000000001</v>
      </c>
      <c r="C838">
        <v>16.600000000000001</v>
      </c>
      <c r="D838">
        <v>16.600000000000001</v>
      </c>
      <c r="E838">
        <v>16.600000000000001</v>
      </c>
      <c r="F838" s="21">
        <v>-8.5400000000000004E-2</v>
      </c>
    </row>
    <row r="839" spans="1:6" x14ac:dyDescent="0.35">
      <c r="A839" s="22" t="s">
        <v>1473</v>
      </c>
      <c r="B839">
        <v>18.149999999999999</v>
      </c>
      <c r="C839">
        <v>18.149999999999999</v>
      </c>
      <c r="D839">
        <v>18.149999999999999</v>
      </c>
      <c r="E839">
        <v>18.149999999999999</v>
      </c>
      <c r="F839" s="21">
        <v>-5.2200000000000003E-2</v>
      </c>
    </row>
    <row r="840" spans="1:6" x14ac:dyDescent="0.35">
      <c r="A840" s="22" t="s">
        <v>1475</v>
      </c>
      <c r="B840">
        <v>19.149999999999999</v>
      </c>
      <c r="C840">
        <v>19.149999999999999</v>
      </c>
      <c r="D840">
        <v>19.149999999999999</v>
      </c>
      <c r="E840">
        <v>19.149999999999999</v>
      </c>
      <c r="F840" s="21">
        <v>0</v>
      </c>
    </row>
    <row r="841" spans="1:6" x14ac:dyDescent="0.35">
      <c r="A841" s="22">
        <v>39606</v>
      </c>
      <c r="B841">
        <v>19.149999999999999</v>
      </c>
      <c r="C841">
        <v>19.149999999999999</v>
      </c>
      <c r="D841">
        <v>19.149999999999999</v>
      </c>
      <c r="E841">
        <v>19.149999999999999</v>
      </c>
      <c r="F841" s="21">
        <v>-9.4600000000000004E-2</v>
      </c>
    </row>
    <row r="842" spans="1:6" x14ac:dyDescent="0.35">
      <c r="A842" s="22" t="s">
        <v>1478</v>
      </c>
      <c r="B842">
        <v>21.15</v>
      </c>
      <c r="C842">
        <v>21.15</v>
      </c>
      <c r="D842">
        <v>21.15</v>
      </c>
      <c r="E842">
        <v>21.15</v>
      </c>
      <c r="F842" s="21">
        <v>0.14319999999999999</v>
      </c>
    </row>
    <row r="843" spans="1:6" x14ac:dyDescent="0.35">
      <c r="A843" s="22" t="s">
        <v>1480</v>
      </c>
      <c r="B843">
        <v>18.5</v>
      </c>
      <c r="C843">
        <v>18.5</v>
      </c>
      <c r="D843">
        <v>18.5</v>
      </c>
      <c r="E843">
        <v>18.5</v>
      </c>
      <c r="F843" s="21">
        <v>-7.4999999999999997E-2</v>
      </c>
    </row>
    <row r="844" spans="1:6" x14ac:dyDescent="0.35">
      <c r="A844" s="22" t="s">
        <v>1482</v>
      </c>
      <c r="B844">
        <v>20</v>
      </c>
      <c r="C844">
        <v>20</v>
      </c>
      <c r="D844">
        <v>20</v>
      </c>
      <c r="E844">
        <v>20</v>
      </c>
      <c r="F844" s="21">
        <v>1.5973999999999999</v>
      </c>
    </row>
    <row r="845" spans="1:6" x14ac:dyDescent="0.35">
      <c r="A845" s="22">
        <v>39666</v>
      </c>
      <c r="B845">
        <v>7.7</v>
      </c>
      <c r="C845">
        <v>7.7</v>
      </c>
      <c r="D845">
        <v>7.7</v>
      </c>
      <c r="E845">
        <v>7.7</v>
      </c>
      <c r="F845" s="21">
        <v>0</v>
      </c>
    </row>
    <row r="846" spans="1:6" x14ac:dyDescent="0.35">
      <c r="A846" s="22">
        <v>39453</v>
      </c>
      <c r="B846">
        <v>7.7</v>
      </c>
      <c r="C846">
        <v>7.7</v>
      </c>
      <c r="D846">
        <v>7.7</v>
      </c>
      <c r="E846">
        <v>7.7</v>
      </c>
      <c r="F846" s="21">
        <v>0</v>
      </c>
    </row>
    <row r="847" spans="1:6" x14ac:dyDescent="0.35">
      <c r="A847" s="22" t="s">
        <v>1486</v>
      </c>
      <c r="B847">
        <v>7.7</v>
      </c>
      <c r="C847">
        <v>7.7</v>
      </c>
      <c r="D847">
        <v>7.7</v>
      </c>
      <c r="E847">
        <v>7.7</v>
      </c>
      <c r="F847" s="21">
        <v>0</v>
      </c>
    </row>
    <row r="848" spans="1:6" x14ac:dyDescent="0.35">
      <c r="A848" s="22" t="s">
        <v>1488</v>
      </c>
      <c r="B848">
        <v>7.7</v>
      </c>
      <c r="C848">
        <v>7.7</v>
      </c>
      <c r="D848">
        <v>7.7</v>
      </c>
      <c r="E848">
        <v>7.7</v>
      </c>
      <c r="F848" s="21">
        <v>0</v>
      </c>
    </row>
    <row r="849" spans="1:6" x14ac:dyDescent="0.35">
      <c r="A849" s="22">
        <v>39757</v>
      </c>
      <c r="B849">
        <v>7.7</v>
      </c>
      <c r="C849">
        <v>7.7</v>
      </c>
      <c r="D849">
        <v>7.7</v>
      </c>
      <c r="E849">
        <v>7.7</v>
      </c>
      <c r="F849" s="21">
        <v>0</v>
      </c>
    </row>
    <row r="850" spans="1:6" x14ac:dyDescent="0.35">
      <c r="A850" s="22">
        <v>39543</v>
      </c>
      <c r="B850">
        <v>7.7</v>
      </c>
      <c r="C850">
        <v>7.7</v>
      </c>
      <c r="D850">
        <v>7.7</v>
      </c>
      <c r="E850">
        <v>7.7</v>
      </c>
      <c r="F850" s="21">
        <v>0</v>
      </c>
    </row>
    <row r="851" spans="1:6" x14ac:dyDescent="0.35">
      <c r="A851" s="22" t="s">
        <v>1492</v>
      </c>
      <c r="B851">
        <v>7.7</v>
      </c>
      <c r="C851">
        <v>7.7</v>
      </c>
      <c r="D851">
        <v>7.7</v>
      </c>
      <c r="E851">
        <v>7.7</v>
      </c>
      <c r="F851" s="21">
        <v>0</v>
      </c>
    </row>
    <row r="852" spans="1:6" x14ac:dyDescent="0.35">
      <c r="A852" s="22" t="s">
        <v>1494</v>
      </c>
      <c r="B852">
        <v>7.7</v>
      </c>
      <c r="C852">
        <v>7.7</v>
      </c>
      <c r="D852">
        <v>7.7</v>
      </c>
      <c r="E852">
        <v>7.7</v>
      </c>
      <c r="F852" s="21">
        <v>0</v>
      </c>
    </row>
    <row r="853" spans="1:6" x14ac:dyDescent="0.35">
      <c r="A853" s="22" t="s">
        <v>1496</v>
      </c>
      <c r="B853">
        <v>7.7</v>
      </c>
      <c r="C853">
        <v>7.7</v>
      </c>
      <c r="D853">
        <v>7.7</v>
      </c>
      <c r="E853">
        <v>7.7</v>
      </c>
      <c r="F853" s="21">
        <v>0</v>
      </c>
    </row>
    <row r="854" spans="1:6" x14ac:dyDescent="0.35">
      <c r="A854" s="22">
        <v>39603</v>
      </c>
      <c r="B854">
        <v>7.7</v>
      </c>
      <c r="C854">
        <v>7.7</v>
      </c>
      <c r="D854">
        <v>7.7</v>
      </c>
      <c r="E854">
        <v>7.7</v>
      </c>
      <c r="F854" s="21">
        <v>0</v>
      </c>
    </row>
    <row r="855" spans="1:6" x14ac:dyDescent="0.35">
      <c r="A855" s="22" t="s">
        <v>1499</v>
      </c>
      <c r="B855">
        <v>7.7</v>
      </c>
      <c r="C855">
        <v>7.7</v>
      </c>
      <c r="D855">
        <v>7.7</v>
      </c>
      <c r="E855">
        <v>7.7</v>
      </c>
      <c r="F855" s="21">
        <v>0</v>
      </c>
    </row>
    <row r="856" spans="1:6" x14ac:dyDescent="0.35">
      <c r="A856" s="22" t="s">
        <v>1501</v>
      </c>
      <c r="B856">
        <v>7.7</v>
      </c>
      <c r="C856">
        <v>7.7</v>
      </c>
      <c r="D856">
        <v>7.7</v>
      </c>
      <c r="E856">
        <v>7.7</v>
      </c>
      <c r="F856" s="21">
        <v>0</v>
      </c>
    </row>
    <row r="857" spans="1:6" x14ac:dyDescent="0.35">
      <c r="A857" s="22" t="s">
        <v>1503</v>
      </c>
      <c r="B857">
        <v>7.7</v>
      </c>
      <c r="C857">
        <v>7.7</v>
      </c>
      <c r="D857">
        <v>7.7</v>
      </c>
      <c r="E857">
        <v>7.7</v>
      </c>
      <c r="F857" s="21">
        <v>0</v>
      </c>
    </row>
    <row r="858" spans="1:6" x14ac:dyDescent="0.35">
      <c r="A858" s="22">
        <v>39694</v>
      </c>
      <c r="B858">
        <v>7.7</v>
      </c>
      <c r="C858">
        <v>7.7</v>
      </c>
      <c r="D858">
        <v>7.7</v>
      </c>
      <c r="E858">
        <v>7.7</v>
      </c>
      <c r="F858" s="21">
        <v>-6.4999999999999997E-3</v>
      </c>
    </row>
    <row r="859" spans="1:6" x14ac:dyDescent="0.35">
      <c r="A859" s="22">
        <v>39481</v>
      </c>
      <c r="B859">
        <v>7.75</v>
      </c>
      <c r="C859">
        <v>7.75</v>
      </c>
      <c r="D859">
        <v>7.75</v>
      </c>
      <c r="E859">
        <v>7.75</v>
      </c>
      <c r="F859" s="21">
        <v>0</v>
      </c>
    </row>
    <row r="860" spans="1:6" x14ac:dyDescent="0.35">
      <c r="A860" s="22" t="s">
        <v>1507</v>
      </c>
      <c r="B860">
        <v>7.75</v>
      </c>
      <c r="C860">
        <v>7.75</v>
      </c>
      <c r="D860">
        <v>7.75</v>
      </c>
      <c r="E860">
        <v>7.75</v>
      </c>
      <c r="F860" s="21">
        <v>0</v>
      </c>
    </row>
    <row r="861" spans="1:6" x14ac:dyDescent="0.35">
      <c r="A861" s="22" t="s">
        <v>1509</v>
      </c>
      <c r="B861">
        <v>7.75</v>
      </c>
      <c r="C861">
        <v>7.75</v>
      </c>
      <c r="D861">
        <v>7.75</v>
      </c>
      <c r="E861">
        <v>7.75</v>
      </c>
      <c r="F861" s="21">
        <v>0</v>
      </c>
    </row>
    <row r="862" spans="1:6" x14ac:dyDescent="0.35">
      <c r="A862" s="22">
        <v>39723</v>
      </c>
      <c r="B862">
        <v>7.75</v>
      </c>
      <c r="C862">
        <v>7.75</v>
      </c>
      <c r="D862">
        <v>7.75</v>
      </c>
      <c r="E862">
        <v>7.75</v>
      </c>
      <c r="F862" s="21">
        <v>0</v>
      </c>
    </row>
    <row r="863" spans="1:6" x14ac:dyDescent="0.35">
      <c r="A863" s="22" t="s">
        <v>1512</v>
      </c>
      <c r="B863">
        <v>7.75</v>
      </c>
      <c r="C863">
        <v>7.75</v>
      </c>
      <c r="D863">
        <v>7.75</v>
      </c>
      <c r="E863">
        <v>7.75</v>
      </c>
      <c r="F863" s="21">
        <v>0</v>
      </c>
    </row>
    <row r="864" spans="1:6" x14ac:dyDescent="0.35">
      <c r="A864" s="22" t="s">
        <v>1514</v>
      </c>
      <c r="B864">
        <v>7.75</v>
      </c>
      <c r="C864">
        <v>7.75</v>
      </c>
      <c r="D864">
        <v>7.75</v>
      </c>
      <c r="E864">
        <v>7.75</v>
      </c>
      <c r="F864" s="21">
        <v>-5.4899999999999997E-2</v>
      </c>
    </row>
    <row r="865" spans="1:6" x14ac:dyDescent="0.35">
      <c r="A865" s="22" t="s">
        <v>1516</v>
      </c>
      <c r="B865">
        <v>8.1999999999999993</v>
      </c>
      <c r="C865">
        <v>8.1999999999999993</v>
      </c>
      <c r="D865">
        <v>8.1999999999999993</v>
      </c>
      <c r="E865">
        <v>8.1999999999999993</v>
      </c>
      <c r="F865" s="21">
        <v>1.23E-2</v>
      </c>
    </row>
    <row r="866" spans="1:6" x14ac:dyDescent="0.35">
      <c r="A866" s="22" t="s">
        <v>1521</v>
      </c>
      <c r="B866">
        <v>8.1</v>
      </c>
      <c r="C866">
        <v>8.1</v>
      </c>
      <c r="D866">
        <v>8.1</v>
      </c>
      <c r="E866">
        <v>8.1</v>
      </c>
      <c r="F866" s="21">
        <v>0</v>
      </c>
    </row>
    <row r="867" spans="1:6" x14ac:dyDescent="0.35">
      <c r="A867" s="22" t="s">
        <v>1523</v>
      </c>
      <c r="B867">
        <v>8.1</v>
      </c>
      <c r="C867">
        <v>8.1</v>
      </c>
      <c r="D867">
        <v>8.1</v>
      </c>
      <c r="E867">
        <v>8.1</v>
      </c>
      <c r="F867" s="21">
        <v>0</v>
      </c>
    </row>
    <row r="868" spans="1:6" x14ac:dyDescent="0.35">
      <c r="A868" s="22">
        <v>39337</v>
      </c>
      <c r="B868">
        <v>8.1</v>
      </c>
      <c r="C868">
        <v>8.1</v>
      </c>
      <c r="D868">
        <v>8.1</v>
      </c>
      <c r="E868">
        <v>8.1</v>
      </c>
      <c r="F868" s="21">
        <v>0</v>
      </c>
    </row>
    <row r="869" spans="1:6" x14ac:dyDescent="0.35">
      <c r="A869" s="22">
        <v>39125</v>
      </c>
      <c r="B869">
        <v>8.1</v>
      </c>
      <c r="C869">
        <v>8.1</v>
      </c>
      <c r="D869">
        <v>8.1</v>
      </c>
      <c r="E869">
        <v>8.1</v>
      </c>
      <c r="F869" s="21">
        <v>0</v>
      </c>
    </row>
    <row r="870" spans="1:6" x14ac:dyDescent="0.35">
      <c r="A870" s="22" t="s">
        <v>1527</v>
      </c>
      <c r="B870">
        <v>8.1</v>
      </c>
      <c r="C870">
        <v>8.1</v>
      </c>
      <c r="D870">
        <v>8.1</v>
      </c>
      <c r="E870">
        <v>8.1</v>
      </c>
      <c r="F870" s="21">
        <v>2.53E-2</v>
      </c>
    </row>
    <row r="871" spans="1:6" x14ac:dyDescent="0.35">
      <c r="A871" s="22" t="s">
        <v>1529</v>
      </c>
      <c r="B871">
        <v>7.9</v>
      </c>
      <c r="C871">
        <v>7.9</v>
      </c>
      <c r="D871">
        <v>7.9</v>
      </c>
      <c r="E871">
        <v>7.9</v>
      </c>
      <c r="F871" s="21">
        <v>0</v>
      </c>
    </row>
    <row r="872" spans="1:6" x14ac:dyDescent="0.35">
      <c r="A872" s="22">
        <v>39397</v>
      </c>
      <c r="B872">
        <v>7.9</v>
      </c>
      <c r="C872">
        <v>7.9</v>
      </c>
      <c r="D872">
        <v>7.9</v>
      </c>
      <c r="E872">
        <v>7.9</v>
      </c>
      <c r="F872" s="21">
        <v>3.95E-2</v>
      </c>
    </row>
    <row r="873" spans="1:6" x14ac:dyDescent="0.35">
      <c r="A873" s="22">
        <v>39183</v>
      </c>
      <c r="B873">
        <v>7.6</v>
      </c>
      <c r="C873">
        <v>7.6</v>
      </c>
      <c r="D873">
        <v>7.6</v>
      </c>
      <c r="E873">
        <v>7.6</v>
      </c>
      <c r="F873" s="21">
        <v>0</v>
      </c>
    </row>
    <row r="874" spans="1:6" x14ac:dyDescent="0.35">
      <c r="A874" s="22" t="s">
        <v>1533</v>
      </c>
      <c r="B874">
        <v>7.6</v>
      </c>
      <c r="C874">
        <v>7.6</v>
      </c>
      <c r="D874">
        <v>7.6</v>
      </c>
      <c r="E874">
        <v>7.6</v>
      </c>
      <c r="F874" s="21">
        <v>0</v>
      </c>
    </row>
    <row r="875" spans="1:6" x14ac:dyDescent="0.35">
      <c r="A875" s="22" t="s">
        <v>1535</v>
      </c>
      <c r="B875">
        <v>7.6</v>
      </c>
      <c r="C875">
        <v>7.6</v>
      </c>
      <c r="D875">
        <v>7.6</v>
      </c>
      <c r="E875">
        <v>7.6</v>
      </c>
      <c r="F875" s="21">
        <v>-1.2999999999999999E-2</v>
      </c>
    </row>
    <row r="876" spans="1:6" x14ac:dyDescent="0.35">
      <c r="A876" s="22" t="s">
        <v>1537</v>
      </c>
      <c r="B876">
        <v>7.7</v>
      </c>
      <c r="C876">
        <v>7.7</v>
      </c>
      <c r="D876">
        <v>7.7</v>
      </c>
      <c r="E876">
        <v>7.7</v>
      </c>
      <c r="F876" s="21">
        <v>-1.9099999999999999E-2</v>
      </c>
    </row>
    <row r="877" spans="1:6" x14ac:dyDescent="0.35">
      <c r="A877" s="22">
        <v>39273</v>
      </c>
      <c r="B877">
        <v>7.85</v>
      </c>
      <c r="C877">
        <v>7.85</v>
      </c>
      <c r="D877">
        <v>7.85</v>
      </c>
      <c r="E877">
        <v>7.85</v>
      </c>
      <c r="F877" s="21">
        <v>0</v>
      </c>
    </row>
    <row r="878" spans="1:6" x14ac:dyDescent="0.35">
      <c r="A878" s="22" t="s">
        <v>1540</v>
      </c>
      <c r="B878">
        <v>7.85</v>
      </c>
      <c r="C878">
        <v>7.85</v>
      </c>
      <c r="D878">
        <v>7.85</v>
      </c>
      <c r="E878">
        <v>7.85</v>
      </c>
      <c r="F878" s="21">
        <v>0</v>
      </c>
    </row>
    <row r="879" spans="1:6" x14ac:dyDescent="0.35">
      <c r="A879" s="22" t="s">
        <v>1542</v>
      </c>
      <c r="B879">
        <v>7.85</v>
      </c>
      <c r="C879">
        <v>7.85</v>
      </c>
      <c r="D879">
        <v>7.85</v>
      </c>
      <c r="E879">
        <v>7.85</v>
      </c>
      <c r="F879" s="21">
        <v>7.5300000000000006E-2</v>
      </c>
    </row>
    <row r="880" spans="1:6" x14ac:dyDescent="0.35">
      <c r="A880" s="22">
        <v>39122</v>
      </c>
      <c r="B880">
        <v>7.3</v>
      </c>
      <c r="C880">
        <v>7.3</v>
      </c>
      <c r="D880">
        <v>7.3</v>
      </c>
      <c r="E880">
        <v>7.3</v>
      </c>
      <c r="F880" s="21">
        <v>0</v>
      </c>
    </row>
    <row r="881" spans="1:6" x14ac:dyDescent="0.35">
      <c r="A881" s="22" t="s">
        <v>1548</v>
      </c>
      <c r="B881">
        <v>7.3</v>
      </c>
      <c r="C881">
        <v>7.3</v>
      </c>
      <c r="D881">
        <v>7.3</v>
      </c>
      <c r="E881">
        <v>7.3</v>
      </c>
      <c r="F881" s="21">
        <v>-2.2800000000000001E-2</v>
      </c>
    </row>
    <row r="882" spans="1:6" x14ac:dyDescent="0.35">
      <c r="A882" s="22" t="s">
        <v>1550</v>
      </c>
      <c r="B882">
        <v>7.47</v>
      </c>
      <c r="C882">
        <v>7.47</v>
      </c>
      <c r="D882">
        <v>7.47</v>
      </c>
      <c r="E882">
        <v>7.47</v>
      </c>
      <c r="F882" s="21">
        <v>4.48E-2</v>
      </c>
    </row>
    <row r="883" spans="1:6" x14ac:dyDescent="0.35">
      <c r="A883" s="22">
        <v>39424</v>
      </c>
      <c r="B883">
        <v>7.15</v>
      </c>
      <c r="C883">
        <v>7.15</v>
      </c>
      <c r="D883">
        <v>7.15</v>
      </c>
      <c r="E883">
        <v>7.15</v>
      </c>
      <c r="F883" s="21">
        <v>7.0000000000000001E-3</v>
      </c>
    </row>
    <row r="884" spans="1:6" x14ac:dyDescent="0.35">
      <c r="A884" s="22">
        <v>39210</v>
      </c>
      <c r="B884">
        <v>7.1</v>
      </c>
      <c r="C884">
        <v>7.1</v>
      </c>
      <c r="D884">
        <v>7.1</v>
      </c>
      <c r="E884">
        <v>7.1</v>
      </c>
      <c r="F884" s="21">
        <v>0</v>
      </c>
    </row>
    <row r="885" spans="1:6" x14ac:dyDescent="0.35">
      <c r="A885" s="22" t="s">
        <v>1554</v>
      </c>
      <c r="B885">
        <v>7.1</v>
      </c>
      <c r="C885">
        <v>7.1</v>
      </c>
      <c r="D885">
        <v>7.1</v>
      </c>
      <c r="E885">
        <v>7.1</v>
      </c>
      <c r="F885" s="21">
        <v>0</v>
      </c>
    </row>
    <row r="886" spans="1:6" x14ac:dyDescent="0.35">
      <c r="A886" s="22" t="s">
        <v>1556</v>
      </c>
      <c r="B886">
        <v>7.1</v>
      </c>
      <c r="C886">
        <v>7.1</v>
      </c>
      <c r="D886">
        <v>7.1</v>
      </c>
      <c r="E886">
        <v>7.1</v>
      </c>
      <c r="F886" s="21">
        <v>-7.0000000000000001E-3</v>
      </c>
    </row>
    <row r="887" spans="1:6" x14ac:dyDescent="0.35">
      <c r="A887" s="22" t="s">
        <v>1557</v>
      </c>
      <c r="B887">
        <v>7.15</v>
      </c>
      <c r="C887">
        <v>7.15</v>
      </c>
      <c r="D887">
        <v>7.15</v>
      </c>
      <c r="E887">
        <v>7.15</v>
      </c>
      <c r="F887" s="21">
        <v>7.0000000000000001E-3</v>
      </c>
    </row>
    <row r="888" spans="1:6" x14ac:dyDescent="0.35">
      <c r="A888" s="22">
        <v>39301</v>
      </c>
      <c r="B888">
        <v>7.1</v>
      </c>
      <c r="C888">
        <v>7.1</v>
      </c>
      <c r="D888">
        <v>7.1</v>
      </c>
      <c r="E888">
        <v>7.1</v>
      </c>
      <c r="F888" s="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1F8C-39E7-4F75-B23A-5D2B2F334806}">
  <dimension ref="A1:I870"/>
  <sheetViews>
    <sheetView workbookViewId="0">
      <selection activeCell="I3" sqref="I3"/>
    </sheetView>
  </sheetViews>
  <sheetFormatPr defaultRowHeight="14.5" x14ac:dyDescent="0.35"/>
  <cols>
    <col min="1" max="1" width="10.453125" style="22" bestFit="1" customWidth="1"/>
    <col min="2" max="2" width="7.6328125" style="51" bestFit="1" customWidth="1"/>
    <col min="3" max="5" width="6.81640625" bestFit="1" customWidth="1"/>
    <col min="6" max="7" width="9.81640625" bestFit="1" customWidth="1"/>
  </cols>
  <sheetData>
    <row r="1" spans="1:9" x14ac:dyDescent="0.35">
      <c r="A1" s="22" t="s">
        <v>205</v>
      </c>
      <c r="B1" s="51" t="s">
        <v>206</v>
      </c>
      <c r="C1" t="s">
        <v>207</v>
      </c>
      <c r="D1" t="s">
        <v>208</v>
      </c>
      <c r="E1" t="s">
        <v>209</v>
      </c>
      <c r="F1" t="s">
        <v>211</v>
      </c>
      <c r="G1" t="s">
        <v>1912</v>
      </c>
      <c r="H1" t="s">
        <v>1913</v>
      </c>
      <c r="I1" t="s">
        <v>1914</v>
      </c>
    </row>
    <row r="2" spans="1:9" x14ac:dyDescent="0.35">
      <c r="A2" s="22" t="s">
        <v>212</v>
      </c>
      <c r="B2" s="51">
        <v>2.7229999999999999</v>
      </c>
      <c r="C2">
        <v>2.6909999999999998</v>
      </c>
      <c r="D2">
        <v>2.786</v>
      </c>
      <c r="E2">
        <v>2.69</v>
      </c>
      <c r="F2" s="21">
        <v>-1.2699999999999999E-2</v>
      </c>
      <c r="G2">
        <f>AVERAGE(B2:B870)</f>
        <v>6.7581162255466074</v>
      </c>
      <c r="H2" s="51">
        <f>MEDIAN(B2:B870)</f>
        <v>6.4829999999999997</v>
      </c>
      <c r="I2" s="51">
        <f>B2</f>
        <v>2.7229999999999999</v>
      </c>
    </row>
    <row r="3" spans="1:9" x14ac:dyDescent="0.35">
      <c r="A3" s="22" t="s">
        <v>213</v>
      </c>
      <c r="B3" s="51">
        <v>2.758</v>
      </c>
      <c r="C3">
        <v>2.76</v>
      </c>
      <c r="D3">
        <v>2.76</v>
      </c>
      <c r="E3">
        <v>2.7530000000000001</v>
      </c>
      <c r="F3" s="21">
        <v>4.0000000000000002E-4</v>
      </c>
    </row>
    <row r="4" spans="1:9" x14ac:dyDescent="0.35">
      <c r="A4" s="22">
        <v>45453</v>
      </c>
      <c r="B4" s="51">
        <v>2.7570000000000001</v>
      </c>
      <c r="C4">
        <v>2.762</v>
      </c>
      <c r="D4">
        <v>2.762</v>
      </c>
      <c r="E4">
        <v>2.7440000000000002</v>
      </c>
      <c r="F4" s="21">
        <v>-4.0000000000000001E-3</v>
      </c>
    </row>
    <row r="5" spans="1:9" x14ac:dyDescent="0.35">
      <c r="A5" s="22" t="s">
        <v>216</v>
      </c>
      <c r="B5" s="51">
        <v>2.7679999999999998</v>
      </c>
      <c r="C5">
        <v>2.7679999999999998</v>
      </c>
      <c r="D5">
        <v>2.7679999999999998</v>
      </c>
      <c r="E5">
        <v>2.7629999999999999</v>
      </c>
      <c r="F5" s="21">
        <v>6.4999999999999997E-3</v>
      </c>
    </row>
    <row r="6" spans="1:9" x14ac:dyDescent="0.35">
      <c r="A6" s="22" t="s">
        <v>218</v>
      </c>
      <c r="B6" s="51">
        <v>2.75</v>
      </c>
      <c r="C6">
        <v>2.7669999999999999</v>
      </c>
      <c r="D6">
        <v>2.7669999999999999</v>
      </c>
      <c r="E6">
        <v>2.75</v>
      </c>
      <c r="F6" s="21">
        <v>-7.6E-3</v>
      </c>
    </row>
    <row r="7" spans="1:9" x14ac:dyDescent="0.35">
      <c r="A7" s="22" t="s">
        <v>220</v>
      </c>
      <c r="B7" s="51">
        <v>2.7709999999999999</v>
      </c>
      <c r="C7">
        <v>2.7989999999999999</v>
      </c>
      <c r="D7">
        <v>2.8010000000000002</v>
      </c>
      <c r="E7">
        <v>2.7709999999999999</v>
      </c>
      <c r="F7" s="21">
        <v>-1.11E-2</v>
      </c>
    </row>
    <row r="8" spans="1:9" x14ac:dyDescent="0.35">
      <c r="A8" s="22">
        <v>45513</v>
      </c>
      <c r="B8" s="51">
        <v>2.802</v>
      </c>
      <c r="C8">
        <v>2.8079999999999998</v>
      </c>
      <c r="D8">
        <v>2.8090000000000002</v>
      </c>
      <c r="E8">
        <v>2.8</v>
      </c>
      <c r="F8" s="21">
        <v>-8.8000000000000005E-3</v>
      </c>
    </row>
    <row r="9" spans="1:9" x14ac:dyDescent="0.35">
      <c r="A9" s="22">
        <v>45300</v>
      </c>
      <c r="B9" s="51">
        <v>2.827</v>
      </c>
      <c r="C9">
        <v>2.8260000000000001</v>
      </c>
      <c r="D9">
        <v>2.8359999999999999</v>
      </c>
      <c r="E9">
        <v>2.8260000000000001</v>
      </c>
      <c r="F9" s="21">
        <v>-1.1000000000000001E-3</v>
      </c>
    </row>
    <row r="10" spans="1:9" x14ac:dyDescent="0.35">
      <c r="A10" s="22" t="s">
        <v>224</v>
      </c>
      <c r="B10" s="51">
        <v>2.83</v>
      </c>
      <c r="C10">
        <v>2.8149999999999999</v>
      </c>
      <c r="D10">
        <v>2.83</v>
      </c>
      <c r="E10">
        <v>2.8149999999999999</v>
      </c>
      <c r="F10" s="21">
        <v>2.0999999999999999E-3</v>
      </c>
    </row>
    <row r="11" spans="1:9" x14ac:dyDescent="0.35">
      <c r="A11" s="22" t="s">
        <v>226</v>
      </c>
      <c r="B11" s="51">
        <v>2.8239999999999998</v>
      </c>
      <c r="C11">
        <v>2.843</v>
      </c>
      <c r="D11">
        <v>2.843</v>
      </c>
      <c r="E11">
        <v>2.8130000000000002</v>
      </c>
      <c r="F11" s="21">
        <v>-4.8999999999999998E-3</v>
      </c>
    </row>
    <row r="12" spans="1:9" x14ac:dyDescent="0.35">
      <c r="A12" s="22">
        <v>45604</v>
      </c>
      <c r="B12" s="51">
        <v>2.8380000000000001</v>
      </c>
      <c r="C12">
        <v>2.8530000000000002</v>
      </c>
      <c r="D12">
        <v>2.8530000000000002</v>
      </c>
      <c r="E12">
        <v>2.8380000000000001</v>
      </c>
      <c r="F12" s="21">
        <v>-1.0500000000000001E-2</v>
      </c>
    </row>
    <row r="13" spans="1:9" x14ac:dyDescent="0.35">
      <c r="A13" s="22">
        <v>45390</v>
      </c>
      <c r="B13" s="51">
        <v>2.8679999999999999</v>
      </c>
      <c r="C13">
        <v>2.8919999999999999</v>
      </c>
      <c r="D13">
        <v>2.8919999999999999</v>
      </c>
      <c r="E13">
        <v>2.8530000000000002</v>
      </c>
      <c r="F13" s="21">
        <v>-1.0699999999999999E-2</v>
      </c>
    </row>
    <row r="14" spans="1:9" x14ac:dyDescent="0.35">
      <c r="A14" s="22" t="s">
        <v>230</v>
      </c>
      <c r="B14" s="51">
        <v>2.899</v>
      </c>
      <c r="C14">
        <v>2.903</v>
      </c>
      <c r="D14">
        <v>2.903</v>
      </c>
      <c r="E14">
        <v>2.879</v>
      </c>
      <c r="F14" s="21">
        <v>6.9999999999999999E-4</v>
      </c>
    </row>
    <row r="15" spans="1:9" x14ac:dyDescent="0.35">
      <c r="A15" s="22" t="s">
        <v>232</v>
      </c>
      <c r="B15" s="51">
        <v>2.8969999999999998</v>
      </c>
      <c r="C15">
        <v>2.903</v>
      </c>
      <c r="D15">
        <v>2.9079999999999999</v>
      </c>
      <c r="E15">
        <v>2.8809999999999998</v>
      </c>
      <c r="F15" s="21">
        <v>6.9999999999999999E-4</v>
      </c>
    </row>
    <row r="16" spans="1:9" x14ac:dyDescent="0.35">
      <c r="A16" s="22" t="s">
        <v>234</v>
      </c>
      <c r="B16" s="51">
        <v>2.895</v>
      </c>
      <c r="C16">
        <v>2.9009999999999998</v>
      </c>
      <c r="D16">
        <v>2.9039999999999999</v>
      </c>
      <c r="E16">
        <v>2.895</v>
      </c>
      <c r="F16" s="21">
        <v>2.9999999999999997E-4</v>
      </c>
    </row>
    <row r="17" spans="1:6" x14ac:dyDescent="0.35">
      <c r="A17" s="22">
        <v>45480</v>
      </c>
      <c r="B17" s="51">
        <v>2.8940000000000001</v>
      </c>
      <c r="C17">
        <v>2.883</v>
      </c>
      <c r="D17">
        <v>2.8940000000000001</v>
      </c>
      <c r="E17">
        <v>2.883</v>
      </c>
      <c r="F17" s="21">
        <v>7.0000000000000001E-3</v>
      </c>
    </row>
    <row r="18" spans="1:6" x14ac:dyDescent="0.35">
      <c r="A18" s="22" t="s">
        <v>237</v>
      </c>
      <c r="B18" s="51">
        <v>2.8740000000000001</v>
      </c>
      <c r="C18">
        <v>2.8820000000000001</v>
      </c>
      <c r="D18">
        <v>2.8820000000000001</v>
      </c>
      <c r="E18">
        <v>2.8570000000000002</v>
      </c>
      <c r="F18" s="21">
        <v>-3.8E-3</v>
      </c>
    </row>
    <row r="19" spans="1:6" x14ac:dyDescent="0.35">
      <c r="A19" s="22" t="s">
        <v>239</v>
      </c>
      <c r="B19" s="51">
        <v>2.8849999999999998</v>
      </c>
      <c r="C19">
        <v>2.88</v>
      </c>
      <c r="D19">
        <v>2.899</v>
      </c>
      <c r="E19">
        <v>2.8780000000000001</v>
      </c>
      <c r="F19" s="21">
        <v>7.7000000000000002E-3</v>
      </c>
    </row>
    <row r="20" spans="1:6" x14ac:dyDescent="0.35">
      <c r="A20" s="22" t="s">
        <v>241</v>
      </c>
      <c r="B20" s="51">
        <v>2.863</v>
      </c>
      <c r="C20">
        <v>2.903</v>
      </c>
      <c r="D20">
        <v>2.907</v>
      </c>
      <c r="E20">
        <v>2.85</v>
      </c>
      <c r="F20" s="21">
        <v>-1.3100000000000001E-2</v>
      </c>
    </row>
    <row r="21" spans="1:6" x14ac:dyDescent="0.35">
      <c r="A21" s="22">
        <v>45541</v>
      </c>
      <c r="B21" s="51">
        <v>2.9009999999999998</v>
      </c>
      <c r="C21">
        <v>2.9079999999999999</v>
      </c>
      <c r="D21">
        <v>2.9390000000000001</v>
      </c>
      <c r="E21">
        <v>2.9009999999999998</v>
      </c>
      <c r="F21" s="21">
        <v>-2.3999999999999998E-3</v>
      </c>
    </row>
    <row r="22" spans="1:6" x14ac:dyDescent="0.35">
      <c r="A22" s="22">
        <v>45328</v>
      </c>
      <c r="B22" s="51">
        <v>2.9079999999999999</v>
      </c>
      <c r="C22">
        <v>2.9550000000000001</v>
      </c>
      <c r="D22">
        <v>2.9550000000000001</v>
      </c>
      <c r="E22">
        <v>2.9079999999999999</v>
      </c>
      <c r="F22" s="21">
        <v>-1.3599999999999999E-2</v>
      </c>
    </row>
    <row r="23" spans="1:6" x14ac:dyDescent="0.35">
      <c r="A23" s="22" t="s">
        <v>245</v>
      </c>
      <c r="B23" s="51">
        <v>2.948</v>
      </c>
      <c r="C23">
        <v>3.0139999999999998</v>
      </c>
      <c r="D23">
        <v>3.0139999999999998</v>
      </c>
      <c r="E23">
        <v>2.948</v>
      </c>
      <c r="F23" s="21">
        <v>-2.87E-2</v>
      </c>
    </row>
    <row r="24" spans="1:6" x14ac:dyDescent="0.35">
      <c r="A24" s="22" t="s">
        <v>247</v>
      </c>
      <c r="B24" s="51">
        <v>3.0350000000000001</v>
      </c>
      <c r="C24">
        <v>2.8679999999999999</v>
      </c>
      <c r="D24">
        <v>3.0350000000000001</v>
      </c>
      <c r="E24">
        <v>2.8519999999999999</v>
      </c>
      <c r="F24" s="21">
        <v>6.2300000000000001E-2</v>
      </c>
    </row>
    <row r="25" spans="1:6" x14ac:dyDescent="0.35">
      <c r="A25" s="22">
        <v>45631</v>
      </c>
      <c r="B25" s="51">
        <v>2.8570000000000002</v>
      </c>
      <c r="C25">
        <v>2.8780000000000001</v>
      </c>
      <c r="D25">
        <v>2.8780000000000001</v>
      </c>
      <c r="E25">
        <v>2.8570000000000002</v>
      </c>
      <c r="F25" s="21">
        <v>-1.6999999999999999E-3</v>
      </c>
    </row>
    <row r="26" spans="1:6" x14ac:dyDescent="0.35">
      <c r="A26" s="22">
        <v>45417</v>
      </c>
      <c r="B26" s="51">
        <v>2.8620000000000001</v>
      </c>
      <c r="C26">
        <v>2.8809999999999998</v>
      </c>
      <c r="D26">
        <v>2.8839999999999999</v>
      </c>
      <c r="E26">
        <v>2.8620000000000001</v>
      </c>
      <c r="F26" s="21">
        <v>-2.12E-2</v>
      </c>
    </row>
    <row r="27" spans="1:6" x14ac:dyDescent="0.35">
      <c r="A27" s="22" t="s">
        <v>251</v>
      </c>
      <c r="B27" s="51">
        <v>2.9239999999999999</v>
      </c>
      <c r="C27">
        <v>2.9279999999999999</v>
      </c>
      <c r="D27">
        <v>2.9279999999999999</v>
      </c>
      <c r="E27">
        <v>2.9239999999999999</v>
      </c>
      <c r="F27" s="21">
        <v>8.3000000000000001E-3</v>
      </c>
    </row>
    <row r="28" spans="1:6" x14ac:dyDescent="0.35">
      <c r="A28" s="22" t="s">
        <v>253</v>
      </c>
      <c r="B28" s="51">
        <v>2.9</v>
      </c>
      <c r="C28">
        <v>2.927</v>
      </c>
      <c r="D28">
        <v>2.927</v>
      </c>
      <c r="E28">
        <v>2.9</v>
      </c>
      <c r="F28" s="21">
        <v>-7.4999999999999997E-3</v>
      </c>
    </row>
    <row r="29" spans="1:6" x14ac:dyDescent="0.35">
      <c r="A29" s="22" t="s">
        <v>255</v>
      </c>
      <c r="B29" s="51">
        <v>2.9220000000000002</v>
      </c>
      <c r="C29">
        <v>2.8940000000000001</v>
      </c>
      <c r="D29">
        <v>2.94</v>
      </c>
      <c r="E29">
        <v>2.8929999999999998</v>
      </c>
      <c r="F29" s="21">
        <v>2.1299999999999999E-2</v>
      </c>
    </row>
    <row r="30" spans="1:6" x14ac:dyDescent="0.35">
      <c r="A30" s="22">
        <v>45477</v>
      </c>
      <c r="B30" s="51">
        <v>2.8610000000000002</v>
      </c>
      <c r="C30">
        <v>2.871</v>
      </c>
      <c r="D30">
        <v>2.871</v>
      </c>
      <c r="E30">
        <v>2.8079999999999998</v>
      </c>
      <c r="F30" s="21">
        <v>-7.6E-3</v>
      </c>
    </row>
    <row r="31" spans="1:6" x14ac:dyDescent="0.35">
      <c r="A31" s="22" t="s">
        <v>258</v>
      </c>
      <c r="B31" s="51">
        <v>2.883</v>
      </c>
      <c r="C31">
        <v>2.7530000000000001</v>
      </c>
      <c r="D31">
        <v>2.9220000000000002</v>
      </c>
      <c r="E31">
        <v>2.7530000000000001</v>
      </c>
      <c r="F31" s="21">
        <v>4.9500000000000002E-2</v>
      </c>
    </row>
    <row r="32" spans="1:6" x14ac:dyDescent="0.35">
      <c r="A32" s="22" t="s">
        <v>260</v>
      </c>
      <c r="B32" s="51">
        <v>2.7469999999999999</v>
      </c>
      <c r="C32">
        <v>2.6579999999999999</v>
      </c>
      <c r="D32">
        <v>2.7469999999999999</v>
      </c>
      <c r="E32">
        <v>2.6579999999999999</v>
      </c>
      <c r="F32" s="21">
        <v>4.2099999999999999E-2</v>
      </c>
    </row>
    <row r="33" spans="1:6" x14ac:dyDescent="0.35">
      <c r="A33" s="22" t="s">
        <v>262</v>
      </c>
      <c r="B33" s="51">
        <v>2.6360000000000001</v>
      </c>
      <c r="C33">
        <v>2.63</v>
      </c>
      <c r="D33">
        <v>2.641</v>
      </c>
      <c r="E33">
        <v>2.6190000000000002</v>
      </c>
      <c r="F33" s="21">
        <v>5.0000000000000001E-3</v>
      </c>
    </row>
    <row r="34" spans="1:6" x14ac:dyDescent="0.35">
      <c r="A34" s="22">
        <v>45568</v>
      </c>
      <c r="B34" s="51">
        <v>2.6230000000000002</v>
      </c>
      <c r="C34">
        <v>2.5859999999999999</v>
      </c>
      <c r="D34">
        <v>2.6230000000000002</v>
      </c>
      <c r="E34">
        <v>2.5859999999999999</v>
      </c>
      <c r="F34" s="21">
        <v>2.7000000000000001E-3</v>
      </c>
    </row>
    <row r="35" spans="1:6" x14ac:dyDescent="0.35">
      <c r="A35" s="22">
        <v>45354</v>
      </c>
      <c r="B35" s="51">
        <v>2.6160000000000001</v>
      </c>
      <c r="C35">
        <v>2.4060000000000001</v>
      </c>
      <c r="D35">
        <v>2.6160000000000001</v>
      </c>
      <c r="E35">
        <v>2.4020000000000001</v>
      </c>
      <c r="F35" s="21">
        <v>8.7300000000000003E-2</v>
      </c>
    </row>
    <row r="36" spans="1:6" x14ac:dyDescent="0.35">
      <c r="A36" s="22" t="s">
        <v>266</v>
      </c>
      <c r="B36" s="51">
        <v>2.4060000000000001</v>
      </c>
      <c r="C36">
        <v>2.4620000000000002</v>
      </c>
      <c r="D36">
        <v>2.4620000000000002</v>
      </c>
      <c r="E36">
        <v>2.3780000000000001</v>
      </c>
      <c r="F36" s="21">
        <v>-8.6999999999999994E-3</v>
      </c>
    </row>
    <row r="37" spans="1:6" x14ac:dyDescent="0.35">
      <c r="A37" s="22" t="s">
        <v>268</v>
      </c>
      <c r="B37" s="51">
        <v>2.427</v>
      </c>
      <c r="C37">
        <v>2.3929999999999998</v>
      </c>
      <c r="D37">
        <v>2.427</v>
      </c>
      <c r="E37">
        <v>2.3849999999999998</v>
      </c>
      <c r="F37" s="21">
        <v>1.89E-2</v>
      </c>
    </row>
    <row r="38" spans="1:6" x14ac:dyDescent="0.35">
      <c r="A38" s="22">
        <v>45598</v>
      </c>
      <c r="B38" s="51">
        <v>2.3820000000000001</v>
      </c>
      <c r="C38">
        <v>2.403</v>
      </c>
      <c r="D38">
        <v>2.403</v>
      </c>
      <c r="E38">
        <v>2.3820000000000001</v>
      </c>
      <c r="F38" s="21">
        <v>-9.5999999999999992E-3</v>
      </c>
    </row>
    <row r="39" spans="1:6" x14ac:dyDescent="0.35">
      <c r="A39" s="22">
        <v>45384</v>
      </c>
      <c r="B39" s="51">
        <v>2.4049999999999998</v>
      </c>
      <c r="C39">
        <v>2.4380000000000002</v>
      </c>
      <c r="D39">
        <v>2.4380000000000002</v>
      </c>
      <c r="E39">
        <v>2.4049999999999998</v>
      </c>
      <c r="F39" s="21">
        <v>0</v>
      </c>
    </row>
    <row r="40" spans="1:6" x14ac:dyDescent="0.35">
      <c r="A40" s="22" t="s">
        <v>272</v>
      </c>
      <c r="B40" s="51">
        <v>2.4049999999999998</v>
      </c>
      <c r="C40">
        <v>2.379</v>
      </c>
      <c r="D40">
        <v>2.4220000000000002</v>
      </c>
      <c r="E40">
        <v>2.379</v>
      </c>
      <c r="F40" s="21">
        <v>1.6999999999999999E-3</v>
      </c>
    </row>
    <row r="41" spans="1:6" x14ac:dyDescent="0.35">
      <c r="A41" s="22" t="s">
        <v>273</v>
      </c>
      <c r="B41" s="51">
        <v>2.4009999999999998</v>
      </c>
      <c r="C41">
        <v>2.3580000000000001</v>
      </c>
      <c r="D41">
        <v>2.4009999999999998</v>
      </c>
      <c r="E41">
        <v>2.2970000000000002</v>
      </c>
      <c r="F41" s="21">
        <v>1.0500000000000001E-2</v>
      </c>
    </row>
    <row r="42" spans="1:6" x14ac:dyDescent="0.35">
      <c r="A42" s="22" t="s">
        <v>275</v>
      </c>
      <c r="B42" s="51">
        <v>2.3759999999999999</v>
      </c>
      <c r="C42">
        <v>2.3279999999999998</v>
      </c>
      <c r="D42">
        <v>2.3759999999999999</v>
      </c>
      <c r="E42">
        <v>2.3210000000000002</v>
      </c>
      <c r="F42" s="21">
        <v>2.06E-2</v>
      </c>
    </row>
    <row r="43" spans="1:6" x14ac:dyDescent="0.35">
      <c r="A43" s="22">
        <v>45474</v>
      </c>
      <c r="B43" s="51">
        <v>2.3279999999999998</v>
      </c>
      <c r="C43">
        <v>2.3690000000000002</v>
      </c>
      <c r="D43">
        <v>2.3690000000000002</v>
      </c>
      <c r="E43">
        <v>2.3079999999999998</v>
      </c>
      <c r="F43" s="21">
        <v>-1.7299999999999999E-2</v>
      </c>
    </row>
    <row r="44" spans="1:6" x14ac:dyDescent="0.35">
      <c r="A44" s="22" t="s">
        <v>278</v>
      </c>
      <c r="B44" s="51">
        <v>2.3690000000000002</v>
      </c>
      <c r="C44">
        <v>2.399</v>
      </c>
      <c r="D44">
        <v>2.4279999999999999</v>
      </c>
      <c r="E44">
        <v>2.3690000000000002</v>
      </c>
      <c r="F44" s="21">
        <v>-0.01</v>
      </c>
    </row>
    <row r="45" spans="1:6" x14ac:dyDescent="0.35">
      <c r="A45" s="22" t="s">
        <v>280</v>
      </c>
      <c r="B45" s="51">
        <v>2.3929999999999998</v>
      </c>
      <c r="C45">
        <v>2.359</v>
      </c>
      <c r="D45">
        <v>2.3929999999999998</v>
      </c>
      <c r="E45">
        <v>2.3580000000000001</v>
      </c>
      <c r="F45" s="21">
        <v>1.44E-2</v>
      </c>
    </row>
    <row r="46" spans="1:6" x14ac:dyDescent="0.35">
      <c r="A46" s="22" t="s">
        <v>282</v>
      </c>
      <c r="B46" s="51">
        <v>2.359</v>
      </c>
      <c r="C46">
        <v>2.3610000000000002</v>
      </c>
      <c r="D46">
        <v>2.3849999999999998</v>
      </c>
      <c r="E46">
        <v>2.3460000000000001</v>
      </c>
      <c r="F46" s="21">
        <v>-8.0000000000000004E-4</v>
      </c>
    </row>
    <row r="47" spans="1:6" x14ac:dyDescent="0.35">
      <c r="A47" s="22">
        <v>45211</v>
      </c>
      <c r="B47" s="51">
        <v>2.3610000000000002</v>
      </c>
      <c r="C47">
        <v>2.4990000000000001</v>
      </c>
      <c r="D47">
        <v>2.4990000000000001</v>
      </c>
      <c r="E47">
        <v>2.319</v>
      </c>
      <c r="F47" s="21">
        <v>-5.2600000000000001E-2</v>
      </c>
    </row>
    <row r="48" spans="1:6" x14ac:dyDescent="0.35">
      <c r="A48" s="22">
        <v>44997</v>
      </c>
      <c r="B48" s="51">
        <v>2.492</v>
      </c>
      <c r="C48">
        <v>2.4820000000000002</v>
      </c>
      <c r="D48">
        <v>2.4950000000000001</v>
      </c>
      <c r="E48">
        <v>2.4820000000000002</v>
      </c>
      <c r="F48" s="21">
        <v>2.3999999999999998E-3</v>
      </c>
    </row>
    <row r="49" spans="1:6" x14ac:dyDescent="0.35">
      <c r="A49" s="22" t="s">
        <v>286</v>
      </c>
      <c r="B49" s="51">
        <v>2.4860000000000002</v>
      </c>
      <c r="C49">
        <v>2.5819999999999999</v>
      </c>
      <c r="D49">
        <v>2.5819999999999999</v>
      </c>
      <c r="E49">
        <v>2.4860000000000002</v>
      </c>
      <c r="F49" s="21">
        <v>-3.5299999999999998E-2</v>
      </c>
    </row>
    <row r="50" spans="1:6" x14ac:dyDescent="0.35">
      <c r="A50" s="22" t="s">
        <v>288</v>
      </c>
      <c r="B50" s="51">
        <v>2.577</v>
      </c>
      <c r="C50">
        <v>2.6739999999999999</v>
      </c>
      <c r="D50">
        <v>2.6739999999999999</v>
      </c>
      <c r="E50">
        <v>2.536</v>
      </c>
      <c r="F50" s="21">
        <v>-4.8000000000000001E-2</v>
      </c>
    </row>
    <row r="51" spans="1:6" x14ac:dyDescent="0.35">
      <c r="A51" s="22">
        <v>45271</v>
      </c>
      <c r="B51" s="51">
        <v>2.7069999999999999</v>
      </c>
      <c r="C51">
        <v>2.806</v>
      </c>
      <c r="D51">
        <v>2.806</v>
      </c>
      <c r="E51">
        <v>2.7069999999999999</v>
      </c>
      <c r="F51" s="21">
        <v>-4.2799999999999998E-2</v>
      </c>
    </row>
    <row r="52" spans="1:6" x14ac:dyDescent="0.35">
      <c r="A52" s="22">
        <v>45057</v>
      </c>
      <c r="B52" s="51">
        <v>2.8279999999999998</v>
      </c>
      <c r="C52">
        <v>2.95</v>
      </c>
      <c r="D52">
        <v>2.95</v>
      </c>
      <c r="E52">
        <v>2.8279999999999998</v>
      </c>
      <c r="F52" s="21">
        <v>-5.45E-2</v>
      </c>
    </row>
    <row r="53" spans="1:6" x14ac:dyDescent="0.35">
      <c r="A53" s="22" t="s">
        <v>290</v>
      </c>
      <c r="B53" s="51">
        <v>2.9910000000000001</v>
      </c>
      <c r="C53">
        <v>3.0670000000000002</v>
      </c>
      <c r="D53">
        <v>3.07</v>
      </c>
      <c r="E53">
        <v>2.9910000000000001</v>
      </c>
      <c r="F53" s="21">
        <v>-2.9499999999999998E-2</v>
      </c>
    </row>
    <row r="54" spans="1:6" x14ac:dyDescent="0.35">
      <c r="A54" s="22" t="s">
        <v>291</v>
      </c>
      <c r="B54" s="51">
        <v>3.0819999999999999</v>
      </c>
      <c r="C54">
        <v>3.2469999999999999</v>
      </c>
      <c r="D54">
        <v>3.2469999999999999</v>
      </c>
      <c r="E54">
        <v>3.0819999999999999</v>
      </c>
      <c r="F54" s="21">
        <v>-5.2600000000000001E-2</v>
      </c>
    </row>
    <row r="55" spans="1:6" x14ac:dyDescent="0.35">
      <c r="A55" s="22" t="s">
        <v>293</v>
      </c>
      <c r="B55" s="51">
        <v>3.2530000000000001</v>
      </c>
      <c r="C55">
        <v>3.0339999999999998</v>
      </c>
      <c r="D55">
        <v>3.2530000000000001</v>
      </c>
      <c r="E55">
        <v>3.0339999999999998</v>
      </c>
      <c r="F55" s="21">
        <v>7.4700000000000003E-2</v>
      </c>
    </row>
    <row r="56" spans="1:6" x14ac:dyDescent="0.35">
      <c r="A56" s="22">
        <v>45148</v>
      </c>
      <c r="B56" s="51">
        <v>3.0270000000000001</v>
      </c>
      <c r="C56">
        <v>3.0409999999999999</v>
      </c>
      <c r="D56">
        <v>3.0409999999999999</v>
      </c>
      <c r="E56">
        <v>2.9950000000000001</v>
      </c>
      <c r="F56" s="21">
        <v>-3.0000000000000001E-3</v>
      </c>
    </row>
    <row r="57" spans="1:6" x14ac:dyDescent="0.35">
      <c r="A57" s="22">
        <v>44936</v>
      </c>
      <c r="B57" s="51">
        <v>3.036</v>
      </c>
      <c r="C57">
        <v>2.8580000000000001</v>
      </c>
      <c r="D57">
        <v>3.0489999999999999</v>
      </c>
      <c r="E57">
        <v>2.8580000000000001</v>
      </c>
      <c r="F57" s="21">
        <v>6.9800000000000001E-2</v>
      </c>
    </row>
    <row r="58" spans="1:6" x14ac:dyDescent="0.35">
      <c r="A58" s="22" t="s">
        <v>296</v>
      </c>
      <c r="B58" s="51">
        <v>2.8380000000000001</v>
      </c>
      <c r="C58">
        <v>2.7719999999999998</v>
      </c>
      <c r="D58">
        <v>2.8380000000000001</v>
      </c>
      <c r="E58">
        <v>2.75</v>
      </c>
      <c r="F58" s="21">
        <v>3.5799999999999998E-2</v>
      </c>
    </row>
    <row r="59" spans="1:6" x14ac:dyDescent="0.35">
      <c r="A59" s="22" t="s">
        <v>298</v>
      </c>
      <c r="B59" s="51">
        <v>2.74</v>
      </c>
      <c r="C59">
        <v>2.6949999999999998</v>
      </c>
      <c r="D59">
        <v>2.74</v>
      </c>
      <c r="E59">
        <v>2.694</v>
      </c>
      <c r="F59" s="21">
        <v>1.8E-3</v>
      </c>
    </row>
    <row r="60" spans="1:6" x14ac:dyDescent="0.35">
      <c r="A60" s="22">
        <v>45208</v>
      </c>
      <c r="B60" s="51">
        <v>2.7349999999999999</v>
      </c>
      <c r="C60">
        <v>2.758</v>
      </c>
      <c r="D60">
        <v>2.758</v>
      </c>
      <c r="E60">
        <v>2.7189999999999999</v>
      </c>
      <c r="F60" s="21">
        <v>-6.4999999999999997E-3</v>
      </c>
    </row>
    <row r="61" spans="1:6" x14ac:dyDescent="0.35">
      <c r="A61" s="22">
        <v>44994</v>
      </c>
      <c r="B61" s="51">
        <v>2.7530000000000001</v>
      </c>
      <c r="C61">
        <v>2.7429999999999999</v>
      </c>
      <c r="D61">
        <v>2.758</v>
      </c>
      <c r="E61">
        <v>2.7429999999999999</v>
      </c>
      <c r="F61" s="21">
        <v>1.32E-2</v>
      </c>
    </row>
    <row r="62" spans="1:6" x14ac:dyDescent="0.35">
      <c r="A62" s="22" t="s">
        <v>302</v>
      </c>
      <c r="B62" s="51">
        <v>2.7170000000000001</v>
      </c>
      <c r="C62">
        <v>2.7080000000000002</v>
      </c>
      <c r="D62">
        <v>2.7509999999999999</v>
      </c>
      <c r="E62">
        <v>2.7080000000000002</v>
      </c>
      <c r="F62" s="21">
        <v>2.07E-2</v>
      </c>
    </row>
    <row r="63" spans="1:6" x14ac:dyDescent="0.35">
      <c r="A63" s="22" t="s">
        <v>304</v>
      </c>
      <c r="B63" s="51">
        <v>2.6619999999999999</v>
      </c>
      <c r="C63">
        <v>2.6509999999999998</v>
      </c>
      <c r="D63">
        <v>2.694</v>
      </c>
      <c r="E63">
        <v>2.6509999999999998</v>
      </c>
      <c r="F63" s="21">
        <v>3.2199999999999999E-2</v>
      </c>
    </row>
    <row r="64" spans="1:6" x14ac:dyDescent="0.35">
      <c r="A64" s="22" t="s">
        <v>306</v>
      </c>
      <c r="B64" s="51">
        <v>2.5790000000000002</v>
      </c>
      <c r="C64">
        <v>2.5910000000000002</v>
      </c>
      <c r="D64">
        <v>2.6720000000000002</v>
      </c>
      <c r="E64">
        <v>2.5790000000000002</v>
      </c>
      <c r="F64" s="21">
        <v>9.4000000000000004E-3</v>
      </c>
    </row>
    <row r="65" spans="1:6" x14ac:dyDescent="0.35">
      <c r="A65" s="22">
        <v>45085</v>
      </c>
      <c r="B65" s="51">
        <v>2.5550000000000002</v>
      </c>
      <c r="C65">
        <v>2.5739999999999998</v>
      </c>
      <c r="D65">
        <v>2.5979999999999999</v>
      </c>
      <c r="E65">
        <v>2.5390000000000001</v>
      </c>
      <c r="F65" s="21">
        <v>2.2800000000000001E-2</v>
      </c>
    </row>
    <row r="66" spans="1:6" x14ac:dyDescent="0.35">
      <c r="A66" s="22" t="s">
        <v>309</v>
      </c>
      <c r="B66" s="51">
        <v>2.4980000000000002</v>
      </c>
      <c r="C66">
        <v>2.5609999999999999</v>
      </c>
      <c r="D66">
        <v>2.5649999999999999</v>
      </c>
      <c r="E66">
        <v>2.4969999999999999</v>
      </c>
      <c r="F66" s="21">
        <v>-2.0799999999999999E-2</v>
      </c>
    </row>
    <row r="67" spans="1:6" x14ac:dyDescent="0.35">
      <c r="A67" s="22" t="s">
        <v>311</v>
      </c>
      <c r="B67" s="51">
        <v>2.5510000000000002</v>
      </c>
      <c r="C67">
        <v>2.5990000000000002</v>
      </c>
      <c r="D67">
        <v>2.5990000000000002</v>
      </c>
      <c r="E67">
        <v>2.5369999999999999</v>
      </c>
      <c r="F67" s="21">
        <v>-3.8999999999999998E-3</v>
      </c>
    </row>
    <row r="68" spans="1:6" x14ac:dyDescent="0.35">
      <c r="A68" s="22" t="s">
        <v>313</v>
      </c>
      <c r="B68" s="51">
        <v>2.5609999999999999</v>
      </c>
      <c r="C68">
        <v>2.7930000000000001</v>
      </c>
      <c r="D68">
        <v>2.7930000000000001</v>
      </c>
      <c r="E68">
        <v>2.5609999999999999</v>
      </c>
      <c r="F68" s="21">
        <v>-8.3099999999999993E-2</v>
      </c>
    </row>
    <row r="69" spans="1:6" x14ac:dyDescent="0.35">
      <c r="A69" s="22">
        <v>45176</v>
      </c>
      <c r="B69" s="51">
        <v>2.7930000000000001</v>
      </c>
      <c r="C69">
        <v>2.9140000000000001</v>
      </c>
      <c r="D69">
        <v>2.9140000000000001</v>
      </c>
      <c r="E69">
        <v>2.778</v>
      </c>
      <c r="F69" s="21">
        <v>-4.1500000000000002E-2</v>
      </c>
    </row>
    <row r="70" spans="1:6" x14ac:dyDescent="0.35">
      <c r="A70" s="22">
        <v>44964</v>
      </c>
      <c r="B70" s="51">
        <v>2.9140000000000001</v>
      </c>
      <c r="C70">
        <v>2.7469999999999999</v>
      </c>
      <c r="D70">
        <v>2.9140000000000001</v>
      </c>
      <c r="E70">
        <v>2.7469999999999999</v>
      </c>
      <c r="F70" s="21">
        <v>6.08E-2</v>
      </c>
    </row>
    <row r="71" spans="1:6" x14ac:dyDescent="0.35">
      <c r="A71" s="22" t="s">
        <v>317</v>
      </c>
      <c r="B71" s="51">
        <v>2.7469999999999999</v>
      </c>
      <c r="C71">
        <v>2.7429999999999999</v>
      </c>
      <c r="D71">
        <v>2.7469999999999999</v>
      </c>
      <c r="E71">
        <v>2.6619999999999999</v>
      </c>
      <c r="F71" s="21">
        <v>1.5E-3</v>
      </c>
    </row>
    <row r="72" spans="1:6" x14ac:dyDescent="0.35">
      <c r="A72" s="22" t="s">
        <v>319</v>
      </c>
      <c r="B72" s="51">
        <v>2.7429999999999999</v>
      </c>
      <c r="C72">
        <v>2.9359999999999999</v>
      </c>
      <c r="D72">
        <v>2.9359999999999999</v>
      </c>
      <c r="E72">
        <v>2.6840000000000002</v>
      </c>
      <c r="F72" s="21">
        <v>-6.5699999999999995E-2</v>
      </c>
    </row>
    <row r="73" spans="1:6" x14ac:dyDescent="0.35">
      <c r="A73" s="22">
        <v>45236</v>
      </c>
      <c r="B73" s="51">
        <v>2.9359999999999999</v>
      </c>
      <c r="C73">
        <v>3.1640000000000001</v>
      </c>
      <c r="D73">
        <v>3.1640000000000001</v>
      </c>
      <c r="E73">
        <v>2.9359999999999999</v>
      </c>
      <c r="F73" s="21">
        <v>-7.1800000000000003E-2</v>
      </c>
    </row>
    <row r="74" spans="1:6" x14ac:dyDescent="0.35">
      <c r="A74" s="22">
        <v>45022</v>
      </c>
      <c r="B74" s="51">
        <v>3.1629999999999998</v>
      </c>
      <c r="C74">
        <v>3.2040000000000002</v>
      </c>
      <c r="D74">
        <v>3.2050000000000001</v>
      </c>
      <c r="E74">
        <v>3.1629999999999998</v>
      </c>
      <c r="F74" s="21">
        <v>-5.7000000000000002E-3</v>
      </c>
    </row>
    <row r="75" spans="1:6" x14ac:dyDescent="0.35">
      <c r="A75" s="22" t="s">
        <v>323</v>
      </c>
      <c r="B75" s="51">
        <v>3.181</v>
      </c>
      <c r="C75">
        <v>3.3610000000000002</v>
      </c>
      <c r="D75">
        <v>3.3610000000000002</v>
      </c>
      <c r="E75">
        <v>3.181</v>
      </c>
      <c r="F75" s="21">
        <v>-3.8399999999999997E-2</v>
      </c>
    </row>
    <row r="76" spans="1:6" x14ac:dyDescent="0.35">
      <c r="A76" s="22" t="s">
        <v>325</v>
      </c>
      <c r="B76" s="51">
        <v>3.3079999999999998</v>
      </c>
      <c r="C76">
        <v>3.1429999999999998</v>
      </c>
      <c r="D76">
        <v>3.3079999999999998</v>
      </c>
      <c r="E76">
        <v>3.1309999999999998</v>
      </c>
      <c r="F76" s="21">
        <v>6.8500000000000005E-2</v>
      </c>
    </row>
    <row r="77" spans="1:6" x14ac:dyDescent="0.35">
      <c r="A77" s="22" t="s">
        <v>327</v>
      </c>
      <c r="B77" s="51">
        <v>3.0960000000000001</v>
      </c>
      <c r="C77">
        <v>3.1179999999999999</v>
      </c>
      <c r="D77">
        <v>3.1179999999999999</v>
      </c>
      <c r="E77">
        <v>3.093</v>
      </c>
      <c r="F77" s="21">
        <v>-7.1000000000000004E-3</v>
      </c>
    </row>
    <row r="78" spans="1:6" x14ac:dyDescent="0.35">
      <c r="A78" s="22">
        <v>45112</v>
      </c>
      <c r="B78" s="51">
        <v>3.1179999999999999</v>
      </c>
      <c r="C78">
        <v>3.194</v>
      </c>
      <c r="D78">
        <v>3.2029999999999998</v>
      </c>
      <c r="E78">
        <v>3.1179999999999999</v>
      </c>
      <c r="F78" s="21">
        <v>-4.53E-2</v>
      </c>
    </row>
    <row r="79" spans="1:6" x14ac:dyDescent="0.35">
      <c r="A79" s="22" t="s">
        <v>330</v>
      </c>
      <c r="B79" s="51">
        <v>3.266</v>
      </c>
      <c r="C79">
        <v>3.363</v>
      </c>
      <c r="D79">
        <v>3.363</v>
      </c>
      <c r="E79">
        <v>3.266</v>
      </c>
      <c r="F79" s="21">
        <v>-2.8799999999999999E-2</v>
      </c>
    </row>
    <row r="80" spans="1:6" x14ac:dyDescent="0.35">
      <c r="A80" s="22" t="s">
        <v>332</v>
      </c>
      <c r="B80" s="51">
        <v>3.363</v>
      </c>
      <c r="C80">
        <v>3.4910000000000001</v>
      </c>
      <c r="D80">
        <v>3.4910000000000001</v>
      </c>
      <c r="E80">
        <v>3.335</v>
      </c>
      <c r="F80" s="21">
        <v>-1.6400000000000001E-2</v>
      </c>
    </row>
    <row r="81" spans="1:6" x14ac:dyDescent="0.35">
      <c r="A81" s="22" t="s">
        <v>334</v>
      </c>
      <c r="B81" s="51">
        <v>3.419</v>
      </c>
      <c r="C81">
        <v>3.4119999999999999</v>
      </c>
      <c r="D81">
        <v>3.4769999999999999</v>
      </c>
      <c r="E81">
        <v>3.4119999999999999</v>
      </c>
      <c r="F81" s="21">
        <v>-1.47E-2</v>
      </c>
    </row>
    <row r="82" spans="1:6" x14ac:dyDescent="0.35">
      <c r="A82" s="22">
        <v>45173</v>
      </c>
      <c r="B82" s="51">
        <v>3.47</v>
      </c>
      <c r="C82">
        <v>3.452</v>
      </c>
      <c r="D82">
        <v>3.4889999999999999</v>
      </c>
      <c r="E82">
        <v>3.4289999999999998</v>
      </c>
      <c r="F82" s="21">
        <v>-2.1700000000000001E-2</v>
      </c>
    </row>
    <row r="83" spans="1:6" x14ac:dyDescent="0.35">
      <c r="A83" s="22">
        <v>44961</v>
      </c>
      <c r="B83" s="51">
        <v>3.5470000000000002</v>
      </c>
      <c r="C83">
        <v>3.5920000000000001</v>
      </c>
      <c r="D83">
        <v>3.6</v>
      </c>
      <c r="E83">
        <v>3.5470000000000002</v>
      </c>
      <c r="F83" s="21">
        <v>2.2499999999999999E-2</v>
      </c>
    </row>
    <row r="84" spans="1:6" x14ac:dyDescent="0.35">
      <c r="A84" s="22" t="s">
        <v>338</v>
      </c>
      <c r="B84" s="51">
        <v>3.4689999999999999</v>
      </c>
      <c r="C84">
        <v>3.7810000000000001</v>
      </c>
      <c r="D84">
        <v>3.7810000000000001</v>
      </c>
      <c r="E84">
        <v>3.4689999999999999</v>
      </c>
      <c r="F84" s="21">
        <v>-6.3700000000000007E-2</v>
      </c>
    </row>
    <row r="85" spans="1:6" x14ac:dyDescent="0.35">
      <c r="A85" s="22" t="s">
        <v>340</v>
      </c>
      <c r="B85" s="51">
        <v>3.7050000000000001</v>
      </c>
      <c r="C85">
        <v>4.0979999999999999</v>
      </c>
      <c r="D85">
        <v>4.0979999999999999</v>
      </c>
      <c r="E85">
        <v>3.7050000000000001</v>
      </c>
      <c r="F85" s="21">
        <v>-9.5899999999999999E-2</v>
      </c>
    </row>
    <row r="86" spans="1:6" x14ac:dyDescent="0.35">
      <c r="A86" s="22">
        <v>45263</v>
      </c>
      <c r="B86" s="51">
        <v>4.0979999999999999</v>
      </c>
      <c r="C86">
        <v>4.3129999999999997</v>
      </c>
      <c r="D86">
        <v>4.3689999999999998</v>
      </c>
      <c r="E86">
        <v>4.0979999999999999</v>
      </c>
      <c r="F86" s="21">
        <v>-8.2199999999999995E-2</v>
      </c>
    </row>
    <row r="87" spans="1:6" x14ac:dyDescent="0.35">
      <c r="A87" s="22">
        <v>45049</v>
      </c>
      <c r="B87" s="51">
        <v>4.4649999999999999</v>
      </c>
      <c r="C87">
        <v>4.585</v>
      </c>
      <c r="D87">
        <v>4.585</v>
      </c>
      <c r="E87">
        <v>4.4649999999999999</v>
      </c>
      <c r="F87" s="21">
        <v>-2.8299999999999999E-2</v>
      </c>
    </row>
    <row r="88" spans="1:6" x14ac:dyDescent="0.35">
      <c r="A88" s="22" t="s">
        <v>344</v>
      </c>
      <c r="B88" s="51">
        <v>4.5949999999999998</v>
      </c>
      <c r="C88">
        <v>4.5449999999999999</v>
      </c>
      <c r="D88">
        <v>4.5949999999999998</v>
      </c>
      <c r="E88">
        <v>4.532</v>
      </c>
      <c r="F88" s="21">
        <v>3.8999999999999998E-3</v>
      </c>
    </row>
    <row r="89" spans="1:6" x14ac:dyDescent="0.35">
      <c r="A89" s="22" t="s">
        <v>346</v>
      </c>
      <c r="B89" s="51">
        <v>4.577</v>
      </c>
      <c r="C89">
        <v>4.375</v>
      </c>
      <c r="D89">
        <v>4.577</v>
      </c>
      <c r="E89">
        <v>4.375</v>
      </c>
      <c r="F89" s="21">
        <v>5.2900000000000003E-2</v>
      </c>
    </row>
    <row r="90" spans="1:6" x14ac:dyDescent="0.35">
      <c r="A90" s="22">
        <v>45262</v>
      </c>
      <c r="B90" s="51">
        <v>4.3470000000000004</v>
      </c>
      <c r="C90">
        <v>4.2510000000000003</v>
      </c>
      <c r="D90">
        <v>4.3470000000000004</v>
      </c>
      <c r="E90">
        <v>4.2039999999999997</v>
      </c>
      <c r="F90" s="21">
        <v>2.1899999999999999E-2</v>
      </c>
    </row>
    <row r="91" spans="1:6" x14ac:dyDescent="0.35">
      <c r="A91" s="22">
        <v>45048</v>
      </c>
      <c r="B91" s="51">
        <v>4.2539999999999996</v>
      </c>
      <c r="C91">
        <v>4.3259999999999996</v>
      </c>
      <c r="D91">
        <v>4.3259999999999996</v>
      </c>
      <c r="E91">
        <v>4.2539999999999996</v>
      </c>
      <c r="F91" s="21">
        <v>-1.66E-2</v>
      </c>
    </row>
    <row r="92" spans="1:6" x14ac:dyDescent="0.35">
      <c r="A92" s="22" t="s">
        <v>349</v>
      </c>
      <c r="B92" s="51">
        <v>4.3259999999999996</v>
      </c>
      <c r="C92">
        <v>4.7610000000000001</v>
      </c>
      <c r="D92">
        <v>4.7610000000000001</v>
      </c>
      <c r="E92">
        <v>4.3259999999999996</v>
      </c>
      <c r="F92" s="21">
        <v>-9.1600000000000001E-2</v>
      </c>
    </row>
    <row r="93" spans="1:6" x14ac:dyDescent="0.35">
      <c r="A93" s="22" t="s">
        <v>351</v>
      </c>
      <c r="B93" s="51">
        <v>4.7619999999999996</v>
      </c>
      <c r="C93">
        <v>4.7889999999999997</v>
      </c>
      <c r="D93">
        <v>4.7889999999999997</v>
      </c>
      <c r="E93">
        <v>4.7619999999999996</v>
      </c>
      <c r="F93" s="21">
        <v>-5.7999999999999996E-3</v>
      </c>
    </row>
    <row r="94" spans="1:6" x14ac:dyDescent="0.35">
      <c r="A94" s="22" t="s">
        <v>353</v>
      </c>
      <c r="B94" s="51">
        <v>4.79</v>
      </c>
      <c r="C94">
        <v>4.8179999999999996</v>
      </c>
      <c r="D94">
        <v>4.8179999999999996</v>
      </c>
      <c r="E94">
        <v>4.79</v>
      </c>
      <c r="F94" s="21">
        <v>-6.6E-3</v>
      </c>
    </row>
    <row r="95" spans="1:6" x14ac:dyDescent="0.35">
      <c r="A95" s="22">
        <v>45139</v>
      </c>
      <c r="B95" s="51">
        <v>4.8220000000000001</v>
      </c>
      <c r="C95">
        <v>4.9409999999999998</v>
      </c>
      <c r="D95">
        <v>4.9409999999999998</v>
      </c>
      <c r="E95">
        <v>4.8220000000000001</v>
      </c>
      <c r="F95" s="21">
        <v>-3.2099999999999997E-2</v>
      </c>
    </row>
    <row r="96" spans="1:6" x14ac:dyDescent="0.35">
      <c r="A96" s="22">
        <v>44927</v>
      </c>
      <c r="B96" s="51">
        <v>4.9820000000000002</v>
      </c>
      <c r="C96">
        <v>5.0410000000000004</v>
      </c>
      <c r="D96">
        <v>5.0410000000000004</v>
      </c>
      <c r="E96">
        <v>4.9820000000000002</v>
      </c>
      <c r="F96" s="21">
        <v>-1.09E-2</v>
      </c>
    </row>
    <row r="97" spans="1:6" x14ac:dyDescent="0.35">
      <c r="A97" s="22" t="s">
        <v>357</v>
      </c>
      <c r="B97" s="51">
        <v>5.0369999999999999</v>
      </c>
      <c r="C97">
        <v>5.0869999999999997</v>
      </c>
      <c r="D97">
        <v>5.0869999999999997</v>
      </c>
      <c r="E97">
        <v>5.0369999999999999</v>
      </c>
      <c r="F97" s="21">
        <v>-1.0800000000000001E-2</v>
      </c>
    </row>
    <row r="98" spans="1:6" x14ac:dyDescent="0.35">
      <c r="A98" s="22" t="s">
        <v>359</v>
      </c>
      <c r="B98" s="51">
        <v>5.0919999999999996</v>
      </c>
      <c r="C98">
        <v>5.1219999999999999</v>
      </c>
      <c r="D98">
        <v>5.1219999999999999</v>
      </c>
      <c r="E98">
        <v>5.0919999999999996</v>
      </c>
      <c r="F98" s="21">
        <v>-7.1999999999999998E-3</v>
      </c>
    </row>
    <row r="99" spans="1:6" x14ac:dyDescent="0.35">
      <c r="A99" s="22">
        <v>44877</v>
      </c>
      <c r="B99" s="51">
        <v>5.1289999999999996</v>
      </c>
      <c r="C99">
        <v>5.1429999999999998</v>
      </c>
      <c r="D99">
        <v>5.1429999999999998</v>
      </c>
      <c r="E99">
        <v>5.1289999999999996</v>
      </c>
      <c r="F99" s="21">
        <v>-2.7000000000000001E-3</v>
      </c>
    </row>
    <row r="100" spans="1:6" x14ac:dyDescent="0.35">
      <c r="A100" s="22">
        <v>44663</v>
      </c>
      <c r="B100" s="51">
        <v>5.1429999999999998</v>
      </c>
      <c r="C100">
        <v>5.1630000000000003</v>
      </c>
      <c r="D100">
        <v>5.17</v>
      </c>
      <c r="E100">
        <v>5.1429999999999998</v>
      </c>
      <c r="F100" s="21">
        <v>-4.7999999999999996E-3</v>
      </c>
    </row>
    <row r="101" spans="1:6" x14ac:dyDescent="0.35">
      <c r="A101" s="22" t="s">
        <v>362</v>
      </c>
      <c r="B101" s="51">
        <v>5.1680000000000001</v>
      </c>
      <c r="C101">
        <v>5.1589999999999998</v>
      </c>
      <c r="D101">
        <v>5.1680000000000001</v>
      </c>
      <c r="E101">
        <v>5.1550000000000002</v>
      </c>
      <c r="F101" s="21">
        <v>1.6999999999999999E-3</v>
      </c>
    </row>
    <row r="102" spans="1:6" x14ac:dyDescent="0.35">
      <c r="A102" s="22" t="s">
        <v>364</v>
      </c>
      <c r="B102" s="51">
        <v>5.1589999999999998</v>
      </c>
      <c r="C102">
        <v>5.1420000000000003</v>
      </c>
      <c r="D102">
        <v>5.1589999999999998</v>
      </c>
      <c r="E102">
        <v>5.1420000000000003</v>
      </c>
      <c r="F102" s="21">
        <v>3.3E-3</v>
      </c>
    </row>
    <row r="103" spans="1:6" x14ac:dyDescent="0.35">
      <c r="A103" s="22" t="s">
        <v>366</v>
      </c>
      <c r="B103" s="51">
        <v>5.1420000000000003</v>
      </c>
      <c r="C103">
        <v>5.141</v>
      </c>
      <c r="D103">
        <v>5.1509999999999998</v>
      </c>
      <c r="E103">
        <v>5.1289999999999996</v>
      </c>
      <c r="F103" s="21">
        <v>-5.0000000000000001E-3</v>
      </c>
    </row>
    <row r="104" spans="1:6" x14ac:dyDescent="0.35">
      <c r="A104" s="22">
        <v>44723</v>
      </c>
      <c r="B104" s="51">
        <v>5.1680000000000001</v>
      </c>
      <c r="C104">
        <v>5.2030000000000003</v>
      </c>
      <c r="D104">
        <v>5.2030000000000003</v>
      </c>
      <c r="E104">
        <v>5.1639999999999997</v>
      </c>
      <c r="F104" s="21">
        <v>-7.9000000000000008E-3</v>
      </c>
    </row>
    <row r="105" spans="1:6" x14ac:dyDescent="0.35">
      <c r="A105" s="22" t="s">
        <v>369</v>
      </c>
      <c r="B105" s="51">
        <v>5.2089999999999996</v>
      </c>
      <c r="C105">
        <v>5.194</v>
      </c>
      <c r="D105">
        <v>5.2089999999999996</v>
      </c>
      <c r="E105">
        <v>5.19</v>
      </c>
      <c r="F105" s="21">
        <v>3.8999999999999998E-3</v>
      </c>
    </row>
    <row r="106" spans="1:6" x14ac:dyDescent="0.35">
      <c r="A106" s="22" t="s">
        <v>371</v>
      </c>
      <c r="B106" s="51">
        <v>5.1890000000000001</v>
      </c>
      <c r="C106">
        <v>5.0949999999999998</v>
      </c>
      <c r="D106">
        <v>5.2039999999999997</v>
      </c>
      <c r="E106">
        <v>5.0949999999999998</v>
      </c>
      <c r="F106" s="21">
        <v>2.1899999999999999E-2</v>
      </c>
    </row>
    <row r="107" spans="1:6" x14ac:dyDescent="0.35">
      <c r="A107" s="22" t="s">
        <v>373</v>
      </c>
      <c r="B107" s="51">
        <v>5.0780000000000003</v>
      </c>
      <c r="C107">
        <v>5.1319999999999997</v>
      </c>
      <c r="D107">
        <v>5.1319999999999997</v>
      </c>
      <c r="E107">
        <v>5.05</v>
      </c>
      <c r="F107" s="21">
        <v>-1.7999999999999999E-2</v>
      </c>
    </row>
    <row r="108" spans="1:6" x14ac:dyDescent="0.35">
      <c r="A108" s="22">
        <v>44814</v>
      </c>
      <c r="B108" s="51">
        <v>5.1710000000000003</v>
      </c>
      <c r="C108">
        <v>5.1310000000000002</v>
      </c>
      <c r="D108">
        <v>5.18</v>
      </c>
      <c r="E108">
        <v>5.1310000000000002</v>
      </c>
      <c r="F108" s="21">
        <v>5.5999999999999999E-3</v>
      </c>
    </row>
    <row r="109" spans="1:6" x14ac:dyDescent="0.35">
      <c r="A109" s="22">
        <v>44602</v>
      </c>
      <c r="B109" s="51">
        <v>5.1420000000000003</v>
      </c>
      <c r="C109">
        <v>4.9749999999999996</v>
      </c>
      <c r="D109">
        <v>5.1420000000000003</v>
      </c>
      <c r="E109">
        <v>4.9749999999999996</v>
      </c>
      <c r="F109" s="21">
        <v>2.5100000000000001E-2</v>
      </c>
    </row>
    <row r="110" spans="1:6" x14ac:dyDescent="0.35">
      <c r="A110" s="22" t="s">
        <v>377</v>
      </c>
      <c r="B110" s="51">
        <v>5.016</v>
      </c>
      <c r="C110">
        <v>4.6669999999999998</v>
      </c>
      <c r="D110">
        <v>5.0250000000000004</v>
      </c>
      <c r="E110">
        <v>4.6669999999999998</v>
      </c>
      <c r="F110" s="21">
        <v>7.9899999999999999E-2</v>
      </c>
    </row>
    <row r="111" spans="1:6" x14ac:dyDescent="0.35">
      <c r="A111" s="22" t="s">
        <v>378</v>
      </c>
      <c r="B111" s="51">
        <v>4.6449999999999996</v>
      </c>
      <c r="C111">
        <v>3.8959999999999999</v>
      </c>
      <c r="D111">
        <v>4.6449999999999996</v>
      </c>
      <c r="E111">
        <v>3.8959999999999999</v>
      </c>
      <c r="F111" s="21">
        <v>0.191</v>
      </c>
    </row>
    <row r="112" spans="1:6" x14ac:dyDescent="0.35">
      <c r="A112" s="22">
        <v>44874</v>
      </c>
      <c r="B112" s="51">
        <v>3.9</v>
      </c>
      <c r="C112">
        <v>3.8</v>
      </c>
      <c r="D112">
        <v>3.9</v>
      </c>
      <c r="E112">
        <v>3.8</v>
      </c>
      <c r="F112" s="21">
        <v>2.1700000000000001E-2</v>
      </c>
    </row>
    <row r="113" spans="1:6" x14ac:dyDescent="0.35">
      <c r="A113" s="22">
        <v>44660</v>
      </c>
      <c r="B113" s="51">
        <v>3.8170000000000002</v>
      </c>
      <c r="C113">
        <v>3.6970000000000001</v>
      </c>
      <c r="D113">
        <v>3.8330000000000002</v>
      </c>
      <c r="E113">
        <v>3.6970000000000001</v>
      </c>
      <c r="F113" s="21">
        <v>3.6900000000000002E-2</v>
      </c>
    </row>
    <row r="114" spans="1:6" x14ac:dyDescent="0.35">
      <c r="A114" s="22" t="s">
        <v>381</v>
      </c>
      <c r="B114" s="51">
        <v>3.681</v>
      </c>
      <c r="C114">
        <v>3.6680000000000001</v>
      </c>
      <c r="D114">
        <v>3.681</v>
      </c>
      <c r="E114">
        <v>3.6680000000000001</v>
      </c>
      <c r="F114" s="21">
        <v>1.0999999999999999E-2</v>
      </c>
    </row>
    <row r="115" spans="1:6" x14ac:dyDescent="0.35">
      <c r="A115" s="22" t="s">
        <v>383</v>
      </c>
      <c r="B115" s="51">
        <v>3.641</v>
      </c>
      <c r="C115">
        <v>3.609</v>
      </c>
      <c r="D115">
        <v>3.645</v>
      </c>
      <c r="E115">
        <v>3.609</v>
      </c>
      <c r="F115" s="21">
        <v>1.0500000000000001E-2</v>
      </c>
    </row>
    <row r="116" spans="1:6" x14ac:dyDescent="0.35">
      <c r="A116" s="22" t="s">
        <v>385</v>
      </c>
      <c r="B116" s="51">
        <v>3.6030000000000002</v>
      </c>
      <c r="C116">
        <v>3.621</v>
      </c>
      <c r="D116">
        <v>3.621</v>
      </c>
      <c r="E116">
        <v>3.5960000000000001</v>
      </c>
      <c r="F116" s="21">
        <v>-4.1000000000000003E-3</v>
      </c>
    </row>
    <row r="117" spans="1:6" x14ac:dyDescent="0.35">
      <c r="A117" s="22">
        <v>44750</v>
      </c>
      <c r="B117" s="51">
        <v>3.6179999999999999</v>
      </c>
      <c r="C117">
        <v>3.7</v>
      </c>
      <c r="D117">
        <v>3.718</v>
      </c>
      <c r="E117">
        <v>3.5910000000000002</v>
      </c>
      <c r="F117" s="21">
        <v>-2.53E-2</v>
      </c>
    </row>
    <row r="118" spans="1:6" x14ac:dyDescent="0.35">
      <c r="A118" s="22" t="s">
        <v>388</v>
      </c>
      <c r="B118" s="51">
        <v>3.7120000000000002</v>
      </c>
      <c r="C118">
        <v>3.6859999999999999</v>
      </c>
      <c r="D118">
        <v>3.7120000000000002</v>
      </c>
      <c r="E118">
        <v>3.5950000000000002</v>
      </c>
      <c r="F118" s="21">
        <v>2.1999999999999999E-2</v>
      </c>
    </row>
    <row r="119" spans="1:6" x14ac:dyDescent="0.35">
      <c r="A119" s="22" t="s">
        <v>389</v>
      </c>
      <c r="B119" s="51">
        <v>3.6320000000000001</v>
      </c>
      <c r="C119">
        <v>3.431</v>
      </c>
      <c r="D119">
        <v>3.863</v>
      </c>
      <c r="E119">
        <v>3.431</v>
      </c>
      <c r="F119" s="21">
        <v>5.9799999999999999E-2</v>
      </c>
    </row>
    <row r="120" spans="1:6" x14ac:dyDescent="0.35">
      <c r="A120" s="22" t="s">
        <v>391</v>
      </c>
      <c r="B120" s="51">
        <v>3.427</v>
      </c>
      <c r="C120">
        <v>3.4249999999999998</v>
      </c>
      <c r="D120">
        <v>3.4279999999999999</v>
      </c>
      <c r="E120">
        <v>3.4140000000000001</v>
      </c>
      <c r="F120" s="21">
        <v>7.9000000000000008E-3</v>
      </c>
    </row>
    <row r="121" spans="1:6" x14ac:dyDescent="0.35">
      <c r="A121" s="22">
        <v>44841</v>
      </c>
      <c r="B121" s="51">
        <v>3.4</v>
      </c>
      <c r="C121">
        <v>3.3610000000000002</v>
      </c>
      <c r="D121">
        <v>3.4</v>
      </c>
      <c r="E121">
        <v>3.36</v>
      </c>
      <c r="F121" s="21">
        <v>6.4999999999999997E-3</v>
      </c>
    </row>
    <row r="122" spans="1:6" x14ac:dyDescent="0.35">
      <c r="A122" s="22">
        <v>44627</v>
      </c>
      <c r="B122" s="51">
        <v>3.3780000000000001</v>
      </c>
      <c r="C122">
        <v>3.375</v>
      </c>
      <c r="D122">
        <v>3.3780000000000001</v>
      </c>
      <c r="E122">
        <v>3.36</v>
      </c>
      <c r="F122" s="21">
        <v>3.8999999999999998E-3</v>
      </c>
    </row>
    <row r="123" spans="1:6" x14ac:dyDescent="0.35">
      <c r="A123" s="22" t="s">
        <v>394</v>
      </c>
      <c r="B123" s="51">
        <v>3.3650000000000002</v>
      </c>
      <c r="C123">
        <v>3.4009999999999998</v>
      </c>
      <c r="D123">
        <v>3.4009999999999998</v>
      </c>
      <c r="E123">
        <v>3.3650000000000002</v>
      </c>
      <c r="F123" s="21">
        <v>-1.84E-2</v>
      </c>
    </row>
    <row r="124" spans="1:6" x14ac:dyDescent="0.35">
      <c r="A124" s="22" t="s">
        <v>396</v>
      </c>
      <c r="B124" s="51">
        <v>3.4279999999999999</v>
      </c>
      <c r="C124">
        <v>3.4390000000000001</v>
      </c>
      <c r="D124">
        <v>3.4390000000000001</v>
      </c>
      <c r="E124">
        <v>3.4180000000000001</v>
      </c>
      <c r="F124" s="21">
        <v>-1.1999999999999999E-3</v>
      </c>
    </row>
    <row r="125" spans="1:6" x14ac:dyDescent="0.35">
      <c r="A125" s="22">
        <v>44901</v>
      </c>
      <c r="B125" s="51">
        <v>3.4319999999999999</v>
      </c>
      <c r="C125">
        <v>3.3170000000000002</v>
      </c>
      <c r="D125">
        <v>3.4510000000000001</v>
      </c>
      <c r="E125">
        <v>3.3170000000000002</v>
      </c>
      <c r="F125" s="21">
        <v>4.8599999999999997E-2</v>
      </c>
    </row>
    <row r="126" spans="1:6" x14ac:dyDescent="0.35">
      <c r="A126" s="22">
        <v>44687</v>
      </c>
      <c r="B126" s="51">
        <v>3.2730000000000001</v>
      </c>
      <c r="C126">
        <v>3.2629999999999999</v>
      </c>
      <c r="D126">
        <v>3.2829999999999999</v>
      </c>
      <c r="E126">
        <v>3.2629999999999999</v>
      </c>
      <c r="F126" s="21">
        <v>1.8E-3</v>
      </c>
    </row>
    <row r="127" spans="1:6" x14ac:dyDescent="0.35">
      <c r="A127" s="22" t="s">
        <v>400</v>
      </c>
      <c r="B127" s="51">
        <v>3.2669999999999999</v>
      </c>
      <c r="C127">
        <v>3.2509999999999999</v>
      </c>
      <c r="D127">
        <v>3.2669999999999999</v>
      </c>
      <c r="E127">
        <v>3.2490000000000001</v>
      </c>
      <c r="F127" s="21">
        <v>6.1999999999999998E-3</v>
      </c>
    </row>
    <row r="128" spans="1:6" x14ac:dyDescent="0.35">
      <c r="A128" s="22" t="s">
        <v>401</v>
      </c>
      <c r="B128" s="51">
        <v>3.2469999999999999</v>
      </c>
      <c r="C128">
        <v>3.2669999999999999</v>
      </c>
      <c r="D128">
        <v>3.2669999999999999</v>
      </c>
      <c r="E128">
        <v>3.23</v>
      </c>
      <c r="F128" s="21">
        <v>-5.9999999999999995E-4</v>
      </c>
    </row>
    <row r="129" spans="1:6" x14ac:dyDescent="0.35">
      <c r="A129" s="22" t="s">
        <v>403</v>
      </c>
      <c r="B129" s="51">
        <v>3.2490000000000001</v>
      </c>
      <c r="C129">
        <v>3.343</v>
      </c>
      <c r="D129">
        <v>3.343</v>
      </c>
      <c r="E129">
        <v>3.2490000000000001</v>
      </c>
      <c r="F129" s="21">
        <v>-4.8599999999999997E-2</v>
      </c>
    </row>
    <row r="130" spans="1:6" x14ac:dyDescent="0.35">
      <c r="A130" s="22">
        <v>44778</v>
      </c>
      <c r="B130" s="51">
        <v>3.415</v>
      </c>
      <c r="C130">
        <v>3.2389999999999999</v>
      </c>
      <c r="D130">
        <v>3.415</v>
      </c>
      <c r="E130">
        <v>3.2349999999999999</v>
      </c>
      <c r="F130" s="21">
        <v>7.0199999999999999E-2</v>
      </c>
    </row>
    <row r="131" spans="1:6" x14ac:dyDescent="0.35">
      <c r="A131" s="22">
        <v>44566</v>
      </c>
      <c r="B131" s="51">
        <v>3.1909999999999998</v>
      </c>
      <c r="C131">
        <v>3.113</v>
      </c>
      <c r="D131">
        <v>3.1909999999999998</v>
      </c>
      <c r="E131">
        <v>3.113</v>
      </c>
      <c r="F131" s="21">
        <v>2.8400000000000002E-2</v>
      </c>
    </row>
    <row r="132" spans="1:6" x14ac:dyDescent="0.35">
      <c r="A132" s="22" t="s">
        <v>406</v>
      </c>
      <c r="B132" s="51">
        <v>3.1030000000000002</v>
      </c>
      <c r="C132">
        <v>3.1629999999999998</v>
      </c>
      <c r="D132">
        <v>3.1629999999999998</v>
      </c>
      <c r="E132">
        <v>3.1030000000000002</v>
      </c>
      <c r="F132" s="21">
        <v>-2.5100000000000001E-2</v>
      </c>
    </row>
    <row r="133" spans="1:6" x14ac:dyDescent="0.35">
      <c r="A133" s="22" t="s">
        <v>407</v>
      </c>
      <c r="B133" s="51">
        <v>3.1829999999999998</v>
      </c>
      <c r="C133">
        <v>3.1709999999999998</v>
      </c>
      <c r="D133">
        <v>3.1920000000000002</v>
      </c>
      <c r="E133">
        <v>3.1669999999999998</v>
      </c>
      <c r="F133" s="21">
        <v>5.7000000000000002E-3</v>
      </c>
    </row>
    <row r="134" spans="1:6" x14ac:dyDescent="0.35">
      <c r="A134" s="22">
        <v>44838</v>
      </c>
      <c r="B134" s="51">
        <v>3.165</v>
      </c>
      <c r="C134">
        <v>3.149</v>
      </c>
      <c r="D134">
        <v>3.165</v>
      </c>
      <c r="E134">
        <v>3.1120000000000001</v>
      </c>
      <c r="F134" s="21">
        <v>0.1016</v>
      </c>
    </row>
    <row r="135" spans="1:6" x14ac:dyDescent="0.35">
      <c r="A135" s="22">
        <v>44624</v>
      </c>
      <c r="B135" s="51">
        <v>2.8730000000000002</v>
      </c>
      <c r="C135">
        <v>2.5070000000000001</v>
      </c>
      <c r="D135">
        <v>2.8730000000000002</v>
      </c>
      <c r="E135">
        <v>2.5070000000000001</v>
      </c>
      <c r="F135" s="21">
        <v>0.1487</v>
      </c>
    </row>
    <row r="136" spans="1:6" x14ac:dyDescent="0.35">
      <c r="A136" s="22" t="s">
        <v>410</v>
      </c>
      <c r="B136" s="51">
        <v>2.5009999999999999</v>
      </c>
      <c r="C136">
        <v>2.5190000000000001</v>
      </c>
      <c r="D136">
        <v>2.5190000000000001</v>
      </c>
      <c r="E136">
        <v>2.4790000000000001</v>
      </c>
      <c r="F136" s="21">
        <v>3.2000000000000002E-3</v>
      </c>
    </row>
    <row r="137" spans="1:6" x14ac:dyDescent="0.35">
      <c r="A137" s="22" t="s">
        <v>411</v>
      </c>
      <c r="B137" s="51">
        <v>2.4929999999999999</v>
      </c>
      <c r="C137">
        <v>2.5059999999999998</v>
      </c>
      <c r="D137">
        <v>2.5379999999999998</v>
      </c>
      <c r="E137">
        <v>2.4929999999999999</v>
      </c>
      <c r="F137" s="21">
        <v>2.5100000000000001E-2</v>
      </c>
    </row>
    <row r="138" spans="1:6" x14ac:dyDescent="0.35">
      <c r="A138" s="22" t="s">
        <v>413</v>
      </c>
      <c r="B138" s="51">
        <v>2.4319999999999999</v>
      </c>
      <c r="C138">
        <v>2.3719999999999999</v>
      </c>
      <c r="D138">
        <v>2.4319999999999999</v>
      </c>
      <c r="E138">
        <v>2.3719999999999999</v>
      </c>
      <c r="F138" s="21">
        <v>2.7900000000000001E-2</v>
      </c>
    </row>
    <row r="139" spans="1:6" x14ac:dyDescent="0.35">
      <c r="A139" s="22">
        <v>44715</v>
      </c>
      <c r="B139" s="51">
        <v>2.3660000000000001</v>
      </c>
      <c r="C139">
        <v>2.3849999999999998</v>
      </c>
      <c r="D139">
        <v>2.399</v>
      </c>
      <c r="E139">
        <v>2.3530000000000002</v>
      </c>
      <c r="F139" s="21">
        <v>8.9999999999999993E-3</v>
      </c>
    </row>
    <row r="140" spans="1:6" x14ac:dyDescent="0.35">
      <c r="A140" s="22" t="s">
        <v>415</v>
      </c>
      <c r="B140" s="51">
        <v>2.3450000000000002</v>
      </c>
      <c r="C140">
        <v>2.34</v>
      </c>
      <c r="D140">
        <v>2.415</v>
      </c>
      <c r="E140">
        <v>2.34</v>
      </c>
      <c r="F140" s="21">
        <v>2.6700000000000002E-2</v>
      </c>
    </row>
    <row r="141" spans="1:6" x14ac:dyDescent="0.35">
      <c r="A141" s="22" t="s">
        <v>417</v>
      </c>
      <c r="B141" s="51">
        <v>2.2839999999999998</v>
      </c>
      <c r="C141">
        <v>2.294</v>
      </c>
      <c r="D141">
        <v>2.2959999999999998</v>
      </c>
      <c r="E141">
        <v>2.2839999999999998</v>
      </c>
      <c r="F141" s="21">
        <v>-0.01</v>
      </c>
    </row>
    <row r="142" spans="1:6" x14ac:dyDescent="0.35">
      <c r="A142" s="22" t="s">
        <v>419</v>
      </c>
      <c r="B142" s="51">
        <v>2.3069999999999999</v>
      </c>
      <c r="C142">
        <v>2.1909999999999998</v>
      </c>
      <c r="D142">
        <v>2.3479999999999999</v>
      </c>
      <c r="E142">
        <v>2.1909999999999998</v>
      </c>
      <c r="F142" s="21">
        <v>5.2499999999999998E-2</v>
      </c>
    </row>
    <row r="143" spans="1:6" x14ac:dyDescent="0.35">
      <c r="A143" s="22">
        <v>44714</v>
      </c>
      <c r="B143" s="51">
        <v>2.1920000000000002</v>
      </c>
      <c r="C143">
        <v>2.153</v>
      </c>
      <c r="D143">
        <v>2.1920000000000002</v>
      </c>
      <c r="E143">
        <v>2.1459999999999999</v>
      </c>
      <c r="F143" s="21">
        <v>3.7400000000000003E-2</v>
      </c>
    </row>
    <row r="144" spans="1:6" x14ac:dyDescent="0.35">
      <c r="A144" s="22" t="s">
        <v>420</v>
      </c>
      <c r="B144" s="51">
        <v>2.113</v>
      </c>
      <c r="C144">
        <v>2.113</v>
      </c>
      <c r="D144">
        <v>2.113</v>
      </c>
      <c r="E144">
        <v>2.113</v>
      </c>
      <c r="F144" s="21">
        <v>-2.3099999999999999E-2</v>
      </c>
    </row>
    <row r="145" spans="1:6" x14ac:dyDescent="0.35">
      <c r="A145" s="22" t="s">
        <v>421</v>
      </c>
      <c r="B145" s="51">
        <v>2.1629999999999998</v>
      </c>
      <c r="C145">
        <v>2.1389999999999998</v>
      </c>
      <c r="D145">
        <v>2.1629999999999998</v>
      </c>
      <c r="E145">
        <v>2.1360000000000001</v>
      </c>
      <c r="F145" s="21">
        <v>1.2200000000000001E-2</v>
      </c>
    </row>
    <row r="146" spans="1:6" x14ac:dyDescent="0.35">
      <c r="A146" s="22" t="s">
        <v>423</v>
      </c>
      <c r="B146" s="51">
        <v>2.137</v>
      </c>
      <c r="C146">
        <v>2.141</v>
      </c>
      <c r="D146">
        <v>2.1440000000000001</v>
      </c>
      <c r="E146">
        <v>2.125</v>
      </c>
      <c r="F146" s="21">
        <v>-1.4E-3</v>
      </c>
    </row>
    <row r="147" spans="1:6" x14ac:dyDescent="0.35">
      <c r="A147" s="22">
        <v>44805</v>
      </c>
      <c r="B147" s="51">
        <v>2.14</v>
      </c>
      <c r="C147">
        <v>2.1459999999999999</v>
      </c>
      <c r="D147">
        <v>2.165</v>
      </c>
      <c r="E147">
        <v>2.13</v>
      </c>
      <c r="F147" s="21">
        <v>-1.6500000000000001E-2</v>
      </c>
    </row>
    <row r="148" spans="1:6" x14ac:dyDescent="0.35">
      <c r="A148" s="22">
        <v>44593</v>
      </c>
      <c r="B148" s="51">
        <v>2.1760000000000002</v>
      </c>
      <c r="C148">
        <v>2.194</v>
      </c>
      <c r="D148">
        <v>2.194</v>
      </c>
      <c r="E148">
        <v>2.1480000000000001</v>
      </c>
      <c r="F148" s="21">
        <v>3.6200000000000003E-2</v>
      </c>
    </row>
    <row r="149" spans="1:6" x14ac:dyDescent="0.35">
      <c r="A149" s="22" t="s">
        <v>426</v>
      </c>
      <c r="B149" s="51">
        <v>2.1</v>
      </c>
      <c r="C149">
        <v>2.093</v>
      </c>
      <c r="D149">
        <v>2.13</v>
      </c>
      <c r="E149">
        <v>2.093</v>
      </c>
      <c r="F149" s="21">
        <v>5.3E-3</v>
      </c>
    </row>
    <row r="150" spans="1:6" x14ac:dyDescent="0.35">
      <c r="A150" s="22" t="s">
        <v>428</v>
      </c>
      <c r="B150" s="51">
        <v>2.089</v>
      </c>
      <c r="C150">
        <v>2.0699999999999998</v>
      </c>
      <c r="D150">
        <v>2.1120000000000001</v>
      </c>
      <c r="E150">
        <v>2.0699999999999998</v>
      </c>
      <c r="F150" s="21">
        <v>-1.4E-3</v>
      </c>
    </row>
    <row r="151" spans="1:6" x14ac:dyDescent="0.35">
      <c r="A151" s="22">
        <v>44542</v>
      </c>
      <c r="B151" s="51">
        <v>2.0920000000000001</v>
      </c>
      <c r="C151">
        <v>2.0569999999999999</v>
      </c>
      <c r="D151">
        <v>2.0920000000000001</v>
      </c>
      <c r="E151">
        <v>2.0379999999999998</v>
      </c>
      <c r="F151" s="21">
        <v>7.7000000000000002E-3</v>
      </c>
    </row>
    <row r="152" spans="1:6" x14ac:dyDescent="0.35">
      <c r="A152" s="22">
        <v>44328</v>
      </c>
      <c r="B152" s="51">
        <v>2.0760000000000001</v>
      </c>
      <c r="C152">
        <v>2.0910000000000002</v>
      </c>
      <c r="D152">
        <v>2.0910000000000002</v>
      </c>
      <c r="E152">
        <v>2.0720000000000001</v>
      </c>
      <c r="F152" s="21">
        <v>-8.0999999999999996E-3</v>
      </c>
    </row>
    <row r="153" spans="1:6" x14ac:dyDescent="0.35">
      <c r="A153" s="22" t="s">
        <v>431</v>
      </c>
      <c r="B153" s="51">
        <v>2.093</v>
      </c>
      <c r="C153">
        <v>2.0649999999999999</v>
      </c>
      <c r="D153">
        <v>2.0960000000000001</v>
      </c>
      <c r="E153">
        <v>2.0649999999999999</v>
      </c>
      <c r="F153" s="21">
        <v>1.21E-2</v>
      </c>
    </row>
    <row r="154" spans="1:6" x14ac:dyDescent="0.35">
      <c r="A154" s="22" t="s">
        <v>433</v>
      </c>
      <c r="B154" s="51">
        <v>2.0680000000000001</v>
      </c>
      <c r="C154">
        <v>2.0619999999999998</v>
      </c>
      <c r="D154">
        <v>2.1440000000000001</v>
      </c>
      <c r="E154">
        <v>2.056</v>
      </c>
      <c r="F154" s="21">
        <v>9.2999999999999992E-3</v>
      </c>
    </row>
    <row r="155" spans="1:6" x14ac:dyDescent="0.35">
      <c r="A155" s="22" t="s">
        <v>435</v>
      </c>
      <c r="B155" s="51">
        <v>2.0489999999999999</v>
      </c>
      <c r="C155">
        <v>2.0750000000000002</v>
      </c>
      <c r="D155">
        <v>2.0750000000000002</v>
      </c>
      <c r="E155">
        <v>2.0489999999999999</v>
      </c>
      <c r="F155" s="21">
        <v>-2.06E-2</v>
      </c>
    </row>
    <row r="156" spans="1:6" x14ac:dyDescent="0.35">
      <c r="A156" s="22">
        <v>44388</v>
      </c>
      <c r="B156" s="51">
        <v>2.0920000000000001</v>
      </c>
      <c r="C156">
        <v>2.0990000000000002</v>
      </c>
      <c r="D156">
        <v>2.1070000000000002</v>
      </c>
      <c r="E156">
        <v>2.0920000000000001</v>
      </c>
      <c r="F156" s="21">
        <v>-1.9699999999999999E-2</v>
      </c>
    </row>
    <row r="157" spans="1:6" x14ac:dyDescent="0.35">
      <c r="A157" s="22" t="s">
        <v>438</v>
      </c>
      <c r="B157" s="51">
        <v>2.1339999999999999</v>
      </c>
      <c r="C157">
        <v>2.1589999999999998</v>
      </c>
      <c r="D157">
        <v>2.1589999999999998</v>
      </c>
      <c r="E157">
        <v>2.1339999999999999</v>
      </c>
      <c r="F157" s="21">
        <v>8.5000000000000006E-3</v>
      </c>
    </row>
    <row r="158" spans="1:6" x14ac:dyDescent="0.35">
      <c r="A158" s="22" t="s">
        <v>440</v>
      </c>
      <c r="B158" s="51">
        <v>2.1160000000000001</v>
      </c>
      <c r="C158">
        <v>2.1080000000000001</v>
      </c>
      <c r="D158">
        <v>2.1280000000000001</v>
      </c>
      <c r="E158">
        <v>2.1080000000000001</v>
      </c>
      <c r="F158" s="21">
        <v>8.9999999999999998E-4</v>
      </c>
    </row>
    <row r="159" spans="1:6" x14ac:dyDescent="0.35">
      <c r="A159" s="22" t="s">
        <v>441</v>
      </c>
      <c r="B159" s="51">
        <v>2.1139999999999999</v>
      </c>
      <c r="C159">
        <v>2.125</v>
      </c>
      <c r="D159">
        <v>2.14</v>
      </c>
      <c r="E159">
        <v>2.1139999999999999</v>
      </c>
      <c r="F159" s="21">
        <v>-4.1999999999999997E-3</v>
      </c>
    </row>
    <row r="160" spans="1:6" x14ac:dyDescent="0.35">
      <c r="A160" s="22">
        <v>44479</v>
      </c>
      <c r="B160" s="51">
        <v>2.1230000000000002</v>
      </c>
      <c r="C160">
        <v>2.1349999999999998</v>
      </c>
      <c r="D160">
        <v>2.1349999999999998</v>
      </c>
      <c r="E160">
        <v>2.1230000000000002</v>
      </c>
      <c r="F160" s="21">
        <v>-4.1999999999999997E-3</v>
      </c>
    </row>
    <row r="161" spans="1:6" x14ac:dyDescent="0.35">
      <c r="A161" s="22">
        <v>44265</v>
      </c>
      <c r="B161" s="51">
        <v>2.1320000000000001</v>
      </c>
      <c r="C161">
        <v>2.125</v>
      </c>
      <c r="D161">
        <v>2.1320000000000001</v>
      </c>
      <c r="E161">
        <v>2.11</v>
      </c>
      <c r="F161" s="21">
        <v>5.1999999999999998E-3</v>
      </c>
    </row>
    <row r="162" spans="1:6" x14ac:dyDescent="0.35">
      <c r="A162" s="22" t="s">
        <v>443</v>
      </c>
      <c r="B162" s="51">
        <v>2.121</v>
      </c>
      <c r="C162">
        <v>2.1429999999999998</v>
      </c>
      <c r="D162">
        <v>2.145</v>
      </c>
      <c r="E162">
        <v>2.11</v>
      </c>
      <c r="F162" s="21">
        <v>1.4E-3</v>
      </c>
    </row>
    <row r="163" spans="1:6" x14ac:dyDescent="0.35">
      <c r="A163" s="22" t="s">
        <v>445</v>
      </c>
      <c r="B163" s="51">
        <v>2.1179999999999999</v>
      </c>
      <c r="C163">
        <v>2.0870000000000002</v>
      </c>
      <c r="D163">
        <v>2.1190000000000002</v>
      </c>
      <c r="E163">
        <v>2.0870000000000002</v>
      </c>
      <c r="F163" s="21">
        <v>2.2700000000000001E-2</v>
      </c>
    </row>
    <row r="164" spans="1:6" x14ac:dyDescent="0.35">
      <c r="A164" s="22">
        <v>44539</v>
      </c>
      <c r="B164" s="51">
        <v>2.0710000000000002</v>
      </c>
      <c r="C164">
        <v>2.0510000000000002</v>
      </c>
      <c r="D164">
        <v>2.093</v>
      </c>
      <c r="E164">
        <v>2.0430000000000001</v>
      </c>
      <c r="F164" s="21">
        <v>-2.8999999999999998E-3</v>
      </c>
    </row>
    <row r="165" spans="1:6" x14ac:dyDescent="0.35">
      <c r="A165" s="22">
        <v>44325</v>
      </c>
      <c r="B165" s="51">
        <v>2.077</v>
      </c>
      <c r="C165">
        <v>2.0910000000000002</v>
      </c>
      <c r="D165">
        <v>2.1110000000000002</v>
      </c>
      <c r="E165">
        <v>2.0590000000000002</v>
      </c>
      <c r="F165" s="21">
        <v>3.3999999999999998E-3</v>
      </c>
    </row>
    <row r="166" spans="1:6" x14ac:dyDescent="0.35">
      <c r="A166" s="22" t="s">
        <v>448</v>
      </c>
      <c r="B166" s="51">
        <v>2.0699999999999998</v>
      </c>
      <c r="C166">
        <v>2.0779999999999998</v>
      </c>
      <c r="D166">
        <v>2.0950000000000002</v>
      </c>
      <c r="E166">
        <v>2.0699999999999998</v>
      </c>
      <c r="F166" s="21">
        <v>-1.4800000000000001E-2</v>
      </c>
    </row>
    <row r="167" spans="1:6" x14ac:dyDescent="0.35">
      <c r="A167" s="22" t="s">
        <v>450</v>
      </c>
      <c r="B167" s="51">
        <v>2.101</v>
      </c>
      <c r="C167">
        <v>2.0720000000000001</v>
      </c>
      <c r="D167">
        <v>2.101</v>
      </c>
      <c r="E167">
        <v>2.0720000000000001</v>
      </c>
      <c r="F167" s="21">
        <v>1.55E-2</v>
      </c>
    </row>
    <row r="168" spans="1:6" x14ac:dyDescent="0.35">
      <c r="A168" s="22" t="s">
        <v>452</v>
      </c>
      <c r="B168" s="51">
        <v>2.069</v>
      </c>
      <c r="C168">
        <v>2.1160000000000001</v>
      </c>
      <c r="D168">
        <v>2.1160000000000001</v>
      </c>
      <c r="E168">
        <v>2.069</v>
      </c>
      <c r="F168" s="21">
        <v>-4.2099999999999999E-2</v>
      </c>
    </row>
    <row r="169" spans="1:6" x14ac:dyDescent="0.35">
      <c r="A169" s="22">
        <v>44416</v>
      </c>
      <c r="B169" s="51">
        <v>2.16</v>
      </c>
      <c r="C169">
        <v>2.1419999999999999</v>
      </c>
      <c r="D169">
        <v>2.16</v>
      </c>
      <c r="E169">
        <v>2.1059999999999999</v>
      </c>
      <c r="F169" s="21">
        <v>1.9800000000000002E-2</v>
      </c>
    </row>
    <row r="170" spans="1:6" x14ac:dyDescent="0.35">
      <c r="A170" s="22">
        <v>44204</v>
      </c>
      <c r="B170" s="51">
        <v>2.1179999999999999</v>
      </c>
      <c r="C170">
        <v>2.2320000000000002</v>
      </c>
      <c r="D170">
        <v>2.2320000000000002</v>
      </c>
      <c r="E170">
        <v>2.105</v>
      </c>
      <c r="F170" s="21">
        <v>-1.6299999999999999E-2</v>
      </c>
    </row>
    <row r="171" spans="1:6" x14ac:dyDescent="0.35">
      <c r="A171" s="22" t="s">
        <v>455</v>
      </c>
      <c r="B171" s="51">
        <v>2.153</v>
      </c>
      <c r="C171">
        <v>2.1139999999999999</v>
      </c>
      <c r="D171">
        <v>2.153</v>
      </c>
      <c r="E171">
        <v>2.1139999999999999</v>
      </c>
      <c r="F171" s="21">
        <v>1.2200000000000001E-2</v>
      </c>
    </row>
    <row r="172" spans="1:6" x14ac:dyDescent="0.35">
      <c r="A172" s="22" t="s">
        <v>457</v>
      </c>
      <c r="B172" s="51">
        <v>2.1269999999999998</v>
      </c>
      <c r="C172">
        <v>2.133</v>
      </c>
      <c r="D172">
        <v>2.133</v>
      </c>
      <c r="E172">
        <v>2.1190000000000002</v>
      </c>
      <c r="F172" s="21">
        <v>1.4E-3</v>
      </c>
    </row>
    <row r="173" spans="1:6" x14ac:dyDescent="0.35">
      <c r="A173" s="22">
        <v>44507</v>
      </c>
      <c r="B173" s="51">
        <v>2.1240000000000001</v>
      </c>
      <c r="C173">
        <v>2.1509999999999998</v>
      </c>
      <c r="D173">
        <v>2.1520000000000001</v>
      </c>
      <c r="E173">
        <v>2.101</v>
      </c>
      <c r="F173" s="21">
        <v>-1.4E-3</v>
      </c>
    </row>
    <row r="174" spans="1:6" x14ac:dyDescent="0.35">
      <c r="A174" s="22">
        <v>44293</v>
      </c>
      <c r="B174" s="51">
        <v>2.1269999999999998</v>
      </c>
      <c r="C174">
        <v>2.1339999999999999</v>
      </c>
      <c r="D174">
        <v>2.1539999999999999</v>
      </c>
      <c r="E174">
        <v>2.1269999999999998</v>
      </c>
      <c r="F174" s="21">
        <v>-1.0200000000000001E-2</v>
      </c>
    </row>
    <row r="175" spans="1:6" x14ac:dyDescent="0.35">
      <c r="A175" s="22" t="s">
        <v>460</v>
      </c>
      <c r="B175" s="51">
        <v>2.149</v>
      </c>
      <c r="C175">
        <v>2.242</v>
      </c>
      <c r="D175">
        <v>2.242</v>
      </c>
      <c r="E175">
        <v>2.149</v>
      </c>
      <c r="F175" s="21">
        <v>-3.3700000000000001E-2</v>
      </c>
    </row>
    <row r="176" spans="1:6" x14ac:dyDescent="0.35">
      <c r="A176" s="22" t="s">
        <v>462</v>
      </c>
      <c r="B176" s="51">
        <v>2.2240000000000002</v>
      </c>
      <c r="C176">
        <v>2.1560000000000001</v>
      </c>
      <c r="D176">
        <v>2.2240000000000002</v>
      </c>
      <c r="E176">
        <v>2.1560000000000001</v>
      </c>
      <c r="F176" s="21">
        <v>4.5600000000000002E-2</v>
      </c>
    </row>
    <row r="177" spans="1:6" x14ac:dyDescent="0.35">
      <c r="A177" s="22" t="s">
        <v>463</v>
      </c>
      <c r="B177" s="51">
        <v>2.1269999999999998</v>
      </c>
      <c r="C177">
        <v>2.1800000000000002</v>
      </c>
      <c r="D177">
        <v>2.21</v>
      </c>
      <c r="E177">
        <v>2.1269999999999998</v>
      </c>
      <c r="F177" s="21">
        <v>-2.4799999999999999E-2</v>
      </c>
    </row>
    <row r="178" spans="1:6" x14ac:dyDescent="0.35">
      <c r="A178" s="22">
        <v>44353</v>
      </c>
      <c r="B178" s="51">
        <v>2.181</v>
      </c>
      <c r="C178">
        <v>2.242</v>
      </c>
      <c r="D178">
        <v>2.242</v>
      </c>
      <c r="E178">
        <v>2.181</v>
      </c>
      <c r="F178" s="21">
        <v>-2.5899999999999999E-2</v>
      </c>
    </row>
    <row r="179" spans="1:6" x14ac:dyDescent="0.35">
      <c r="A179" s="22" t="s">
        <v>465</v>
      </c>
      <c r="B179" s="51">
        <v>2.2389999999999999</v>
      </c>
      <c r="C179">
        <v>2.2970000000000002</v>
      </c>
      <c r="D179">
        <v>2.2970000000000002</v>
      </c>
      <c r="E179">
        <v>2.2120000000000002</v>
      </c>
      <c r="F179" s="21">
        <v>-2.5700000000000001E-2</v>
      </c>
    </row>
    <row r="180" spans="1:6" x14ac:dyDescent="0.35">
      <c r="A180" s="22" t="s">
        <v>466</v>
      </c>
      <c r="B180" s="51">
        <v>2.298</v>
      </c>
      <c r="C180">
        <v>2.3239999999999998</v>
      </c>
      <c r="D180">
        <v>2.3239999999999998</v>
      </c>
      <c r="E180">
        <v>2.298</v>
      </c>
      <c r="F180" s="21">
        <v>-2.0500000000000001E-2</v>
      </c>
    </row>
    <row r="181" spans="1:6" x14ac:dyDescent="0.35">
      <c r="A181" s="22" t="s">
        <v>468</v>
      </c>
      <c r="B181" s="51">
        <v>2.3460000000000001</v>
      </c>
      <c r="C181">
        <v>2.3690000000000002</v>
      </c>
      <c r="D181">
        <v>2.3690000000000002</v>
      </c>
      <c r="E181">
        <v>2.3450000000000002</v>
      </c>
      <c r="F181" s="21">
        <v>-1.3899999999999999E-2</v>
      </c>
    </row>
    <row r="182" spans="1:6" x14ac:dyDescent="0.35">
      <c r="A182" s="22">
        <v>44444</v>
      </c>
      <c r="B182" s="51">
        <v>2.379</v>
      </c>
      <c r="C182">
        <v>2.3929999999999998</v>
      </c>
      <c r="D182">
        <v>2.3929999999999998</v>
      </c>
      <c r="E182">
        <v>2.3719999999999999</v>
      </c>
      <c r="F182" s="21">
        <v>-8.8000000000000005E-3</v>
      </c>
    </row>
    <row r="183" spans="1:6" x14ac:dyDescent="0.35">
      <c r="A183" s="22">
        <v>44232</v>
      </c>
      <c r="B183" s="51">
        <v>2.4</v>
      </c>
      <c r="C183">
        <v>2.4</v>
      </c>
      <c r="D183">
        <v>2.4</v>
      </c>
      <c r="E183">
        <v>2.3740000000000001</v>
      </c>
      <c r="F183" s="21">
        <v>3.7600000000000001E-2</v>
      </c>
    </row>
    <row r="184" spans="1:6" x14ac:dyDescent="0.35">
      <c r="A184" s="22" t="s">
        <v>472</v>
      </c>
      <c r="B184" s="51">
        <v>2.3130000000000002</v>
      </c>
      <c r="C184">
        <v>2.2810000000000001</v>
      </c>
      <c r="D184">
        <v>2.3130000000000002</v>
      </c>
      <c r="E184">
        <v>2.2810000000000001</v>
      </c>
      <c r="F184" s="21">
        <v>7.7999999999999996E-3</v>
      </c>
    </row>
    <row r="185" spans="1:6" x14ac:dyDescent="0.35">
      <c r="A185" s="22" t="s">
        <v>473</v>
      </c>
      <c r="B185" s="51">
        <v>2.2949999999999999</v>
      </c>
      <c r="C185">
        <v>2.2970000000000002</v>
      </c>
      <c r="D185">
        <v>2.3370000000000002</v>
      </c>
      <c r="E185">
        <v>2.2429999999999999</v>
      </c>
      <c r="F185" s="21">
        <v>3.5000000000000001E-3</v>
      </c>
    </row>
    <row r="186" spans="1:6" x14ac:dyDescent="0.35">
      <c r="A186" s="22">
        <v>44504</v>
      </c>
      <c r="B186" s="51">
        <v>2.2869999999999999</v>
      </c>
      <c r="C186">
        <v>2.3860000000000001</v>
      </c>
      <c r="D186">
        <v>2.3860000000000001</v>
      </c>
      <c r="E186">
        <v>2.2869999999999999</v>
      </c>
      <c r="F186" s="21">
        <v>-3.6200000000000003E-2</v>
      </c>
    </row>
    <row r="187" spans="1:6" x14ac:dyDescent="0.35">
      <c r="A187" s="22">
        <v>44290</v>
      </c>
      <c r="B187" s="51">
        <v>2.3730000000000002</v>
      </c>
      <c r="C187">
        <v>2.3660000000000001</v>
      </c>
      <c r="D187">
        <v>2.3849999999999998</v>
      </c>
      <c r="E187">
        <v>2.363</v>
      </c>
      <c r="F187" s="21">
        <v>4.7000000000000002E-3</v>
      </c>
    </row>
    <row r="188" spans="1:6" x14ac:dyDescent="0.35">
      <c r="A188" s="22" t="s">
        <v>476</v>
      </c>
      <c r="B188" s="51">
        <v>2.3620000000000001</v>
      </c>
      <c r="C188">
        <v>2.3820000000000001</v>
      </c>
      <c r="D188">
        <v>2.3860000000000001</v>
      </c>
      <c r="E188">
        <v>2.351</v>
      </c>
      <c r="F188" s="21">
        <v>1.2999999999999999E-3</v>
      </c>
    </row>
    <row r="189" spans="1:6" x14ac:dyDescent="0.35">
      <c r="A189" s="22" t="s">
        <v>477</v>
      </c>
      <c r="B189" s="51">
        <v>2.359</v>
      </c>
      <c r="C189">
        <v>2.4079999999999999</v>
      </c>
      <c r="D189">
        <v>2.4079999999999999</v>
      </c>
      <c r="E189">
        <v>2.3460000000000001</v>
      </c>
      <c r="F189" s="21">
        <v>-2.9600000000000001E-2</v>
      </c>
    </row>
    <row r="190" spans="1:6" x14ac:dyDescent="0.35">
      <c r="A190" s="22" t="s">
        <v>478</v>
      </c>
      <c r="B190" s="51">
        <v>2.431</v>
      </c>
      <c r="C190">
        <v>2.3620000000000001</v>
      </c>
      <c r="D190">
        <v>2.431</v>
      </c>
      <c r="E190">
        <v>2.3620000000000001</v>
      </c>
      <c r="F190" s="21">
        <v>3.0499999999999999E-2</v>
      </c>
    </row>
    <row r="191" spans="1:6" x14ac:dyDescent="0.35">
      <c r="A191" s="22">
        <v>44380</v>
      </c>
      <c r="B191" s="51">
        <v>2.359</v>
      </c>
      <c r="C191">
        <v>2.3650000000000002</v>
      </c>
      <c r="D191">
        <v>2.3929999999999998</v>
      </c>
      <c r="E191">
        <v>2.3319999999999999</v>
      </c>
      <c r="F191" s="21">
        <v>6.7999999999999996E-3</v>
      </c>
    </row>
    <row r="192" spans="1:6" x14ac:dyDescent="0.35">
      <c r="A192" s="22" t="s">
        <v>480</v>
      </c>
      <c r="B192" s="51">
        <v>2.343</v>
      </c>
      <c r="C192">
        <v>2.335</v>
      </c>
      <c r="D192">
        <v>2.383</v>
      </c>
      <c r="E192">
        <v>2.2949999999999999</v>
      </c>
      <c r="F192" s="21">
        <v>-5.1000000000000004E-3</v>
      </c>
    </row>
    <row r="193" spans="1:6" x14ac:dyDescent="0.35">
      <c r="A193" s="22" t="s">
        <v>482</v>
      </c>
      <c r="B193" s="51">
        <v>2.355</v>
      </c>
      <c r="C193">
        <v>2.2429999999999999</v>
      </c>
      <c r="D193">
        <v>2.375</v>
      </c>
      <c r="E193">
        <v>2.2429999999999999</v>
      </c>
      <c r="F193" s="21">
        <v>6.0299999999999999E-2</v>
      </c>
    </row>
    <row r="194" spans="1:6" x14ac:dyDescent="0.35">
      <c r="A194" s="22" t="s">
        <v>484</v>
      </c>
      <c r="B194" s="51">
        <v>2.2210000000000001</v>
      </c>
      <c r="C194">
        <v>2.2389999999999999</v>
      </c>
      <c r="D194">
        <v>2.254</v>
      </c>
      <c r="E194">
        <v>2.2080000000000002</v>
      </c>
      <c r="F194" s="21">
        <v>-2.29E-2</v>
      </c>
    </row>
    <row r="195" spans="1:6" x14ac:dyDescent="0.35">
      <c r="A195" s="22">
        <v>44379</v>
      </c>
      <c r="B195" s="51">
        <v>2.2730000000000001</v>
      </c>
      <c r="C195">
        <v>2.2679999999999998</v>
      </c>
      <c r="D195">
        <v>2.2730000000000001</v>
      </c>
      <c r="E195">
        <v>2.2679999999999998</v>
      </c>
      <c r="F195" s="21">
        <v>1.1599999999999999E-2</v>
      </c>
    </row>
    <row r="196" spans="1:6" x14ac:dyDescent="0.35">
      <c r="A196" s="22" t="s">
        <v>487</v>
      </c>
      <c r="B196" s="51">
        <v>2.2469999999999999</v>
      </c>
      <c r="C196">
        <v>2.2789999999999999</v>
      </c>
      <c r="D196">
        <v>2.302</v>
      </c>
      <c r="E196">
        <v>2.2469999999999999</v>
      </c>
      <c r="F196" s="21">
        <v>-2.47E-2</v>
      </c>
    </row>
    <row r="197" spans="1:6" x14ac:dyDescent="0.35">
      <c r="A197" s="22" t="s">
        <v>489</v>
      </c>
      <c r="B197" s="51">
        <v>2.3039999999999998</v>
      </c>
      <c r="C197">
        <v>2.2069999999999999</v>
      </c>
      <c r="D197">
        <v>2.3149999999999999</v>
      </c>
      <c r="E197">
        <v>2.2069999999999999</v>
      </c>
      <c r="F197" s="21">
        <v>5.2999999999999999E-2</v>
      </c>
    </row>
    <row r="198" spans="1:6" x14ac:dyDescent="0.35">
      <c r="A198" s="22" t="s">
        <v>491</v>
      </c>
      <c r="B198" s="51">
        <v>2.1880000000000002</v>
      </c>
      <c r="C198">
        <v>2.1970000000000001</v>
      </c>
      <c r="D198">
        <v>2.2120000000000002</v>
      </c>
      <c r="E198">
        <v>2.06</v>
      </c>
      <c r="F198" s="21">
        <v>-8.6E-3</v>
      </c>
    </row>
    <row r="199" spans="1:6" x14ac:dyDescent="0.35">
      <c r="A199" s="22">
        <v>44470</v>
      </c>
      <c r="B199" s="51">
        <v>2.2069999999999999</v>
      </c>
      <c r="C199">
        <v>2.4119999999999999</v>
      </c>
      <c r="D199">
        <v>2.4119999999999999</v>
      </c>
      <c r="E199">
        <v>2.2069999999999999</v>
      </c>
      <c r="F199" s="21">
        <v>-9.4E-2</v>
      </c>
    </row>
    <row r="200" spans="1:6" x14ac:dyDescent="0.35">
      <c r="A200" s="22">
        <v>44256</v>
      </c>
      <c r="B200" s="51">
        <v>2.4359999999999999</v>
      </c>
      <c r="C200">
        <v>2.5409999999999999</v>
      </c>
      <c r="D200">
        <v>2.5409999999999999</v>
      </c>
      <c r="E200">
        <v>2.415</v>
      </c>
      <c r="F200" s="21">
        <v>-6.1000000000000004E-3</v>
      </c>
    </row>
    <row r="201" spans="1:6" x14ac:dyDescent="0.35">
      <c r="A201" s="22" t="s">
        <v>495</v>
      </c>
      <c r="B201" s="51">
        <v>2.4510000000000001</v>
      </c>
      <c r="C201">
        <v>2.3069999999999999</v>
      </c>
      <c r="D201">
        <v>2.4510000000000001</v>
      </c>
      <c r="E201">
        <v>2.3069999999999999</v>
      </c>
      <c r="F201" s="21">
        <v>6.2399999999999997E-2</v>
      </c>
    </row>
    <row r="202" spans="1:6" x14ac:dyDescent="0.35">
      <c r="A202" s="22" t="s">
        <v>497</v>
      </c>
      <c r="B202" s="51">
        <v>2.3069999999999999</v>
      </c>
      <c r="C202">
        <v>2.33</v>
      </c>
      <c r="D202">
        <v>2.3370000000000002</v>
      </c>
      <c r="E202">
        <v>2.2839999999999998</v>
      </c>
      <c r="F202" s="21">
        <v>-9.9000000000000008E-3</v>
      </c>
    </row>
    <row r="203" spans="1:6" x14ac:dyDescent="0.35">
      <c r="A203" s="22" t="s">
        <v>498</v>
      </c>
      <c r="B203" s="51">
        <v>2.33</v>
      </c>
      <c r="C203">
        <v>2.371</v>
      </c>
      <c r="D203">
        <v>2.371</v>
      </c>
      <c r="E203">
        <v>2.2959999999999998</v>
      </c>
      <c r="F203" s="21">
        <v>-1.7299999999999999E-2</v>
      </c>
    </row>
    <row r="204" spans="1:6" x14ac:dyDescent="0.35">
      <c r="A204" s="22">
        <v>43994</v>
      </c>
      <c r="B204" s="51">
        <v>2.371</v>
      </c>
      <c r="C204">
        <v>2.379</v>
      </c>
      <c r="D204">
        <v>2.3919999999999999</v>
      </c>
      <c r="E204">
        <v>2.339</v>
      </c>
      <c r="F204" s="21">
        <v>-3.3999999999999998E-3</v>
      </c>
    </row>
    <row r="205" spans="1:6" x14ac:dyDescent="0.35">
      <c r="A205" s="22" t="s">
        <v>499</v>
      </c>
      <c r="B205" s="51">
        <v>2.379</v>
      </c>
      <c r="C205">
        <v>2.4340000000000002</v>
      </c>
      <c r="D205">
        <v>2.4340000000000002</v>
      </c>
      <c r="E205">
        <v>2.379</v>
      </c>
      <c r="F205" s="21">
        <v>-2.2599999999999999E-2</v>
      </c>
    </row>
    <row r="206" spans="1:6" x14ac:dyDescent="0.35">
      <c r="A206" s="22" t="s">
        <v>500</v>
      </c>
      <c r="B206" s="51">
        <v>2.4340000000000002</v>
      </c>
      <c r="C206">
        <v>2.536</v>
      </c>
      <c r="D206">
        <v>2.536</v>
      </c>
      <c r="E206">
        <v>2.38</v>
      </c>
      <c r="F206" s="21">
        <v>-4.02E-2</v>
      </c>
    </row>
    <row r="207" spans="1:6" x14ac:dyDescent="0.35">
      <c r="A207" s="22" t="s">
        <v>502</v>
      </c>
      <c r="B207" s="51">
        <v>2.536</v>
      </c>
      <c r="C207">
        <v>2.5760000000000001</v>
      </c>
      <c r="D207">
        <v>2.5760000000000001</v>
      </c>
      <c r="E207">
        <v>2.536</v>
      </c>
      <c r="F207" s="21">
        <v>-1.55E-2</v>
      </c>
    </row>
    <row r="208" spans="1:6" x14ac:dyDescent="0.35">
      <c r="A208" s="22">
        <v>44054</v>
      </c>
      <c r="B208" s="51">
        <v>2.5760000000000001</v>
      </c>
      <c r="C208">
        <v>2.589</v>
      </c>
      <c r="D208">
        <v>2.589</v>
      </c>
      <c r="E208">
        <v>2.5539999999999998</v>
      </c>
      <c r="F208" s="21">
        <v>4.0000000000000002E-4</v>
      </c>
    </row>
    <row r="209" spans="1:6" x14ac:dyDescent="0.35">
      <c r="A209" s="22">
        <v>43841</v>
      </c>
      <c r="B209" s="51">
        <v>2.5750000000000002</v>
      </c>
      <c r="C209">
        <v>2.61</v>
      </c>
      <c r="D209">
        <v>2.61</v>
      </c>
      <c r="E209">
        <v>2.5550000000000002</v>
      </c>
      <c r="F209" s="21">
        <v>4.0000000000000002E-4</v>
      </c>
    </row>
    <row r="210" spans="1:6" x14ac:dyDescent="0.35">
      <c r="A210" s="22" t="s">
        <v>506</v>
      </c>
      <c r="B210" s="51">
        <v>2.5739999999999998</v>
      </c>
      <c r="C210">
        <v>2.552</v>
      </c>
      <c r="D210">
        <v>2.6040000000000001</v>
      </c>
      <c r="E210">
        <v>2.5449999999999999</v>
      </c>
      <c r="F210" s="21">
        <v>8.2000000000000007E-3</v>
      </c>
    </row>
    <row r="211" spans="1:6" x14ac:dyDescent="0.35">
      <c r="A211" s="22" t="s">
        <v>508</v>
      </c>
      <c r="B211" s="51">
        <v>2.5529999999999999</v>
      </c>
      <c r="C211">
        <v>2.5489999999999999</v>
      </c>
      <c r="D211">
        <v>2.5670000000000002</v>
      </c>
      <c r="E211">
        <v>2.5390000000000001</v>
      </c>
      <c r="F211" s="21">
        <v>1.6000000000000001E-3</v>
      </c>
    </row>
    <row r="212" spans="1:6" x14ac:dyDescent="0.35">
      <c r="A212" s="22">
        <v>44145</v>
      </c>
      <c r="B212" s="51">
        <v>2.5489999999999999</v>
      </c>
      <c r="C212">
        <v>2.5390000000000001</v>
      </c>
      <c r="D212">
        <v>2.5489999999999999</v>
      </c>
      <c r="E212">
        <v>2.528</v>
      </c>
      <c r="F212" s="21">
        <v>7.9000000000000008E-3</v>
      </c>
    </row>
    <row r="213" spans="1:6" x14ac:dyDescent="0.35">
      <c r="A213" s="22">
        <v>43931</v>
      </c>
      <c r="B213" s="51">
        <v>2.5289999999999999</v>
      </c>
      <c r="C213">
        <v>2.4569999999999999</v>
      </c>
      <c r="D213">
        <v>2.5289999999999999</v>
      </c>
      <c r="E213">
        <v>2.4569999999999999</v>
      </c>
      <c r="F213" s="21">
        <v>2.8899999999999999E-2</v>
      </c>
    </row>
    <row r="214" spans="1:6" x14ac:dyDescent="0.35">
      <c r="A214" s="22" t="s">
        <v>512</v>
      </c>
      <c r="B214" s="51">
        <v>2.4580000000000002</v>
      </c>
      <c r="C214">
        <v>2.77</v>
      </c>
      <c r="D214">
        <v>2.782</v>
      </c>
      <c r="E214">
        <v>2.4580000000000002</v>
      </c>
      <c r="F214" s="21">
        <v>-0.113</v>
      </c>
    </row>
    <row r="215" spans="1:6" x14ac:dyDescent="0.35">
      <c r="A215" s="22" t="s">
        <v>514</v>
      </c>
      <c r="B215" s="51">
        <v>2.7709999999999999</v>
      </c>
      <c r="C215">
        <v>2.802</v>
      </c>
      <c r="D215">
        <v>2.802</v>
      </c>
      <c r="E215">
        <v>2.7709999999999999</v>
      </c>
      <c r="F215" s="21">
        <v>-1.14E-2</v>
      </c>
    </row>
    <row r="216" spans="1:6" x14ac:dyDescent="0.35">
      <c r="A216" s="22" t="s">
        <v>516</v>
      </c>
      <c r="B216" s="51">
        <v>2.8029999999999999</v>
      </c>
      <c r="C216">
        <v>2.8769999999999998</v>
      </c>
      <c r="D216">
        <v>2.8769999999999998</v>
      </c>
      <c r="E216">
        <v>2.8029999999999999</v>
      </c>
      <c r="F216" s="21">
        <v>-2.6100000000000002E-2</v>
      </c>
    </row>
    <row r="217" spans="1:6" x14ac:dyDescent="0.35">
      <c r="A217" s="22">
        <v>43991</v>
      </c>
      <c r="B217" s="51">
        <v>2.8780000000000001</v>
      </c>
      <c r="C217">
        <v>2.9129999999999998</v>
      </c>
      <c r="D217">
        <v>2.9220000000000002</v>
      </c>
      <c r="E217">
        <v>2.8780000000000001</v>
      </c>
      <c r="F217" s="21">
        <v>-1.24E-2</v>
      </c>
    </row>
    <row r="218" spans="1:6" x14ac:dyDescent="0.35">
      <c r="A218" s="22" t="s">
        <v>519</v>
      </c>
      <c r="B218" s="51">
        <v>2.9140000000000001</v>
      </c>
      <c r="C218">
        <v>2.8809999999999998</v>
      </c>
      <c r="D218">
        <v>2.9220000000000002</v>
      </c>
      <c r="E218">
        <v>2.8730000000000002</v>
      </c>
      <c r="F218" s="21">
        <v>1.11E-2</v>
      </c>
    </row>
    <row r="219" spans="1:6" x14ac:dyDescent="0.35">
      <c r="A219" s="22" t="s">
        <v>521</v>
      </c>
      <c r="B219" s="51">
        <v>2.8820000000000001</v>
      </c>
      <c r="C219">
        <v>2.8849999999999998</v>
      </c>
      <c r="D219">
        <v>2.9</v>
      </c>
      <c r="E219">
        <v>2.8820000000000001</v>
      </c>
      <c r="F219" s="21">
        <v>-1.4E-3</v>
      </c>
    </row>
    <row r="220" spans="1:6" x14ac:dyDescent="0.35">
      <c r="A220" s="22" t="s">
        <v>523</v>
      </c>
      <c r="B220" s="51">
        <v>2.8860000000000001</v>
      </c>
      <c r="C220">
        <v>2.8879999999999999</v>
      </c>
      <c r="D220">
        <v>2.9020000000000001</v>
      </c>
      <c r="E220">
        <v>2.8860000000000001</v>
      </c>
      <c r="F220" s="21">
        <v>-1E-3</v>
      </c>
    </row>
    <row r="221" spans="1:6" x14ac:dyDescent="0.35">
      <c r="A221" s="22">
        <v>44082</v>
      </c>
      <c r="B221" s="51">
        <v>2.8889999999999998</v>
      </c>
      <c r="C221">
        <v>2.8849999999999998</v>
      </c>
      <c r="D221">
        <v>2.8969999999999998</v>
      </c>
      <c r="E221">
        <v>2.8660000000000001</v>
      </c>
      <c r="F221" s="21">
        <v>1.4E-3</v>
      </c>
    </row>
    <row r="222" spans="1:6" x14ac:dyDescent="0.35">
      <c r="A222" s="22">
        <v>43869</v>
      </c>
      <c r="B222" s="51">
        <v>2.8849999999999998</v>
      </c>
      <c r="C222">
        <v>2.9649999999999999</v>
      </c>
      <c r="D222">
        <v>2.97</v>
      </c>
      <c r="E222">
        <v>2.859</v>
      </c>
      <c r="F222" s="21">
        <v>-2.7300000000000001E-2</v>
      </c>
    </row>
    <row r="223" spans="1:6" x14ac:dyDescent="0.35">
      <c r="A223" s="22" t="s">
        <v>526</v>
      </c>
      <c r="B223" s="51">
        <v>2.9660000000000002</v>
      </c>
      <c r="C223">
        <v>2.8860000000000001</v>
      </c>
      <c r="D223">
        <v>3.0569999999999999</v>
      </c>
      <c r="E223">
        <v>2.8860000000000001</v>
      </c>
      <c r="F223" s="21">
        <v>2.7699999999999999E-2</v>
      </c>
    </row>
    <row r="224" spans="1:6" x14ac:dyDescent="0.35">
      <c r="A224" s="22" t="s">
        <v>528</v>
      </c>
      <c r="B224" s="51">
        <v>2.8860000000000001</v>
      </c>
      <c r="C224">
        <v>2.88</v>
      </c>
      <c r="D224">
        <v>2.9089999999999998</v>
      </c>
      <c r="E224">
        <v>2.867</v>
      </c>
      <c r="F224" s="21">
        <v>1.6999999999999999E-3</v>
      </c>
    </row>
    <row r="225" spans="1:6" x14ac:dyDescent="0.35">
      <c r="A225" s="22">
        <v>44172</v>
      </c>
      <c r="B225" s="51">
        <v>2.8809999999999998</v>
      </c>
      <c r="C225">
        <v>2.9180000000000001</v>
      </c>
      <c r="D225">
        <v>2.9180000000000001</v>
      </c>
      <c r="E225">
        <v>2.8290000000000002</v>
      </c>
      <c r="F225" s="21">
        <v>-1.2999999999999999E-2</v>
      </c>
    </row>
    <row r="226" spans="1:6" x14ac:dyDescent="0.35">
      <c r="A226" s="22">
        <v>43958</v>
      </c>
      <c r="B226" s="51">
        <v>2.919</v>
      </c>
      <c r="C226">
        <v>3.0059999999999998</v>
      </c>
      <c r="D226">
        <v>3.0059999999999998</v>
      </c>
      <c r="E226">
        <v>2.9180000000000001</v>
      </c>
      <c r="F226" s="21">
        <v>-2.93E-2</v>
      </c>
    </row>
    <row r="227" spans="1:6" x14ac:dyDescent="0.35">
      <c r="A227" s="22" t="s">
        <v>531</v>
      </c>
      <c r="B227" s="51">
        <v>3.0070000000000001</v>
      </c>
      <c r="C227">
        <v>3.0259999999999998</v>
      </c>
      <c r="D227">
        <v>3.0430000000000001</v>
      </c>
      <c r="E227">
        <v>2.996</v>
      </c>
      <c r="F227" s="21">
        <v>-6.3E-3</v>
      </c>
    </row>
    <row r="228" spans="1:6" x14ac:dyDescent="0.35">
      <c r="A228" s="22" t="s">
        <v>533</v>
      </c>
      <c r="B228" s="51">
        <v>3.0259999999999998</v>
      </c>
      <c r="C228">
        <v>3.069</v>
      </c>
      <c r="D228">
        <v>3.069</v>
      </c>
      <c r="E228">
        <v>3.0179999999999998</v>
      </c>
      <c r="F228" s="21">
        <v>-1.4E-2</v>
      </c>
    </row>
    <row r="229" spans="1:6" x14ac:dyDescent="0.35">
      <c r="A229" s="22" t="s">
        <v>534</v>
      </c>
      <c r="B229" s="51">
        <v>3.069</v>
      </c>
      <c r="C229">
        <v>3.0670000000000002</v>
      </c>
      <c r="D229">
        <v>3.073</v>
      </c>
      <c r="E229">
        <v>3.0379999999999998</v>
      </c>
      <c r="F229" s="21">
        <v>6.9999999999999999E-4</v>
      </c>
    </row>
    <row r="230" spans="1:6" x14ac:dyDescent="0.35">
      <c r="A230" s="22">
        <v>44018</v>
      </c>
      <c r="B230" s="51">
        <v>3.0670000000000002</v>
      </c>
      <c r="C230">
        <v>3.0960000000000001</v>
      </c>
      <c r="D230">
        <v>3.121</v>
      </c>
      <c r="E230">
        <v>3.0579999999999998</v>
      </c>
      <c r="F230" s="21">
        <v>-9.4000000000000004E-3</v>
      </c>
    </row>
    <row r="231" spans="1:6" x14ac:dyDescent="0.35">
      <c r="A231" s="22" t="s">
        <v>536</v>
      </c>
      <c r="B231" s="51">
        <v>3.0960000000000001</v>
      </c>
      <c r="C231">
        <v>3.1920000000000002</v>
      </c>
      <c r="D231">
        <v>3.1920000000000002</v>
      </c>
      <c r="E231">
        <v>3.09</v>
      </c>
      <c r="F231" s="21">
        <v>-1.5900000000000001E-2</v>
      </c>
    </row>
    <row r="232" spans="1:6" x14ac:dyDescent="0.35">
      <c r="A232" s="22" t="s">
        <v>538</v>
      </c>
      <c r="B232" s="51">
        <v>3.1459999999999999</v>
      </c>
      <c r="C232">
        <v>3.0259999999999998</v>
      </c>
      <c r="D232">
        <v>3.1579999999999999</v>
      </c>
      <c r="E232">
        <v>3.0259999999999998</v>
      </c>
      <c r="F232" s="21">
        <v>3.9699999999999999E-2</v>
      </c>
    </row>
    <row r="233" spans="1:6" x14ac:dyDescent="0.35">
      <c r="A233" s="22" t="s">
        <v>540</v>
      </c>
      <c r="B233" s="51">
        <v>3.0259999999999998</v>
      </c>
      <c r="C233">
        <v>3.01</v>
      </c>
      <c r="D233">
        <v>3.0259999999999998</v>
      </c>
      <c r="E233">
        <v>2.9180000000000001</v>
      </c>
      <c r="F233" s="21">
        <v>5.3E-3</v>
      </c>
    </row>
    <row r="234" spans="1:6" x14ac:dyDescent="0.35">
      <c r="A234" s="22">
        <v>44109</v>
      </c>
      <c r="B234" s="51">
        <v>3.01</v>
      </c>
      <c r="C234">
        <v>3.0630000000000002</v>
      </c>
      <c r="D234">
        <v>3.0630000000000002</v>
      </c>
      <c r="E234">
        <v>2.9180000000000001</v>
      </c>
      <c r="F234" s="21">
        <v>-1.7299999999999999E-2</v>
      </c>
    </row>
    <row r="235" spans="1:6" x14ac:dyDescent="0.35">
      <c r="A235" s="22">
        <v>43895</v>
      </c>
      <c r="B235" s="51">
        <v>3.0630000000000002</v>
      </c>
      <c r="C235">
        <v>3.048</v>
      </c>
      <c r="D235">
        <v>3.1579999999999999</v>
      </c>
      <c r="E235">
        <v>3.0230000000000001</v>
      </c>
      <c r="F235" s="21">
        <v>4.3E-3</v>
      </c>
    </row>
    <row r="236" spans="1:6" x14ac:dyDescent="0.35">
      <c r="A236" s="22" t="s">
        <v>541</v>
      </c>
      <c r="B236" s="51">
        <v>3.05</v>
      </c>
      <c r="C236">
        <v>3.1970000000000001</v>
      </c>
      <c r="D236">
        <v>3.1970000000000001</v>
      </c>
      <c r="E236">
        <v>3.0489999999999999</v>
      </c>
      <c r="F236" s="21">
        <v>-4.5999999999999999E-2</v>
      </c>
    </row>
    <row r="237" spans="1:6" x14ac:dyDescent="0.35">
      <c r="A237" s="22" t="s">
        <v>543</v>
      </c>
      <c r="B237" s="51">
        <v>3.1970000000000001</v>
      </c>
      <c r="C237">
        <v>3.246</v>
      </c>
      <c r="D237">
        <v>3.2469999999999999</v>
      </c>
      <c r="E237">
        <v>3.1819999999999999</v>
      </c>
      <c r="F237" s="21">
        <v>-1.5100000000000001E-2</v>
      </c>
    </row>
    <row r="238" spans="1:6" x14ac:dyDescent="0.35">
      <c r="A238" s="22">
        <v>44169</v>
      </c>
      <c r="B238" s="51">
        <v>3.246</v>
      </c>
      <c r="C238">
        <v>3.2240000000000002</v>
      </c>
      <c r="D238">
        <v>3.306</v>
      </c>
      <c r="E238">
        <v>3.2189999999999999</v>
      </c>
      <c r="F238" s="21">
        <v>6.7999999999999996E-3</v>
      </c>
    </row>
    <row r="239" spans="1:6" x14ac:dyDescent="0.35">
      <c r="A239" s="22">
        <v>43955</v>
      </c>
      <c r="B239" s="51">
        <v>3.2240000000000002</v>
      </c>
      <c r="C239">
        <v>3.5259999999999998</v>
      </c>
      <c r="D239">
        <v>3.5259999999999998</v>
      </c>
      <c r="E239">
        <v>3.1419999999999999</v>
      </c>
      <c r="F239" s="21">
        <v>-8.5599999999999996E-2</v>
      </c>
    </row>
    <row r="240" spans="1:6" x14ac:dyDescent="0.35">
      <c r="A240" s="22" t="s">
        <v>547</v>
      </c>
      <c r="B240" s="51">
        <v>3.5259999999999998</v>
      </c>
      <c r="C240">
        <v>3.4540000000000002</v>
      </c>
      <c r="D240">
        <v>3.6219999999999999</v>
      </c>
      <c r="E240">
        <v>3.4540000000000002</v>
      </c>
      <c r="F240" s="21">
        <v>2.0799999999999999E-2</v>
      </c>
    </row>
    <row r="241" spans="1:6" x14ac:dyDescent="0.35">
      <c r="A241" s="22" t="s">
        <v>549</v>
      </c>
      <c r="B241" s="51">
        <v>3.4540000000000002</v>
      </c>
      <c r="C241">
        <v>2.88</v>
      </c>
      <c r="D241">
        <v>3.4540000000000002</v>
      </c>
      <c r="E241">
        <v>2.88</v>
      </c>
      <c r="F241" s="21">
        <v>0.1993</v>
      </c>
    </row>
    <row r="242" spans="1:6" x14ac:dyDescent="0.35">
      <c r="A242" s="22" t="s">
        <v>551</v>
      </c>
      <c r="B242" s="51">
        <v>2.88</v>
      </c>
      <c r="C242">
        <v>2.4390000000000001</v>
      </c>
      <c r="D242">
        <v>2.88</v>
      </c>
      <c r="E242">
        <v>2.4239999999999999</v>
      </c>
      <c r="F242" s="21">
        <v>0.18079999999999999</v>
      </c>
    </row>
    <row r="243" spans="1:6" x14ac:dyDescent="0.35">
      <c r="A243" s="22">
        <v>44046</v>
      </c>
      <c r="B243" s="51">
        <v>2.4390000000000001</v>
      </c>
      <c r="C243">
        <v>2.34</v>
      </c>
      <c r="D243">
        <v>2.4390000000000001</v>
      </c>
      <c r="E243">
        <v>2.234</v>
      </c>
      <c r="F243" s="21">
        <v>4.2299999999999997E-2</v>
      </c>
    </row>
    <row r="244" spans="1:6" x14ac:dyDescent="0.35">
      <c r="A244" s="22">
        <v>43833</v>
      </c>
      <c r="B244" s="51">
        <v>2.34</v>
      </c>
      <c r="C244">
        <v>2.9</v>
      </c>
      <c r="D244">
        <v>2.9</v>
      </c>
      <c r="E244">
        <v>2.34</v>
      </c>
      <c r="F244" s="21">
        <v>-0.1807</v>
      </c>
    </row>
    <row r="245" spans="1:6" x14ac:dyDescent="0.35">
      <c r="A245" s="22" t="s">
        <v>554</v>
      </c>
      <c r="B245" s="51">
        <v>2.8559999999999999</v>
      </c>
      <c r="C245">
        <v>2.8759999999999999</v>
      </c>
      <c r="D245">
        <v>2.956</v>
      </c>
      <c r="E245">
        <v>2.8559999999999999</v>
      </c>
      <c r="F245" s="21">
        <v>-7.3000000000000001E-3</v>
      </c>
    </row>
    <row r="246" spans="1:6" x14ac:dyDescent="0.35">
      <c r="A246" s="22" t="s">
        <v>556</v>
      </c>
      <c r="B246" s="51">
        <v>2.8769999999999998</v>
      </c>
      <c r="C246">
        <v>2.9740000000000002</v>
      </c>
      <c r="D246">
        <v>2.9740000000000002</v>
      </c>
      <c r="E246">
        <v>2.8220000000000001</v>
      </c>
      <c r="F246" s="21">
        <v>-3.2899999999999999E-2</v>
      </c>
    </row>
    <row r="247" spans="1:6" x14ac:dyDescent="0.35">
      <c r="A247" s="22">
        <v>44076</v>
      </c>
      <c r="B247" s="51">
        <v>2.9750000000000001</v>
      </c>
      <c r="C247">
        <v>3.0449999999999999</v>
      </c>
      <c r="D247">
        <v>3.09</v>
      </c>
      <c r="E247">
        <v>2.9750000000000001</v>
      </c>
      <c r="F247" s="21">
        <v>-2.3300000000000001E-2</v>
      </c>
    </row>
    <row r="248" spans="1:6" x14ac:dyDescent="0.35">
      <c r="A248" s="22">
        <v>43863</v>
      </c>
      <c r="B248" s="51">
        <v>3.0459999999999998</v>
      </c>
      <c r="C248">
        <v>3.1560000000000001</v>
      </c>
      <c r="D248">
        <v>3.3279999999999998</v>
      </c>
      <c r="E248">
        <v>3.012</v>
      </c>
      <c r="F248" s="21">
        <v>-3.5200000000000002E-2</v>
      </c>
    </row>
    <row r="249" spans="1:6" x14ac:dyDescent="0.35">
      <c r="A249" s="22" t="s">
        <v>560</v>
      </c>
      <c r="B249" s="51">
        <v>3.157</v>
      </c>
      <c r="C249">
        <v>3.1059999999999999</v>
      </c>
      <c r="D249">
        <v>3.157</v>
      </c>
      <c r="E249">
        <v>3.1059999999999999</v>
      </c>
      <c r="F249" s="21">
        <v>1.4800000000000001E-2</v>
      </c>
    </row>
    <row r="250" spans="1:6" x14ac:dyDescent="0.35">
      <c r="A250" s="22" t="s">
        <v>562</v>
      </c>
      <c r="B250" s="51">
        <v>3.1110000000000002</v>
      </c>
      <c r="C250">
        <v>2.8450000000000002</v>
      </c>
      <c r="D250">
        <v>3.1110000000000002</v>
      </c>
      <c r="E250">
        <v>2.8450000000000002</v>
      </c>
      <c r="F250" s="21">
        <v>9.3100000000000002E-2</v>
      </c>
    </row>
    <row r="251" spans="1:6" x14ac:dyDescent="0.35">
      <c r="A251" s="22">
        <v>44166</v>
      </c>
      <c r="B251" s="51">
        <v>2.8460000000000001</v>
      </c>
      <c r="C251">
        <v>3.0739999999999998</v>
      </c>
      <c r="D251">
        <v>3.0739999999999998</v>
      </c>
      <c r="E251">
        <v>2.8460000000000001</v>
      </c>
      <c r="F251" s="21">
        <v>-7.4499999999999997E-2</v>
      </c>
    </row>
    <row r="252" spans="1:6" x14ac:dyDescent="0.35">
      <c r="A252" s="22">
        <v>43952</v>
      </c>
      <c r="B252" s="51">
        <v>3.0750000000000002</v>
      </c>
      <c r="C252">
        <v>3.375</v>
      </c>
      <c r="D252">
        <v>3.375</v>
      </c>
      <c r="E252">
        <v>3.0750000000000002</v>
      </c>
      <c r="F252" s="21">
        <v>-8.8900000000000007E-2</v>
      </c>
    </row>
    <row r="253" spans="1:6" x14ac:dyDescent="0.35">
      <c r="A253" s="22" t="s">
        <v>566</v>
      </c>
      <c r="B253" s="51">
        <v>3.375</v>
      </c>
      <c r="C253">
        <v>3.3690000000000002</v>
      </c>
      <c r="D253">
        <v>3.4169999999999998</v>
      </c>
      <c r="E253">
        <v>3.3690000000000002</v>
      </c>
      <c r="F253" s="21">
        <v>1.5E-3</v>
      </c>
    </row>
    <row r="254" spans="1:6" x14ac:dyDescent="0.35">
      <c r="A254" s="22" t="s">
        <v>568</v>
      </c>
      <c r="B254" s="51">
        <v>3.37</v>
      </c>
      <c r="C254">
        <v>3.4889999999999999</v>
      </c>
      <c r="D254">
        <v>3.4889999999999999</v>
      </c>
      <c r="E254">
        <v>3.37</v>
      </c>
      <c r="F254" s="21">
        <v>-3.4099999999999998E-2</v>
      </c>
    </row>
    <row r="255" spans="1:6" x14ac:dyDescent="0.35">
      <c r="A255" s="22" t="s">
        <v>570</v>
      </c>
      <c r="B255" s="51">
        <v>3.4889999999999999</v>
      </c>
      <c r="C255">
        <v>3.5059999999999998</v>
      </c>
      <c r="D255">
        <v>3.51</v>
      </c>
      <c r="E255">
        <v>3.4889999999999999</v>
      </c>
      <c r="F255" s="21">
        <v>-4.7999999999999996E-3</v>
      </c>
    </row>
    <row r="256" spans="1:6" x14ac:dyDescent="0.35">
      <c r="A256" s="22">
        <v>43689</v>
      </c>
      <c r="B256" s="51">
        <v>3.5059999999999998</v>
      </c>
      <c r="C256">
        <v>3.5019999999999998</v>
      </c>
      <c r="D256">
        <v>3.5209999999999999</v>
      </c>
      <c r="E256">
        <v>3.5019999999999998</v>
      </c>
      <c r="F256" s="21">
        <v>8.9999999999999998E-4</v>
      </c>
    </row>
    <row r="257" spans="1:6" x14ac:dyDescent="0.35">
      <c r="A257" s="22">
        <v>43477</v>
      </c>
      <c r="B257" s="51">
        <v>3.5030000000000001</v>
      </c>
      <c r="C257">
        <v>3.5680000000000001</v>
      </c>
      <c r="D257">
        <v>3.5680000000000001</v>
      </c>
      <c r="E257">
        <v>3.5030000000000001</v>
      </c>
      <c r="F257" s="21">
        <v>-1.8200000000000001E-2</v>
      </c>
    </row>
    <row r="258" spans="1:6" x14ac:dyDescent="0.35">
      <c r="A258" s="22" t="s">
        <v>572</v>
      </c>
      <c r="B258" s="51">
        <v>3.5680000000000001</v>
      </c>
      <c r="C258">
        <v>3.6829999999999998</v>
      </c>
      <c r="D258">
        <v>3.7069999999999999</v>
      </c>
      <c r="E258">
        <v>3.5379999999999998</v>
      </c>
      <c r="F258" s="21">
        <v>-3.1199999999999999E-2</v>
      </c>
    </row>
    <row r="259" spans="1:6" x14ac:dyDescent="0.35">
      <c r="A259" s="22" t="s">
        <v>574</v>
      </c>
      <c r="B259" s="51">
        <v>3.6829999999999998</v>
      </c>
      <c r="C259">
        <v>3.7109999999999999</v>
      </c>
      <c r="D259">
        <v>3.7109999999999999</v>
      </c>
      <c r="E259">
        <v>3.6339999999999999</v>
      </c>
      <c r="F259" s="21">
        <v>-7.7999999999999996E-3</v>
      </c>
    </row>
    <row r="260" spans="1:6" x14ac:dyDescent="0.35">
      <c r="A260" s="22">
        <v>43749</v>
      </c>
      <c r="B260" s="51">
        <v>3.7120000000000002</v>
      </c>
      <c r="C260">
        <v>3.7280000000000002</v>
      </c>
      <c r="D260">
        <v>3.78</v>
      </c>
      <c r="E260">
        <v>3.6819999999999999</v>
      </c>
      <c r="F260" s="21">
        <v>-4.3E-3</v>
      </c>
    </row>
    <row r="261" spans="1:6" x14ac:dyDescent="0.35">
      <c r="A261" s="22">
        <v>43535</v>
      </c>
      <c r="B261" s="51">
        <v>3.7280000000000002</v>
      </c>
      <c r="C261">
        <v>3.6589999999999998</v>
      </c>
      <c r="D261">
        <v>3.7559999999999998</v>
      </c>
      <c r="E261">
        <v>3.6589999999999998</v>
      </c>
      <c r="F261" s="21">
        <v>1.89E-2</v>
      </c>
    </row>
    <row r="262" spans="1:6" x14ac:dyDescent="0.35">
      <c r="A262" s="22" t="s">
        <v>578</v>
      </c>
      <c r="B262" s="51">
        <v>3.6589999999999998</v>
      </c>
      <c r="C262">
        <v>3.6869999999999998</v>
      </c>
      <c r="D262">
        <v>3.7309999999999999</v>
      </c>
      <c r="E262">
        <v>3.633</v>
      </c>
      <c r="F262" s="21">
        <v>-7.9000000000000008E-3</v>
      </c>
    </row>
    <row r="263" spans="1:6" x14ac:dyDescent="0.35">
      <c r="A263" s="22" t="s">
        <v>579</v>
      </c>
      <c r="B263" s="51">
        <v>3.6880000000000002</v>
      </c>
      <c r="C263">
        <v>3.6819999999999999</v>
      </c>
      <c r="D263">
        <v>3.7879999999999998</v>
      </c>
      <c r="E263">
        <v>3.5459999999999998</v>
      </c>
      <c r="F263" s="21">
        <v>1.4E-3</v>
      </c>
    </row>
    <row r="264" spans="1:6" x14ac:dyDescent="0.35">
      <c r="A264" s="22" t="s">
        <v>581</v>
      </c>
      <c r="B264" s="51">
        <v>3.6829999999999998</v>
      </c>
      <c r="C264">
        <v>3.919</v>
      </c>
      <c r="D264">
        <v>3.919</v>
      </c>
      <c r="E264">
        <v>3.6829999999999998</v>
      </c>
      <c r="F264" s="21">
        <v>-6.0199999999999997E-2</v>
      </c>
    </row>
    <row r="265" spans="1:6" x14ac:dyDescent="0.35">
      <c r="A265" s="22">
        <v>43626</v>
      </c>
      <c r="B265" s="51">
        <v>3.919</v>
      </c>
      <c r="C265">
        <v>3.9980000000000002</v>
      </c>
      <c r="D265">
        <v>3.9980000000000002</v>
      </c>
      <c r="E265">
        <v>3.919</v>
      </c>
      <c r="F265" s="21">
        <v>-0.02</v>
      </c>
    </row>
    <row r="266" spans="1:6" x14ac:dyDescent="0.35">
      <c r="A266" s="22" t="s">
        <v>584</v>
      </c>
      <c r="B266" s="51">
        <v>3.9990000000000001</v>
      </c>
      <c r="C266">
        <v>4.0490000000000004</v>
      </c>
      <c r="D266">
        <v>4.0570000000000004</v>
      </c>
      <c r="E266">
        <v>3.9990000000000001</v>
      </c>
      <c r="F266" s="21">
        <v>-1.26E-2</v>
      </c>
    </row>
    <row r="267" spans="1:6" x14ac:dyDescent="0.35">
      <c r="A267" s="22" t="s">
        <v>586</v>
      </c>
      <c r="B267" s="51">
        <v>4.05</v>
      </c>
      <c r="C267">
        <v>4.0060000000000002</v>
      </c>
      <c r="D267">
        <v>4.05</v>
      </c>
      <c r="E267">
        <v>4.0019999999999998</v>
      </c>
      <c r="F267" s="21">
        <v>1.0699999999999999E-2</v>
      </c>
    </row>
    <row r="268" spans="1:6" x14ac:dyDescent="0.35">
      <c r="A268" s="22" t="s">
        <v>588</v>
      </c>
      <c r="B268" s="51">
        <v>4.0069999999999997</v>
      </c>
      <c r="C268">
        <v>3.984</v>
      </c>
      <c r="D268">
        <v>4.0490000000000004</v>
      </c>
      <c r="E268">
        <v>3.984</v>
      </c>
      <c r="F268" s="21">
        <v>5.7999999999999996E-3</v>
      </c>
    </row>
    <row r="269" spans="1:6" x14ac:dyDescent="0.35">
      <c r="A269" s="22">
        <v>43686</v>
      </c>
      <c r="B269" s="51">
        <v>3.984</v>
      </c>
      <c r="C269">
        <v>4.0780000000000003</v>
      </c>
      <c r="D269">
        <v>4.12</v>
      </c>
      <c r="E269">
        <v>3.984</v>
      </c>
      <c r="F269" s="21">
        <v>-2.3300000000000001E-2</v>
      </c>
    </row>
    <row r="270" spans="1:6" x14ac:dyDescent="0.35">
      <c r="A270" s="22">
        <v>43474</v>
      </c>
      <c r="B270" s="51">
        <v>4.0789999999999997</v>
      </c>
      <c r="C270">
        <v>4.1619999999999999</v>
      </c>
      <c r="D270">
        <v>4.1719999999999997</v>
      </c>
      <c r="E270">
        <v>4.0789999999999997</v>
      </c>
      <c r="F270" s="21">
        <v>-1.9900000000000001E-2</v>
      </c>
    </row>
    <row r="271" spans="1:6" x14ac:dyDescent="0.35">
      <c r="A271" s="22" t="s">
        <v>592</v>
      </c>
      <c r="B271" s="51">
        <v>4.1619999999999999</v>
      </c>
      <c r="C271">
        <v>4.202</v>
      </c>
      <c r="D271">
        <v>4.2409999999999997</v>
      </c>
      <c r="E271">
        <v>4.1619999999999999</v>
      </c>
      <c r="F271" s="21">
        <v>-9.4999999999999998E-3</v>
      </c>
    </row>
    <row r="272" spans="1:6" x14ac:dyDescent="0.35">
      <c r="A272" s="22" t="s">
        <v>594</v>
      </c>
      <c r="B272" s="51">
        <v>4.202</v>
      </c>
      <c r="C272">
        <v>4.2830000000000004</v>
      </c>
      <c r="D272">
        <v>4.3319999999999999</v>
      </c>
      <c r="E272">
        <v>4.202</v>
      </c>
      <c r="F272" s="21">
        <v>-1.3599999999999999E-2</v>
      </c>
    </row>
    <row r="273" spans="1:6" x14ac:dyDescent="0.35">
      <c r="A273" s="22">
        <v>43777</v>
      </c>
      <c r="B273" s="51">
        <v>4.26</v>
      </c>
      <c r="C273">
        <v>4.4550000000000001</v>
      </c>
      <c r="D273">
        <v>4.4550000000000001</v>
      </c>
      <c r="E273">
        <v>4.2300000000000004</v>
      </c>
      <c r="F273" s="21">
        <v>-4.2700000000000002E-2</v>
      </c>
    </row>
    <row r="274" spans="1:6" x14ac:dyDescent="0.35">
      <c r="A274" s="22">
        <v>43563</v>
      </c>
      <c r="B274" s="51">
        <v>4.45</v>
      </c>
      <c r="C274">
        <v>4.4480000000000004</v>
      </c>
      <c r="D274">
        <v>4.4690000000000003</v>
      </c>
      <c r="E274">
        <v>4.4480000000000004</v>
      </c>
      <c r="F274" s="21">
        <v>2.0000000000000001E-4</v>
      </c>
    </row>
    <row r="275" spans="1:6" x14ac:dyDescent="0.35">
      <c r="A275" s="22" t="s">
        <v>598</v>
      </c>
      <c r="B275" s="51">
        <v>4.4489999999999998</v>
      </c>
      <c r="C275">
        <v>4.4459999999999997</v>
      </c>
      <c r="D275">
        <v>4.4779999999999998</v>
      </c>
      <c r="E275">
        <v>4.4039999999999999</v>
      </c>
      <c r="F275" s="21">
        <v>6.9999999999999999E-4</v>
      </c>
    </row>
    <row r="276" spans="1:6" x14ac:dyDescent="0.35">
      <c r="A276" s="22" t="s">
        <v>600</v>
      </c>
      <c r="B276" s="51">
        <v>4.4459999999999997</v>
      </c>
      <c r="C276">
        <v>4.4880000000000004</v>
      </c>
      <c r="D276">
        <v>4.4880000000000004</v>
      </c>
      <c r="E276">
        <v>4.4359999999999999</v>
      </c>
      <c r="F276" s="21">
        <v>-9.4000000000000004E-3</v>
      </c>
    </row>
    <row r="277" spans="1:6" x14ac:dyDescent="0.35">
      <c r="A277" s="22" t="s">
        <v>602</v>
      </c>
      <c r="B277" s="51">
        <v>4.4880000000000004</v>
      </c>
      <c r="C277">
        <v>4.5549999999999997</v>
      </c>
      <c r="D277">
        <v>4.5549999999999997</v>
      </c>
      <c r="E277">
        <v>4.4880000000000004</v>
      </c>
      <c r="F277" s="21">
        <v>-1.49E-2</v>
      </c>
    </row>
    <row r="278" spans="1:6" x14ac:dyDescent="0.35">
      <c r="A278" s="22">
        <v>43653</v>
      </c>
      <c r="B278" s="51">
        <v>4.556</v>
      </c>
      <c r="C278">
        <v>4.6130000000000004</v>
      </c>
      <c r="D278">
        <v>4.6130000000000004</v>
      </c>
      <c r="E278">
        <v>4.54</v>
      </c>
      <c r="F278" s="21">
        <v>-1.24E-2</v>
      </c>
    </row>
    <row r="279" spans="1:6" x14ac:dyDescent="0.35">
      <c r="A279" s="22" t="s">
        <v>605</v>
      </c>
      <c r="B279" s="51">
        <v>4.6130000000000004</v>
      </c>
      <c r="C279">
        <v>4.6539999999999999</v>
      </c>
      <c r="D279">
        <v>4.6680000000000001</v>
      </c>
      <c r="E279">
        <v>4.6130000000000004</v>
      </c>
      <c r="F279" s="21">
        <v>-8.8000000000000005E-3</v>
      </c>
    </row>
    <row r="280" spans="1:6" x14ac:dyDescent="0.35">
      <c r="A280" s="22" t="s">
        <v>607</v>
      </c>
      <c r="B280" s="51">
        <v>4.6539999999999999</v>
      </c>
      <c r="C280">
        <v>4.657</v>
      </c>
      <c r="D280">
        <v>4.6710000000000003</v>
      </c>
      <c r="E280">
        <v>4.6520000000000001</v>
      </c>
      <c r="F280" s="21">
        <v>-5.9999999999999995E-4</v>
      </c>
    </row>
    <row r="281" spans="1:6" x14ac:dyDescent="0.35">
      <c r="A281" s="22" t="s">
        <v>609</v>
      </c>
      <c r="B281" s="51">
        <v>4.657</v>
      </c>
      <c r="C281">
        <v>4.6719999999999997</v>
      </c>
      <c r="D281">
        <v>4.6719999999999997</v>
      </c>
      <c r="E281">
        <v>4.657</v>
      </c>
      <c r="F281" s="21">
        <v>-3.2000000000000002E-3</v>
      </c>
    </row>
    <row r="282" spans="1:6" x14ac:dyDescent="0.35">
      <c r="A282" s="22">
        <v>43714</v>
      </c>
      <c r="B282" s="51">
        <v>4.6719999999999997</v>
      </c>
      <c r="C282">
        <v>4.6589999999999998</v>
      </c>
      <c r="D282">
        <v>4.6790000000000003</v>
      </c>
      <c r="E282">
        <v>4.6589999999999998</v>
      </c>
      <c r="F282" s="21">
        <v>2.8E-3</v>
      </c>
    </row>
    <row r="283" spans="1:6" x14ac:dyDescent="0.35">
      <c r="A283" s="22">
        <v>43502</v>
      </c>
      <c r="B283" s="51">
        <v>4.6589999999999998</v>
      </c>
      <c r="C283">
        <v>4.7009999999999996</v>
      </c>
      <c r="D283">
        <v>4.7009999999999996</v>
      </c>
      <c r="E283">
        <v>4.6589999999999998</v>
      </c>
      <c r="F283" s="21">
        <v>-8.8999999999999999E-3</v>
      </c>
    </row>
    <row r="284" spans="1:6" x14ac:dyDescent="0.35">
      <c r="A284" s="22" t="s">
        <v>613</v>
      </c>
      <c r="B284" s="51">
        <v>4.7009999999999996</v>
      </c>
      <c r="C284">
        <v>4.7290000000000001</v>
      </c>
      <c r="D284">
        <v>4.7290000000000001</v>
      </c>
      <c r="E284">
        <v>4.7009999999999996</v>
      </c>
      <c r="F284" s="21">
        <v>-5.8999999999999999E-3</v>
      </c>
    </row>
    <row r="285" spans="1:6" x14ac:dyDescent="0.35">
      <c r="A285" s="22" t="s">
        <v>615</v>
      </c>
      <c r="B285" s="51">
        <v>4.7290000000000001</v>
      </c>
      <c r="C285">
        <v>4.7430000000000003</v>
      </c>
      <c r="D285">
        <v>4.7430000000000003</v>
      </c>
      <c r="E285">
        <v>4.7290000000000001</v>
      </c>
      <c r="F285" s="21">
        <v>-3.0000000000000001E-3</v>
      </c>
    </row>
    <row r="286" spans="1:6" x14ac:dyDescent="0.35">
      <c r="A286" s="22">
        <v>43804</v>
      </c>
      <c r="B286" s="51">
        <v>4.7430000000000003</v>
      </c>
      <c r="C286">
        <v>4.7699999999999996</v>
      </c>
      <c r="D286">
        <v>4.7699999999999996</v>
      </c>
      <c r="E286">
        <v>4.7389999999999999</v>
      </c>
      <c r="F286" s="21">
        <v>-5.7000000000000002E-3</v>
      </c>
    </row>
    <row r="287" spans="1:6" x14ac:dyDescent="0.35">
      <c r="A287" s="22">
        <v>43590</v>
      </c>
      <c r="B287" s="51">
        <v>4.7699999999999996</v>
      </c>
      <c r="C287">
        <v>4.7539999999999996</v>
      </c>
      <c r="D287">
        <v>4.7759999999999998</v>
      </c>
      <c r="E287">
        <v>4.7539999999999996</v>
      </c>
      <c r="F287" s="21">
        <v>3.3999999999999998E-3</v>
      </c>
    </row>
    <row r="288" spans="1:6" x14ac:dyDescent="0.35">
      <c r="A288" s="22" t="s">
        <v>619</v>
      </c>
      <c r="B288" s="51">
        <v>4.7539999999999996</v>
      </c>
      <c r="C288">
        <v>4.7629999999999999</v>
      </c>
      <c r="D288">
        <v>4.7629999999999999</v>
      </c>
      <c r="E288">
        <v>4.7539999999999996</v>
      </c>
      <c r="F288" s="21">
        <v>-2.0999999999999999E-3</v>
      </c>
    </row>
    <row r="289" spans="1:6" x14ac:dyDescent="0.35">
      <c r="A289" s="22" t="s">
        <v>621</v>
      </c>
      <c r="B289" s="51">
        <v>4.7640000000000002</v>
      </c>
      <c r="C289">
        <v>4.774</v>
      </c>
      <c r="D289">
        <v>4.774</v>
      </c>
      <c r="E289">
        <v>4.7530000000000001</v>
      </c>
      <c r="F289" s="21">
        <v>-2.0999999999999999E-3</v>
      </c>
    </row>
    <row r="290" spans="1:6" x14ac:dyDescent="0.35">
      <c r="A290" s="22" t="s">
        <v>623</v>
      </c>
      <c r="B290" s="51">
        <v>4.774</v>
      </c>
      <c r="C290">
        <v>4.7949999999999999</v>
      </c>
      <c r="D290">
        <v>4.7949999999999999</v>
      </c>
      <c r="E290">
        <v>4.774</v>
      </c>
      <c r="F290" s="21">
        <v>-4.5999999999999999E-3</v>
      </c>
    </row>
    <row r="291" spans="1:6" x14ac:dyDescent="0.35">
      <c r="A291" s="22">
        <v>43650</v>
      </c>
      <c r="B291" s="51">
        <v>4.7960000000000003</v>
      </c>
      <c r="C291">
        <v>4.8129999999999997</v>
      </c>
      <c r="D291">
        <v>4.8150000000000004</v>
      </c>
      <c r="E291">
        <v>4.7960000000000003</v>
      </c>
      <c r="F291" s="21">
        <v>-3.5000000000000001E-3</v>
      </c>
    </row>
    <row r="292" spans="1:6" x14ac:dyDescent="0.35">
      <c r="A292" s="22" t="s">
        <v>626</v>
      </c>
      <c r="B292" s="51">
        <v>4.8129999999999997</v>
      </c>
      <c r="C292">
        <v>4.827</v>
      </c>
      <c r="D292">
        <v>4.827</v>
      </c>
      <c r="E292">
        <v>4.8019999999999996</v>
      </c>
      <c r="F292" s="21">
        <v>-3.0999999999999999E-3</v>
      </c>
    </row>
    <row r="293" spans="1:6" x14ac:dyDescent="0.35">
      <c r="A293" s="22" t="s">
        <v>628</v>
      </c>
      <c r="B293" s="51">
        <v>4.8280000000000003</v>
      </c>
      <c r="C293">
        <v>4.8330000000000002</v>
      </c>
      <c r="D293">
        <v>4.8680000000000003</v>
      </c>
      <c r="E293">
        <v>4.8280000000000003</v>
      </c>
      <c r="F293" s="21">
        <v>-1.1999999999999999E-3</v>
      </c>
    </row>
    <row r="294" spans="1:6" x14ac:dyDescent="0.35">
      <c r="A294" s="22" t="s">
        <v>630</v>
      </c>
      <c r="B294" s="51">
        <v>4.8339999999999996</v>
      </c>
      <c r="C294">
        <v>4.7939999999999996</v>
      </c>
      <c r="D294">
        <v>4.8360000000000003</v>
      </c>
      <c r="E294">
        <v>4.7939999999999996</v>
      </c>
      <c r="F294" s="21">
        <v>8.3000000000000001E-3</v>
      </c>
    </row>
    <row r="295" spans="1:6" x14ac:dyDescent="0.35">
      <c r="A295" s="22">
        <v>43741</v>
      </c>
      <c r="B295" s="51">
        <v>4.7939999999999996</v>
      </c>
      <c r="C295">
        <v>4.782</v>
      </c>
      <c r="D295">
        <v>4.7949999999999999</v>
      </c>
      <c r="E295">
        <v>4.782</v>
      </c>
      <c r="F295" s="21">
        <v>2.3E-3</v>
      </c>
    </row>
    <row r="296" spans="1:6" x14ac:dyDescent="0.35">
      <c r="A296" s="22">
        <v>43527</v>
      </c>
      <c r="B296" s="51">
        <v>4.7830000000000004</v>
      </c>
      <c r="C296">
        <v>4.7619999999999996</v>
      </c>
      <c r="D296">
        <v>4.7859999999999996</v>
      </c>
      <c r="E296">
        <v>4.7619999999999996</v>
      </c>
      <c r="F296" s="21">
        <v>4.4000000000000003E-3</v>
      </c>
    </row>
    <row r="297" spans="1:6" x14ac:dyDescent="0.35">
      <c r="A297" s="22" t="s">
        <v>632</v>
      </c>
      <c r="B297" s="51">
        <v>4.7619999999999996</v>
      </c>
      <c r="C297">
        <v>4.7539999999999996</v>
      </c>
      <c r="D297">
        <v>4.7690000000000001</v>
      </c>
      <c r="E297">
        <v>4.7539999999999996</v>
      </c>
      <c r="F297" s="21">
        <v>1.6999999999999999E-3</v>
      </c>
    </row>
    <row r="298" spans="1:6" x14ac:dyDescent="0.35">
      <c r="A298" s="22" t="s">
        <v>634</v>
      </c>
      <c r="B298" s="51">
        <v>4.7539999999999996</v>
      </c>
      <c r="C298">
        <v>4.6959999999999997</v>
      </c>
      <c r="D298">
        <v>4.7539999999999996</v>
      </c>
      <c r="E298">
        <v>4.6959999999999997</v>
      </c>
      <c r="F298" s="21">
        <v>1.24E-2</v>
      </c>
    </row>
    <row r="299" spans="1:6" x14ac:dyDescent="0.35">
      <c r="A299" s="22">
        <v>43740</v>
      </c>
      <c r="B299" s="51">
        <v>4.6959999999999997</v>
      </c>
      <c r="C299">
        <v>4.8680000000000003</v>
      </c>
      <c r="D299">
        <v>4.8680000000000003</v>
      </c>
      <c r="E299">
        <v>4.6959999999999997</v>
      </c>
      <c r="F299" s="21">
        <v>-3.5299999999999998E-2</v>
      </c>
    </row>
    <row r="300" spans="1:6" x14ac:dyDescent="0.35">
      <c r="A300" s="22">
        <v>43526</v>
      </c>
      <c r="B300" s="51">
        <v>4.8680000000000003</v>
      </c>
      <c r="C300">
        <v>4.8680000000000003</v>
      </c>
      <c r="D300">
        <v>4.8680000000000003</v>
      </c>
      <c r="E300">
        <v>4.8680000000000003</v>
      </c>
      <c r="F300" s="21">
        <v>0</v>
      </c>
    </row>
    <row r="301" spans="1:6" x14ac:dyDescent="0.35">
      <c r="A301" s="22" t="s">
        <v>637</v>
      </c>
      <c r="B301" s="51">
        <v>4.8680000000000003</v>
      </c>
      <c r="C301">
        <v>4.9009999999999998</v>
      </c>
      <c r="D301">
        <v>4.9009999999999998</v>
      </c>
      <c r="E301">
        <v>4.8680000000000003</v>
      </c>
      <c r="F301" s="21">
        <v>-6.8999999999999999E-3</v>
      </c>
    </row>
    <row r="302" spans="1:6" x14ac:dyDescent="0.35">
      <c r="A302" s="22" t="s">
        <v>639</v>
      </c>
      <c r="B302" s="51">
        <v>4.9020000000000001</v>
      </c>
      <c r="C302">
        <v>4.9429999999999996</v>
      </c>
      <c r="D302">
        <v>4.9429999999999996</v>
      </c>
      <c r="E302">
        <v>4.9020000000000001</v>
      </c>
      <c r="F302" s="21">
        <v>-8.3000000000000001E-3</v>
      </c>
    </row>
    <row r="303" spans="1:6" x14ac:dyDescent="0.35">
      <c r="A303" s="22" t="s">
        <v>641</v>
      </c>
      <c r="B303" s="51">
        <v>4.9429999999999996</v>
      </c>
      <c r="C303">
        <v>5</v>
      </c>
      <c r="D303">
        <v>5</v>
      </c>
      <c r="E303">
        <v>4.9320000000000004</v>
      </c>
      <c r="F303" s="21">
        <v>-1.14E-2</v>
      </c>
    </row>
    <row r="304" spans="1:6" x14ac:dyDescent="0.35">
      <c r="A304" s="22">
        <v>43617</v>
      </c>
      <c r="B304" s="51">
        <v>5</v>
      </c>
      <c r="C304">
        <v>5.1669999999999998</v>
      </c>
      <c r="D304">
        <v>5.1669999999999998</v>
      </c>
      <c r="E304">
        <v>5</v>
      </c>
      <c r="F304" s="21">
        <v>-3.2300000000000002E-2</v>
      </c>
    </row>
    <row r="305" spans="1:6" x14ac:dyDescent="0.35">
      <c r="A305" s="22" t="s">
        <v>644</v>
      </c>
      <c r="B305" s="51">
        <v>5.1669999999999998</v>
      </c>
      <c r="C305">
        <v>5.1660000000000004</v>
      </c>
      <c r="D305">
        <v>5.1710000000000003</v>
      </c>
      <c r="E305">
        <v>5.1660000000000004</v>
      </c>
      <c r="F305" s="21">
        <v>2.0000000000000001E-4</v>
      </c>
    </row>
    <row r="306" spans="1:6" x14ac:dyDescent="0.35">
      <c r="A306" s="22" t="s">
        <v>646</v>
      </c>
      <c r="B306" s="51">
        <v>5.1660000000000004</v>
      </c>
      <c r="C306">
        <v>5.1769999999999996</v>
      </c>
      <c r="D306">
        <v>5.1769999999999996</v>
      </c>
      <c r="E306">
        <v>5.16</v>
      </c>
      <c r="F306" s="21">
        <v>-2.0999999999999999E-3</v>
      </c>
    </row>
    <row r="307" spans="1:6" x14ac:dyDescent="0.35">
      <c r="A307" s="22" t="s">
        <v>648</v>
      </c>
      <c r="B307" s="51">
        <v>5.1769999999999996</v>
      </c>
      <c r="C307">
        <v>5.1989999999999998</v>
      </c>
      <c r="D307">
        <v>5.1989999999999998</v>
      </c>
      <c r="E307">
        <v>5.1769999999999996</v>
      </c>
      <c r="F307" s="21">
        <v>-4.1999999999999997E-3</v>
      </c>
    </row>
    <row r="308" spans="1:6" x14ac:dyDescent="0.35">
      <c r="A308" s="22">
        <v>43355</v>
      </c>
      <c r="B308" s="51">
        <v>5.1989999999999998</v>
      </c>
      <c r="C308">
        <v>5.1909999999999998</v>
      </c>
      <c r="D308">
        <v>5.2</v>
      </c>
      <c r="E308">
        <v>5.1909999999999998</v>
      </c>
      <c r="F308" s="21">
        <v>1.5E-3</v>
      </c>
    </row>
    <row r="309" spans="1:6" x14ac:dyDescent="0.35">
      <c r="A309" s="22">
        <v>43143</v>
      </c>
      <c r="B309" s="51">
        <v>5.1909999999999998</v>
      </c>
      <c r="C309">
        <v>5.1660000000000004</v>
      </c>
      <c r="D309">
        <v>5.2140000000000004</v>
      </c>
      <c r="E309">
        <v>5.1660000000000004</v>
      </c>
      <c r="F309" s="21">
        <v>4.7999999999999996E-3</v>
      </c>
    </row>
    <row r="310" spans="1:6" x14ac:dyDescent="0.35">
      <c r="A310" s="22" t="s">
        <v>652</v>
      </c>
      <c r="B310" s="51">
        <v>5.1660000000000004</v>
      </c>
      <c r="C310">
        <v>5.1909999999999998</v>
      </c>
      <c r="D310">
        <v>5.1909999999999998</v>
      </c>
      <c r="E310">
        <v>5.16</v>
      </c>
      <c r="F310" s="21">
        <v>-4.7999999999999996E-3</v>
      </c>
    </row>
    <row r="311" spans="1:6" x14ac:dyDescent="0.35">
      <c r="A311" s="22" t="s">
        <v>654</v>
      </c>
      <c r="B311" s="51">
        <v>5.1909999999999998</v>
      </c>
      <c r="C311">
        <v>5.1550000000000002</v>
      </c>
      <c r="D311">
        <v>5.1980000000000004</v>
      </c>
      <c r="E311">
        <v>5.1550000000000002</v>
      </c>
      <c r="F311" s="21">
        <v>7.0000000000000001E-3</v>
      </c>
    </row>
    <row r="312" spans="1:6" x14ac:dyDescent="0.35">
      <c r="A312" s="22">
        <v>43415</v>
      </c>
      <c r="B312" s="51">
        <v>5.1550000000000002</v>
      </c>
      <c r="C312">
        <v>5.1760000000000002</v>
      </c>
      <c r="D312">
        <v>5.2060000000000004</v>
      </c>
      <c r="E312">
        <v>5.085</v>
      </c>
      <c r="F312" s="21">
        <v>-4.1000000000000003E-3</v>
      </c>
    </row>
    <row r="313" spans="1:6" x14ac:dyDescent="0.35">
      <c r="A313" s="22">
        <v>43201</v>
      </c>
      <c r="B313" s="51">
        <v>5.1760000000000002</v>
      </c>
      <c r="C313">
        <v>5.1779999999999999</v>
      </c>
      <c r="D313">
        <v>5.1779999999999999</v>
      </c>
      <c r="E313">
        <v>5.17</v>
      </c>
      <c r="F313" s="21">
        <v>-4.0000000000000002E-4</v>
      </c>
    </row>
    <row r="314" spans="1:6" x14ac:dyDescent="0.35">
      <c r="A314" s="22" t="s">
        <v>658</v>
      </c>
      <c r="B314" s="51">
        <v>5.1779999999999999</v>
      </c>
      <c r="C314">
        <v>5.1580000000000004</v>
      </c>
      <c r="D314">
        <v>5.1829999999999998</v>
      </c>
      <c r="E314">
        <v>5.1580000000000004</v>
      </c>
      <c r="F314" s="21">
        <v>3.8999999999999998E-3</v>
      </c>
    </row>
    <row r="315" spans="1:6" x14ac:dyDescent="0.35">
      <c r="A315" s="22" t="s">
        <v>660</v>
      </c>
      <c r="B315" s="51">
        <v>5.1580000000000004</v>
      </c>
      <c r="C315">
        <v>5.0940000000000003</v>
      </c>
      <c r="D315">
        <v>5.1580000000000004</v>
      </c>
      <c r="E315">
        <v>5.0940000000000003</v>
      </c>
      <c r="F315" s="21">
        <v>1.26E-2</v>
      </c>
    </row>
    <row r="316" spans="1:6" x14ac:dyDescent="0.35">
      <c r="A316" s="22" t="s">
        <v>662</v>
      </c>
      <c r="B316" s="51">
        <v>5.0940000000000003</v>
      </c>
      <c r="C316">
        <v>5.0730000000000004</v>
      </c>
      <c r="D316">
        <v>5.0940000000000003</v>
      </c>
      <c r="E316">
        <v>5.0659999999999998</v>
      </c>
      <c r="F316" s="21">
        <v>4.1000000000000003E-3</v>
      </c>
    </row>
    <row r="317" spans="1:6" x14ac:dyDescent="0.35">
      <c r="A317" s="22">
        <v>43291</v>
      </c>
      <c r="B317" s="51">
        <v>5.0730000000000004</v>
      </c>
      <c r="C317">
        <v>5.0369999999999999</v>
      </c>
      <c r="D317">
        <v>5.0750000000000002</v>
      </c>
      <c r="E317">
        <v>5.0259999999999998</v>
      </c>
      <c r="F317" s="21">
        <v>7.1000000000000004E-3</v>
      </c>
    </row>
    <row r="318" spans="1:6" x14ac:dyDescent="0.35">
      <c r="A318" s="22" t="s">
        <v>665</v>
      </c>
      <c r="B318" s="51">
        <v>5.0369999999999999</v>
      </c>
      <c r="C318">
        <v>5.0279999999999996</v>
      </c>
      <c r="D318">
        <v>5.0380000000000003</v>
      </c>
      <c r="E318">
        <v>5.0270000000000001</v>
      </c>
      <c r="F318" s="21">
        <v>1.8E-3</v>
      </c>
    </row>
    <row r="319" spans="1:6" x14ac:dyDescent="0.35">
      <c r="A319" s="22" t="s">
        <v>667</v>
      </c>
      <c r="B319" s="51">
        <v>5.0279999999999996</v>
      </c>
      <c r="C319">
        <v>5.1029999999999998</v>
      </c>
      <c r="D319">
        <v>5.1029999999999998</v>
      </c>
      <c r="E319">
        <v>4.9610000000000003</v>
      </c>
      <c r="F319" s="21">
        <v>-1.47E-2</v>
      </c>
    </row>
    <row r="320" spans="1:6" x14ac:dyDescent="0.35">
      <c r="A320" s="22" t="s">
        <v>668</v>
      </c>
      <c r="B320" s="51">
        <v>5.1029999999999998</v>
      </c>
      <c r="C320">
        <v>5.0670000000000002</v>
      </c>
      <c r="D320">
        <v>5.1040000000000001</v>
      </c>
      <c r="E320">
        <v>5.0430000000000001</v>
      </c>
      <c r="F320" s="21">
        <v>7.1000000000000004E-3</v>
      </c>
    </row>
    <row r="321" spans="1:6" x14ac:dyDescent="0.35">
      <c r="A321" s="22">
        <v>43352</v>
      </c>
      <c r="B321" s="51">
        <v>5.0670000000000002</v>
      </c>
      <c r="C321">
        <v>5.218</v>
      </c>
      <c r="D321">
        <v>5.218</v>
      </c>
      <c r="E321">
        <v>5.0670000000000002</v>
      </c>
      <c r="F321" s="21">
        <v>-2.8899999999999999E-2</v>
      </c>
    </row>
    <row r="322" spans="1:6" x14ac:dyDescent="0.35">
      <c r="A322" s="22">
        <v>43140</v>
      </c>
      <c r="B322" s="51">
        <v>5.218</v>
      </c>
      <c r="C322">
        <v>5.1849999999999996</v>
      </c>
      <c r="D322">
        <v>5.218</v>
      </c>
      <c r="E322">
        <v>5.1790000000000003</v>
      </c>
      <c r="F322" s="21">
        <v>8.8999999999999999E-3</v>
      </c>
    </row>
    <row r="323" spans="1:6" x14ac:dyDescent="0.35">
      <c r="A323" s="22" t="s">
        <v>672</v>
      </c>
      <c r="B323" s="51">
        <v>5.1719999999999997</v>
      </c>
      <c r="C323">
        <v>5.1630000000000003</v>
      </c>
      <c r="D323">
        <v>5.1879999999999997</v>
      </c>
      <c r="E323">
        <v>5.1630000000000003</v>
      </c>
      <c r="F323" s="21">
        <v>1.6999999999999999E-3</v>
      </c>
    </row>
    <row r="324" spans="1:6" x14ac:dyDescent="0.35">
      <c r="A324" s="22" t="s">
        <v>674</v>
      </c>
      <c r="B324" s="51">
        <v>5.1630000000000003</v>
      </c>
      <c r="C324">
        <v>5.0780000000000003</v>
      </c>
      <c r="D324">
        <v>5.2030000000000003</v>
      </c>
      <c r="E324">
        <v>5.0780000000000003</v>
      </c>
      <c r="F324" s="21">
        <v>1.67E-2</v>
      </c>
    </row>
    <row r="325" spans="1:6" x14ac:dyDescent="0.35">
      <c r="A325" s="22">
        <v>43442</v>
      </c>
      <c r="B325" s="51">
        <v>5.0780000000000003</v>
      </c>
      <c r="C325">
        <v>4.9690000000000003</v>
      </c>
      <c r="D325">
        <v>5.0780000000000003</v>
      </c>
      <c r="E325">
        <v>4.96</v>
      </c>
      <c r="F325" s="21">
        <v>2.1899999999999999E-2</v>
      </c>
    </row>
    <row r="326" spans="1:6" x14ac:dyDescent="0.35">
      <c r="A326" s="22">
        <v>43228</v>
      </c>
      <c r="B326" s="51">
        <v>4.9690000000000003</v>
      </c>
      <c r="C326">
        <v>5.0369999999999999</v>
      </c>
      <c r="D326">
        <v>5.0759999999999996</v>
      </c>
      <c r="E326">
        <v>4.9690000000000003</v>
      </c>
      <c r="F326" s="21">
        <v>-1.35E-2</v>
      </c>
    </row>
    <row r="327" spans="1:6" x14ac:dyDescent="0.35">
      <c r="A327" s="22" t="s">
        <v>678</v>
      </c>
      <c r="B327" s="51">
        <v>5.0369999999999999</v>
      </c>
      <c r="C327">
        <v>4.8860000000000001</v>
      </c>
      <c r="D327">
        <v>5.0629999999999997</v>
      </c>
      <c r="E327">
        <v>4.8860000000000001</v>
      </c>
      <c r="F327" s="21">
        <v>3.09E-2</v>
      </c>
    </row>
    <row r="328" spans="1:6" x14ac:dyDescent="0.35">
      <c r="A328" s="22" t="s">
        <v>679</v>
      </c>
      <c r="B328" s="51">
        <v>4.8860000000000001</v>
      </c>
      <c r="C328">
        <v>4.8540000000000001</v>
      </c>
      <c r="D328">
        <v>4.931</v>
      </c>
      <c r="E328">
        <v>4.8540000000000001</v>
      </c>
      <c r="F328" s="21">
        <v>6.6E-3</v>
      </c>
    </row>
    <row r="329" spans="1:6" x14ac:dyDescent="0.35">
      <c r="A329" s="22" t="s">
        <v>680</v>
      </c>
      <c r="B329" s="51">
        <v>4.8540000000000001</v>
      </c>
      <c r="C329">
        <v>4.8390000000000004</v>
      </c>
      <c r="D329">
        <v>4.8559999999999999</v>
      </c>
      <c r="E329">
        <v>4.8390000000000004</v>
      </c>
      <c r="F329" s="21">
        <v>3.0999999999999999E-3</v>
      </c>
    </row>
    <row r="330" spans="1:6" x14ac:dyDescent="0.35">
      <c r="A330" s="22">
        <v>43319</v>
      </c>
      <c r="B330" s="51">
        <v>4.8390000000000004</v>
      </c>
      <c r="C330">
        <v>4.8499999999999996</v>
      </c>
      <c r="D330">
        <v>4.8499999999999996</v>
      </c>
      <c r="E330">
        <v>4.8390000000000004</v>
      </c>
      <c r="F330" s="21">
        <v>-2.3E-3</v>
      </c>
    </row>
    <row r="331" spans="1:6" x14ac:dyDescent="0.35">
      <c r="A331" s="22">
        <v>43107</v>
      </c>
      <c r="B331" s="51">
        <v>4.8499999999999996</v>
      </c>
      <c r="C331">
        <v>4.742</v>
      </c>
      <c r="D331">
        <v>4.8499999999999996</v>
      </c>
      <c r="E331">
        <v>4.742</v>
      </c>
      <c r="F331" s="21">
        <v>2.2599999999999999E-2</v>
      </c>
    </row>
    <row r="332" spans="1:6" x14ac:dyDescent="0.35">
      <c r="A332" s="22" t="s">
        <v>684</v>
      </c>
      <c r="B332" s="51">
        <v>4.7430000000000003</v>
      </c>
      <c r="C332">
        <v>4.7290000000000001</v>
      </c>
      <c r="D332">
        <v>4.7560000000000002</v>
      </c>
      <c r="E332">
        <v>4.7290000000000001</v>
      </c>
      <c r="F332" s="21">
        <v>3.0000000000000001E-3</v>
      </c>
    </row>
    <row r="333" spans="1:6" x14ac:dyDescent="0.35">
      <c r="A333" s="22" t="s">
        <v>686</v>
      </c>
      <c r="B333" s="51">
        <v>4.7290000000000001</v>
      </c>
      <c r="C333">
        <v>4.7389999999999999</v>
      </c>
      <c r="D333">
        <v>4.7489999999999997</v>
      </c>
      <c r="E333">
        <v>4.726</v>
      </c>
      <c r="F333" s="21">
        <v>-2.0999999999999999E-3</v>
      </c>
    </row>
    <row r="334" spans="1:6" x14ac:dyDescent="0.35">
      <c r="A334" s="22">
        <v>43379</v>
      </c>
      <c r="B334" s="51">
        <v>4.7389999999999999</v>
      </c>
      <c r="C334">
        <v>4.6849999999999996</v>
      </c>
      <c r="D334">
        <v>4.7389999999999999</v>
      </c>
      <c r="E334">
        <v>4.6849999999999996</v>
      </c>
      <c r="F334" s="21">
        <v>1.1299999999999999E-2</v>
      </c>
    </row>
    <row r="335" spans="1:6" x14ac:dyDescent="0.35">
      <c r="A335" s="22">
        <v>43165</v>
      </c>
      <c r="B335" s="51">
        <v>4.6859999999999999</v>
      </c>
      <c r="C335">
        <v>4.6630000000000003</v>
      </c>
      <c r="D335">
        <v>4.6879999999999997</v>
      </c>
      <c r="E335">
        <v>4.6609999999999996</v>
      </c>
      <c r="F335" s="21">
        <v>4.7000000000000002E-3</v>
      </c>
    </row>
    <row r="336" spans="1:6" x14ac:dyDescent="0.35">
      <c r="A336" s="22" t="s">
        <v>690</v>
      </c>
      <c r="B336" s="51">
        <v>4.6639999999999997</v>
      </c>
      <c r="C336">
        <v>4.5910000000000002</v>
      </c>
      <c r="D336">
        <v>4.6740000000000004</v>
      </c>
      <c r="E336">
        <v>4.5670000000000002</v>
      </c>
      <c r="F336" s="21">
        <v>1.5900000000000001E-2</v>
      </c>
    </row>
    <row r="337" spans="1:6" x14ac:dyDescent="0.35">
      <c r="A337" s="22" t="s">
        <v>692</v>
      </c>
      <c r="B337" s="51">
        <v>4.5910000000000002</v>
      </c>
      <c r="C337">
        <v>4.5389999999999997</v>
      </c>
      <c r="D337">
        <v>4.5910000000000002</v>
      </c>
      <c r="E337">
        <v>4.5389999999999997</v>
      </c>
      <c r="F337" s="21">
        <v>1.15E-2</v>
      </c>
    </row>
    <row r="338" spans="1:6" x14ac:dyDescent="0.35">
      <c r="A338" s="22" t="s">
        <v>694</v>
      </c>
      <c r="B338" s="51">
        <v>4.5389999999999997</v>
      </c>
      <c r="C338">
        <v>4.5510000000000002</v>
      </c>
      <c r="D338">
        <v>4.569</v>
      </c>
      <c r="E338">
        <v>4.5389999999999997</v>
      </c>
      <c r="F338" s="21">
        <v>-2.8999999999999998E-3</v>
      </c>
    </row>
    <row r="339" spans="1:6" x14ac:dyDescent="0.35">
      <c r="A339" s="22">
        <v>43256</v>
      </c>
      <c r="B339" s="51">
        <v>4.5519999999999996</v>
      </c>
      <c r="C339">
        <v>4.5780000000000003</v>
      </c>
      <c r="D339">
        <v>4.5780000000000003</v>
      </c>
      <c r="E339">
        <v>4.548</v>
      </c>
      <c r="F339" s="21">
        <v>-5.8999999999999999E-3</v>
      </c>
    </row>
    <row r="340" spans="1:6" x14ac:dyDescent="0.35">
      <c r="A340" s="22" t="s">
        <v>697</v>
      </c>
      <c r="B340" s="51">
        <v>4.5789999999999997</v>
      </c>
      <c r="C340">
        <v>4.681</v>
      </c>
      <c r="D340">
        <v>4.79</v>
      </c>
      <c r="E340">
        <v>4.5789999999999997</v>
      </c>
      <c r="F340" s="21">
        <v>-2.1999999999999999E-2</v>
      </c>
    </row>
    <row r="341" spans="1:6" x14ac:dyDescent="0.35">
      <c r="A341" s="22" t="s">
        <v>699</v>
      </c>
      <c r="B341" s="51">
        <v>4.6820000000000004</v>
      </c>
      <c r="C341">
        <v>4.3920000000000003</v>
      </c>
      <c r="D341">
        <v>4.6820000000000004</v>
      </c>
      <c r="E341">
        <v>4.3890000000000002</v>
      </c>
      <c r="F341" s="21">
        <v>6.6000000000000003E-2</v>
      </c>
    </row>
    <row r="342" spans="1:6" x14ac:dyDescent="0.35">
      <c r="A342" s="22" t="s">
        <v>701</v>
      </c>
      <c r="B342" s="51">
        <v>4.3920000000000003</v>
      </c>
      <c r="C342">
        <v>4.3579999999999997</v>
      </c>
      <c r="D342">
        <v>4.4020000000000001</v>
      </c>
      <c r="E342">
        <v>4.3579999999999997</v>
      </c>
      <c r="F342" s="21">
        <v>7.6E-3</v>
      </c>
    </row>
    <row r="343" spans="1:6" x14ac:dyDescent="0.35">
      <c r="A343" s="22">
        <v>43316</v>
      </c>
      <c r="B343" s="51">
        <v>4.359</v>
      </c>
      <c r="C343">
        <v>4.2839999999999998</v>
      </c>
      <c r="D343">
        <v>4.37</v>
      </c>
      <c r="E343">
        <v>4.2839999999999998</v>
      </c>
      <c r="F343" s="21">
        <v>1.7299999999999999E-2</v>
      </c>
    </row>
    <row r="344" spans="1:6" x14ac:dyDescent="0.35">
      <c r="A344" s="22">
        <v>43104</v>
      </c>
      <c r="B344" s="51">
        <v>4.2850000000000001</v>
      </c>
      <c r="C344">
        <v>4.1959999999999997</v>
      </c>
      <c r="D344">
        <v>4.2850000000000001</v>
      </c>
      <c r="E344">
        <v>4.1769999999999996</v>
      </c>
      <c r="F344" s="21">
        <v>2.12E-2</v>
      </c>
    </row>
    <row r="345" spans="1:6" x14ac:dyDescent="0.35">
      <c r="A345" s="22" t="s">
        <v>704</v>
      </c>
      <c r="B345" s="51">
        <v>4.1959999999999997</v>
      </c>
      <c r="C345">
        <v>4.1639999999999997</v>
      </c>
      <c r="D345">
        <v>4.2240000000000002</v>
      </c>
      <c r="E345">
        <v>4.1500000000000004</v>
      </c>
      <c r="F345" s="21">
        <v>7.4000000000000003E-3</v>
      </c>
    </row>
    <row r="346" spans="1:6" x14ac:dyDescent="0.35">
      <c r="A346" s="22" t="s">
        <v>705</v>
      </c>
      <c r="B346" s="51">
        <v>4.165</v>
      </c>
      <c r="C346">
        <v>4.1589999999999998</v>
      </c>
      <c r="D346">
        <v>4.165</v>
      </c>
      <c r="E346">
        <v>4.1500000000000004</v>
      </c>
      <c r="F346" s="21">
        <v>1.1999999999999999E-3</v>
      </c>
    </row>
    <row r="347" spans="1:6" x14ac:dyDescent="0.35">
      <c r="A347" s="22">
        <v>43407</v>
      </c>
      <c r="B347" s="51">
        <v>4.16</v>
      </c>
      <c r="C347">
        <v>4.1520000000000001</v>
      </c>
      <c r="D347">
        <v>4.16</v>
      </c>
      <c r="E347">
        <v>4.1470000000000002</v>
      </c>
      <c r="F347" s="21">
        <v>1.6999999999999999E-3</v>
      </c>
    </row>
    <row r="348" spans="1:6" x14ac:dyDescent="0.35">
      <c r="A348" s="22">
        <v>43193</v>
      </c>
      <c r="B348" s="51">
        <v>4.1529999999999996</v>
      </c>
      <c r="C348">
        <v>4.1980000000000004</v>
      </c>
      <c r="D348">
        <v>4.1980000000000004</v>
      </c>
      <c r="E348">
        <v>4.101</v>
      </c>
      <c r="F348" s="21">
        <v>-1.0999999999999999E-2</v>
      </c>
    </row>
    <row r="349" spans="1:6" x14ac:dyDescent="0.35">
      <c r="A349" s="22" t="s">
        <v>706</v>
      </c>
      <c r="B349" s="51">
        <v>4.1989999999999998</v>
      </c>
      <c r="C349">
        <v>4.2649999999999997</v>
      </c>
      <c r="D349">
        <v>4.3070000000000004</v>
      </c>
      <c r="E349">
        <v>4.1680000000000001</v>
      </c>
      <c r="F349" s="21">
        <v>-1.5699999999999999E-2</v>
      </c>
    </row>
    <row r="350" spans="1:6" x14ac:dyDescent="0.35">
      <c r="A350" s="22" t="s">
        <v>707</v>
      </c>
      <c r="B350" s="51">
        <v>4.266</v>
      </c>
      <c r="C350">
        <v>4.3609999999999998</v>
      </c>
      <c r="D350">
        <v>4.3609999999999998</v>
      </c>
      <c r="E350">
        <v>4.266</v>
      </c>
      <c r="F350" s="21">
        <v>-2.18E-2</v>
      </c>
    </row>
    <row r="351" spans="1:6" x14ac:dyDescent="0.35">
      <c r="A351" s="22">
        <v>43406</v>
      </c>
      <c r="B351" s="51">
        <v>4.3609999999999998</v>
      </c>
      <c r="C351">
        <v>4.3840000000000003</v>
      </c>
      <c r="D351">
        <v>4.3840000000000003</v>
      </c>
      <c r="E351">
        <v>4.3410000000000002</v>
      </c>
      <c r="F351" s="21">
        <v>-5.1999999999999998E-3</v>
      </c>
    </row>
    <row r="352" spans="1:6" x14ac:dyDescent="0.35">
      <c r="A352" s="22">
        <v>43192</v>
      </c>
      <c r="B352" s="51">
        <v>4.3840000000000003</v>
      </c>
      <c r="C352">
        <v>4.3029999999999999</v>
      </c>
      <c r="D352">
        <v>4.4790000000000001</v>
      </c>
      <c r="E352">
        <v>4.274</v>
      </c>
      <c r="F352" s="21">
        <v>1.8800000000000001E-2</v>
      </c>
    </row>
    <row r="353" spans="1:6" x14ac:dyDescent="0.35">
      <c r="A353" s="22" t="s">
        <v>711</v>
      </c>
      <c r="B353" s="51">
        <v>4.3029999999999999</v>
      </c>
      <c r="C353">
        <v>4.0949999999999998</v>
      </c>
      <c r="D353">
        <v>4.3959999999999999</v>
      </c>
      <c r="E353">
        <v>4.069</v>
      </c>
      <c r="F353" s="21">
        <v>5.0799999999999998E-2</v>
      </c>
    </row>
    <row r="354" spans="1:6" x14ac:dyDescent="0.35">
      <c r="A354" s="22" t="s">
        <v>712</v>
      </c>
      <c r="B354" s="51">
        <v>4.0949999999999998</v>
      </c>
      <c r="C354">
        <v>4.5579999999999998</v>
      </c>
      <c r="D354">
        <v>5.3780000000000001</v>
      </c>
      <c r="E354">
        <v>4.085</v>
      </c>
      <c r="F354" s="21">
        <v>-0.1018</v>
      </c>
    </row>
    <row r="355" spans="1:6" x14ac:dyDescent="0.35">
      <c r="A355" s="22" t="s">
        <v>713</v>
      </c>
      <c r="B355" s="51">
        <v>4.5590000000000002</v>
      </c>
      <c r="C355">
        <v>4.7169999999999996</v>
      </c>
      <c r="D355">
        <v>4.7380000000000004</v>
      </c>
      <c r="E355">
        <v>4.4589999999999996</v>
      </c>
      <c r="F355" s="21">
        <v>-3.3500000000000002E-2</v>
      </c>
    </row>
    <row r="356" spans="1:6" x14ac:dyDescent="0.35">
      <c r="A356" s="22">
        <v>43282</v>
      </c>
      <c r="B356" s="51">
        <v>4.7169999999999996</v>
      </c>
      <c r="C356">
        <v>5.1059999999999999</v>
      </c>
      <c r="D356">
        <v>5.1059999999999999</v>
      </c>
      <c r="E356">
        <v>4.7</v>
      </c>
      <c r="F356" s="21">
        <v>-7.6200000000000004E-2</v>
      </c>
    </row>
    <row r="357" spans="1:6" x14ac:dyDescent="0.35">
      <c r="A357" s="22" t="s">
        <v>716</v>
      </c>
      <c r="B357" s="51">
        <v>5.1059999999999999</v>
      </c>
      <c r="C357">
        <v>5.0529999999999999</v>
      </c>
      <c r="D357">
        <v>5.1059999999999999</v>
      </c>
      <c r="E357">
        <v>5.0469999999999997</v>
      </c>
      <c r="F357" s="21">
        <v>1.0500000000000001E-2</v>
      </c>
    </row>
    <row r="358" spans="1:6" x14ac:dyDescent="0.35">
      <c r="A358" s="22" t="s">
        <v>718</v>
      </c>
      <c r="B358" s="51">
        <v>5.0529999999999999</v>
      </c>
      <c r="C358">
        <v>5.016</v>
      </c>
      <c r="D358">
        <v>5.0529999999999999</v>
      </c>
      <c r="E358">
        <v>5</v>
      </c>
      <c r="F358" s="21">
        <v>7.4000000000000003E-3</v>
      </c>
    </row>
    <row r="359" spans="1:6" x14ac:dyDescent="0.35">
      <c r="A359" s="22" t="s">
        <v>720</v>
      </c>
      <c r="B359" s="51">
        <v>5.016</v>
      </c>
      <c r="C359">
        <v>5.2</v>
      </c>
      <c r="D359">
        <v>5.2</v>
      </c>
      <c r="E359">
        <v>5.016</v>
      </c>
      <c r="F359" s="21">
        <v>-3.5400000000000001E-2</v>
      </c>
    </row>
    <row r="360" spans="1:6" x14ac:dyDescent="0.35">
      <c r="A360" s="22">
        <v>43020</v>
      </c>
      <c r="B360" s="51">
        <v>5.2</v>
      </c>
      <c r="C360">
        <v>5.3540000000000001</v>
      </c>
      <c r="D360">
        <v>5.3540000000000001</v>
      </c>
      <c r="E360">
        <v>5.2</v>
      </c>
      <c r="F360" s="21">
        <v>-2.9899999999999999E-2</v>
      </c>
    </row>
    <row r="361" spans="1:6" x14ac:dyDescent="0.35">
      <c r="A361" s="22">
        <v>42806</v>
      </c>
      <c r="B361" s="51">
        <v>5.36</v>
      </c>
      <c r="C361">
        <v>5.383</v>
      </c>
      <c r="D361">
        <v>5.383</v>
      </c>
      <c r="E361">
        <v>5.36</v>
      </c>
      <c r="F361" s="21">
        <v>-4.3E-3</v>
      </c>
    </row>
    <row r="362" spans="1:6" x14ac:dyDescent="0.35">
      <c r="A362" s="22" t="s">
        <v>722</v>
      </c>
      <c r="B362" s="51">
        <v>5.383</v>
      </c>
      <c r="C362">
        <v>5.4080000000000004</v>
      </c>
      <c r="D362">
        <v>5.41</v>
      </c>
      <c r="E362">
        <v>5.383</v>
      </c>
      <c r="F362" s="21">
        <v>-4.5999999999999999E-3</v>
      </c>
    </row>
    <row r="363" spans="1:6" x14ac:dyDescent="0.35">
      <c r="A363" s="22" t="s">
        <v>724</v>
      </c>
      <c r="B363" s="51">
        <v>5.4080000000000004</v>
      </c>
      <c r="C363">
        <v>5.4029999999999996</v>
      </c>
      <c r="D363">
        <v>5.4080000000000004</v>
      </c>
      <c r="E363">
        <v>5.4009999999999998</v>
      </c>
      <c r="F363" s="21">
        <v>8.9999999999999998E-4</v>
      </c>
    </row>
    <row r="364" spans="1:6" x14ac:dyDescent="0.35">
      <c r="A364" s="22">
        <v>43080</v>
      </c>
      <c r="B364" s="51">
        <v>5.4029999999999996</v>
      </c>
      <c r="C364">
        <v>5.3109999999999999</v>
      </c>
      <c r="D364">
        <v>5.4050000000000002</v>
      </c>
      <c r="E364">
        <v>5.3109999999999999</v>
      </c>
      <c r="F364" s="21">
        <v>1.7299999999999999E-2</v>
      </c>
    </row>
    <row r="365" spans="1:6" x14ac:dyDescent="0.35">
      <c r="A365" s="22">
        <v>42866</v>
      </c>
      <c r="B365" s="51">
        <v>5.3109999999999999</v>
      </c>
      <c r="C365">
        <v>5.306</v>
      </c>
      <c r="D365">
        <v>5.3120000000000003</v>
      </c>
      <c r="E365">
        <v>5.306</v>
      </c>
      <c r="F365" s="21">
        <v>8.9999999999999998E-4</v>
      </c>
    </row>
    <row r="366" spans="1:6" x14ac:dyDescent="0.35">
      <c r="A366" s="22" t="s">
        <v>725</v>
      </c>
      <c r="B366" s="51">
        <v>5.306</v>
      </c>
      <c r="C366">
        <v>5.3170000000000002</v>
      </c>
      <c r="D366">
        <v>5.3170000000000002</v>
      </c>
      <c r="E366">
        <v>5.306</v>
      </c>
      <c r="F366" s="21">
        <v>-2.0999999999999999E-3</v>
      </c>
    </row>
    <row r="367" spans="1:6" x14ac:dyDescent="0.35">
      <c r="A367" s="22" t="s">
        <v>727</v>
      </c>
      <c r="B367" s="51">
        <v>5.3170000000000002</v>
      </c>
      <c r="C367">
        <v>5.32</v>
      </c>
      <c r="D367">
        <v>5.32</v>
      </c>
      <c r="E367">
        <v>5.3170000000000002</v>
      </c>
      <c r="F367" s="21">
        <v>-5.9999999999999995E-4</v>
      </c>
    </row>
    <row r="368" spans="1:6" x14ac:dyDescent="0.35">
      <c r="A368" s="22" t="s">
        <v>729</v>
      </c>
      <c r="B368" s="51">
        <v>5.32</v>
      </c>
      <c r="C368">
        <v>5.3250000000000002</v>
      </c>
      <c r="D368">
        <v>5.3250000000000002</v>
      </c>
      <c r="E368">
        <v>5.3159999999999998</v>
      </c>
      <c r="F368" s="21">
        <v>-8.9999999999999998E-4</v>
      </c>
    </row>
    <row r="369" spans="1:6" x14ac:dyDescent="0.35">
      <c r="A369" s="22">
        <v>42957</v>
      </c>
      <c r="B369" s="51">
        <v>5.3250000000000002</v>
      </c>
      <c r="C369">
        <v>5.351</v>
      </c>
      <c r="D369">
        <v>5.351</v>
      </c>
      <c r="E369">
        <v>5.3179999999999996</v>
      </c>
      <c r="F369" s="21">
        <v>-4.8999999999999998E-3</v>
      </c>
    </row>
    <row r="370" spans="1:6" x14ac:dyDescent="0.35">
      <c r="A370" s="22">
        <v>42745</v>
      </c>
      <c r="B370" s="51">
        <v>5.351</v>
      </c>
      <c r="C370">
        <v>5.3659999999999997</v>
      </c>
      <c r="D370">
        <v>5.3659999999999997</v>
      </c>
      <c r="E370">
        <v>5.351</v>
      </c>
      <c r="F370" s="21">
        <v>-2.8E-3</v>
      </c>
    </row>
    <row r="371" spans="1:6" x14ac:dyDescent="0.35">
      <c r="A371" s="22" t="s">
        <v>733</v>
      </c>
      <c r="B371" s="51">
        <v>5.3659999999999997</v>
      </c>
      <c r="C371">
        <v>5.3789999999999996</v>
      </c>
      <c r="D371">
        <v>5.3789999999999996</v>
      </c>
      <c r="E371">
        <v>5.3659999999999997</v>
      </c>
      <c r="F371" s="21">
        <v>-2.3999999999999998E-3</v>
      </c>
    </row>
    <row r="372" spans="1:6" x14ac:dyDescent="0.35">
      <c r="A372" s="22" t="s">
        <v>735</v>
      </c>
      <c r="B372" s="51">
        <v>5.3789999999999996</v>
      </c>
      <c r="C372">
        <v>5.38</v>
      </c>
      <c r="D372">
        <v>5.38</v>
      </c>
      <c r="E372">
        <v>5.3760000000000003</v>
      </c>
      <c r="F372" s="21">
        <v>-2.0000000000000001E-4</v>
      </c>
    </row>
    <row r="373" spans="1:6" x14ac:dyDescent="0.35">
      <c r="A373" s="22">
        <v>43017</v>
      </c>
      <c r="B373" s="51">
        <v>5.38</v>
      </c>
      <c r="C373">
        <v>5.3849999999999998</v>
      </c>
      <c r="D373">
        <v>5.3959999999999999</v>
      </c>
      <c r="E373">
        <v>5.38</v>
      </c>
      <c r="F373" s="21">
        <v>-8.9999999999999998E-4</v>
      </c>
    </row>
    <row r="374" spans="1:6" x14ac:dyDescent="0.35">
      <c r="A374" s="22">
        <v>42803</v>
      </c>
      <c r="B374" s="51">
        <v>5.3849999999999998</v>
      </c>
      <c r="C374">
        <v>5.4969999999999999</v>
      </c>
      <c r="D374">
        <v>5.4969999999999999</v>
      </c>
      <c r="E374">
        <v>5.3849999999999998</v>
      </c>
      <c r="F374" s="21">
        <v>-2.06E-2</v>
      </c>
    </row>
    <row r="375" spans="1:6" x14ac:dyDescent="0.35">
      <c r="A375" s="22" t="s">
        <v>739</v>
      </c>
      <c r="B375" s="51">
        <v>5.4980000000000002</v>
      </c>
      <c r="C375">
        <v>5.4969999999999999</v>
      </c>
      <c r="D375">
        <v>5.54</v>
      </c>
      <c r="E375">
        <v>5.4969999999999999</v>
      </c>
      <c r="F375" s="21">
        <v>2.0000000000000001E-4</v>
      </c>
    </row>
    <row r="376" spans="1:6" x14ac:dyDescent="0.35">
      <c r="A376" s="22" t="s">
        <v>740</v>
      </c>
      <c r="B376" s="51">
        <v>5.4969999999999999</v>
      </c>
      <c r="C376">
        <v>5.407</v>
      </c>
      <c r="D376">
        <v>5.4969999999999999</v>
      </c>
      <c r="E376">
        <v>5.407</v>
      </c>
      <c r="F376" s="21">
        <v>1.66E-2</v>
      </c>
    </row>
    <row r="377" spans="1:6" x14ac:dyDescent="0.35">
      <c r="A377" s="22" t="s">
        <v>742</v>
      </c>
      <c r="B377" s="51">
        <v>5.407</v>
      </c>
      <c r="C377">
        <v>5.3410000000000002</v>
      </c>
      <c r="D377">
        <v>5.4080000000000004</v>
      </c>
      <c r="E377">
        <v>5.3410000000000002</v>
      </c>
      <c r="F377" s="21">
        <v>1.24E-2</v>
      </c>
    </row>
    <row r="378" spans="1:6" x14ac:dyDescent="0.35">
      <c r="A378" s="22">
        <v>42894</v>
      </c>
      <c r="B378" s="51">
        <v>5.3410000000000002</v>
      </c>
      <c r="C378">
        <v>5.2720000000000002</v>
      </c>
      <c r="D378">
        <v>5.3410000000000002</v>
      </c>
      <c r="E378">
        <v>5.2720000000000002</v>
      </c>
      <c r="F378" s="21">
        <v>1.3100000000000001E-2</v>
      </c>
    </row>
    <row r="379" spans="1:6" x14ac:dyDescent="0.35">
      <c r="A379" s="22" t="s">
        <v>745</v>
      </c>
      <c r="B379" s="51">
        <v>5.2720000000000002</v>
      </c>
      <c r="C379">
        <v>5.274</v>
      </c>
      <c r="D379">
        <v>5.274</v>
      </c>
      <c r="E379">
        <v>5.2649999999999997</v>
      </c>
      <c r="F379" s="21">
        <v>-4.0000000000000002E-4</v>
      </c>
    </row>
    <row r="380" spans="1:6" x14ac:dyDescent="0.35">
      <c r="A380" s="22" t="s">
        <v>746</v>
      </c>
      <c r="B380" s="51">
        <v>5.274</v>
      </c>
      <c r="C380">
        <v>5.2530000000000001</v>
      </c>
      <c r="D380">
        <v>5.2779999999999996</v>
      </c>
      <c r="E380">
        <v>5.2530000000000001</v>
      </c>
      <c r="F380" s="21">
        <v>4.0000000000000001E-3</v>
      </c>
    </row>
    <row r="381" spans="1:6" x14ac:dyDescent="0.35">
      <c r="A381" s="22" t="s">
        <v>748</v>
      </c>
      <c r="B381" s="51">
        <v>5.2530000000000001</v>
      </c>
      <c r="C381">
        <v>5.3760000000000003</v>
      </c>
      <c r="D381">
        <v>5.3810000000000002</v>
      </c>
      <c r="E381">
        <v>5.2409999999999997</v>
      </c>
      <c r="F381" s="21">
        <v>-2.29E-2</v>
      </c>
    </row>
    <row r="382" spans="1:6" x14ac:dyDescent="0.35">
      <c r="A382" s="22">
        <v>42985</v>
      </c>
      <c r="B382" s="51">
        <v>5.3760000000000003</v>
      </c>
      <c r="C382">
        <v>5.5890000000000004</v>
      </c>
      <c r="D382">
        <v>5.5890000000000004</v>
      </c>
      <c r="E382">
        <v>5.3680000000000003</v>
      </c>
      <c r="F382" s="21">
        <v>-3.8100000000000002E-2</v>
      </c>
    </row>
    <row r="383" spans="1:6" x14ac:dyDescent="0.35">
      <c r="A383" s="22">
        <v>42773</v>
      </c>
      <c r="B383" s="51">
        <v>5.5890000000000004</v>
      </c>
      <c r="C383">
        <v>5.6340000000000003</v>
      </c>
      <c r="D383">
        <v>5.6340000000000003</v>
      </c>
      <c r="E383">
        <v>5.5890000000000004</v>
      </c>
      <c r="F383" s="21">
        <v>-8.0000000000000002E-3</v>
      </c>
    </row>
    <row r="384" spans="1:6" x14ac:dyDescent="0.35">
      <c r="A384" s="22" t="s">
        <v>749</v>
      </c>
      <c r="B384" s="51">
        <v>5.6340000000000003</v>
      </c>
      <c r="C384">
        <v>5.6520000000000001</v>
      </c>
      <c r="D384">
        <v>5.6529999999999996</v>
      </c>
      <c r="E384">
        <v>5.6340000000000003</v>
      </c>
      <c r="F384" s="21">
        <v>-3.2000000000000002E-3</v>
      </c>
    </row>
    <row r="385" spans="1:6" x14ac:dyDescent="0.35">
      <c r="A385" s="22" t="s">
        <v>750</v>
      </c>
      <c r="B385" s="51">
        <v>5.6520000000000001</v>
      </c>
      <c r="C385">
        <v>5.7590000000000003</v>
      </c>
      <c r="D385">
        <v>5.7590000000000003</v>
      </c>
      <c r="E385">
        <v>5.6520000000000001</v>
      </c>
      <c r="F385" s="21">
        <v>-1.8599999999999998E-2</v>
      </c>
    </row>
    <row r="386" spans="1:6" x14ac:dyDescent="0.35">
      <c r="A386" s="22">
        <v>43045</v>
      </c>
      <c r="B386" s="51">
        <v>5.7590000000000003</v>
      </c>
      <c r="C386">
        <v>5.8230000000000004</v>
      </c>
      <c r="D386">
        <v>5.84</v>
      </c>
      <c r="E386">
        <v>5.7590000000000003</v>
      </c>
      <c r="F386" s="21">
        <v>-1.0999999999999999E-2</v>
      </c>
    </row>
    <row r="387" spans="1:6" x14ac:dyDescent="0.35">
      <c r="A387" s="22">
        <v>42831</v>
      </c>
      <c r="B387" s="51">
        <v>5.8230000000000004</v>
      </c>
      <c r="C387">
        <v>5.8550000000000004</v>
      </c>
      <c r="D387">
        <v>5.8550000000000004</v>
      </c>
      <c r="E387">
        <v>5.8230000000000004</v>
      </c>
      <c r="F387" s="21">
        <v>-5.4999999999999997E-3</v>
      </c>
    </row>
    <row r="388" spans="1:6" x14ac:dyDescent="0.35">
      <c r="A388" s="22" t="s">
        <v>751</v>
      </c>
      <c r="B388" s="51">
        <v>5.8550000000000004</v>
      </c>
      <c r="C388">
        <v>5.6859999999999999</v>
      </c>
      <c r="D388">
        <v>5.8650000000000002</v>
      </c>
      <c r="E388">
        <v>5.6710000000000003</v>
      </c>
      <c r="F388" s="21">
        <v>2.9700000000000001E-2</v>
      </c>
    </row>
    <row r="389" spans="1:6" x14ac:dyDescent="0.35">
      <c r="A389" s="22" t="s">
        <v>752</v>
      </c>
      <c r="B389" s="51">
        <v>5.6859999999999999</v>
      </c>
      <c r="C389">
        <v>5.7569999999999997</v>
      </c>
      <c r="D389">
        <v>5.7610000000000001</v>
      </c>
      <c r="E389">
        <v>5.6859999999999999</v>
      </c>
      <c r="F389" s="21">
        <v>-1.23E-2</v>
      </c>
    </row>
    <row r="390" spans="1:6" x14ac:dyDescent="0.35">
      <c r="A390" s="22" t="s">
        <v>753</v>
      </c>
      <c r="B390" s="51">
        <v>5.7569999999999997</v>
      </c>
      <c r="C390">
        <v>5.8049999999999997</v>
      </c>
      <c r="D390">
        <v>5.8049999999999997</v>
      </c>
      <c r="E390">
        <v>5.7569999999999997</v>
      </c>
      <c r="F390" s="21">
        <v>-8.3000000000000001E-3</v>
      </c>
    </row>
    <row r="391" spans="1:6" x14ac:dyDescent="0.35">
      <c r="A391" s="22">
        <v>42921</v>
      </c>
      <c r="B391" s="51">
        <v>5.8049999999999997</v>
      </c>
      <c r="C391">
        <v>5.8090000000000002</v>
      </c>
      <c r="D391">
        <v>5.81</v>
      </c>
      <c r="E391">
        <v>5.8029999999999999</v>
      </c>
      <c r="F391" s="21">
        <v>-6.9999999999999999E-4</v>
      </c>
    </row>
    <row r="392" spans="1:6" x14ac:dyDescent="0.35">
      <c r="A392" s="22" t="s">
        <v>754</v>
      </c>
      <c r="B392" s="51">
        <v>5.8090000000000002</v>
      </c>
      <c r="C392">
        <v>5.7949999999999999</v>
      </c>
      <c r="D392">
        <v>5.8090000000000002</v>
      </c>
      <c r="E392">
        <v>5.7949999999999999</v>
      </c>
      <c r="F392" s="21">
        <v>2.8E-3</v>
      </c>
    </row>
    <row r="393" spans="1:6" x14ac:dyDescent="0.35">
      <c r="A393" s="22" t="s">
        <v>756</v>
      </c>
      <c r="B393" s="51">
        <v>5.7930000000000001</v>
      </c>
      <c r="C393">
        <v>5.77</v>
      </c>
      <c r="D393">
        <v>5.7930000000000001</v>
      </c>
      <c r="E393">
        <v>5.77</v>
      </c>
      <c r="F393" s="21">
        <v>4.0000000000000001E-3</v>
      </c>
    </row>
    <row r="394" spans="1:6" x14ac:dyDescent="0.35">
      <c r="A394" s="22" t="s">
        <v>758</v>
      </c>
      <c r="B394" s="51">
        <v>5.77</v>
      </c>
      <c r="C394">
        <v>5.7750000000000004</v>
      </c>
      <c r="D394">
        <v>5.7750000000000004</v>
      </c>
      <c r="E394">
        <v>5.758</v>
      </c>
      <c r="F394" s="21">
        <v>-8.9999999999999998E-4</v>
      </c>
    </row>
    <row r="395" spans="1:6" x14ac:dyDescent="0.35">
      <c r="A395" s="22">
        <v>42982</v>
      </c>
      <c r="B395" s="51">
        <v>5.7750000000000004</v>
      </c>
      <c r="C395">
        <v>5.8120000000000003</v>
      </c>
      <c r="D395">
        <v>5.8120000000000003</v>
      </c>
      <c r="E395">
        <v>5.7750000000000004</v>
      </c>
      <c r="F395" s="21">
        <v>-6.4000000000000003E-3</v>
      </c>
    </row>
    <row r="396" spans="1:6" x14ac:dyDescent="0.35">
      <c r="A396" s="22">
        <v>42770</v>
      </c>
      <c r="B396" s="51">
        <v>5.8120000000000003</v>
      </c>
      <c r="C396">
        <v>5.8259999999999996</v>
      </c>
      <c r="D396">
        <v>5.835</v>
      </c>
      <c r="E396">
        <v>5.8120000000000003</v>
      </c>
      <c r="F396" s="21">
        <v>-2.3999999999999998E-3</v>
      </c>
    </row>
    <row r="397" spans="1:6" x14ac:dyDescent="0.35">
      <c r="A397" s="22" t="s">
        <v>762</v>
      </c>
      <c r="B397" s="51">
        <v>5.8259999999999996</v>
      </c>
      <c r="C397">
        <v>5.8319999999999999</v>
      </c>
      <c r="D397">
        <v>5.8319999999999999</v>
      </c>
      <c r="E397">
        <v>5.8259999999999996</v>
      </c>
      <c r="F397" s="21">
        <v>-1E-3</v>
      </c>
    </row>
    <row r="398" spans="1:6" x14ac:dyDescent="0.35">
      <c r="A398" s="22" t="s">
        <v>763</v>
      </c>
      <c r="B398" s="51">
        <v>5.8319999999999999</v>
      </c>
      <c r="C398">
        <v>5.8410000000000002</v>
      </c>
      <c r="D398">
        <v>5.8410000000000002</v>
      </c>
      <c r="E398">
        <v>5.8209999999999997</v>
      </c>
      <c r="F398" s="21">
        <v>-1.5E-3</v>
      </c>
    </row>
    <row r="399" spans="1:6" x14ac:dyDescent="0.35">
      <c r="A399" s="22">
        <v>43072</v>
      </c>
      <c r="B399" s="51">
        <v>5.8410000000000002</v>
      </c>
      <c r="C399">
        <v>5.8710000000000004</v>
      </c>
      <c r="D399">
        <v>5.875</v>
      </c>
      <c r="E399">
        <v>5.8410000000000002</v>
      </c>
      <c r="F399" s="21">
        <v>-5.1000000000000004E-3</v>
      </c>
    </row>
    <row r="400" spans="1:6" x14ac:dyDescent="0.35">
      <c r="A400" s="22">
        <v>42858</v>
      </c>
      <c r="B400" s="51">
        <v>5.8710000000000004</v>
      </c>
      <c r="C400">
        <v>5.8819999999999997</v>
      </c>
      <c r="D400">
        <v>5.8819999999999997</v>
      </c>
      <c r="E400">
        <v>5.8710000000000004</v>
      </c>
      <c r="F400" s="21">
        <v>-1.9E-3</v>
      </c>
    </row>
    <row r="401" spans="1:6" x14ac:dyDescent="0.35">
      <c r="A401" s="22" t="s">
        <v>766</v>
      </c>
      <c r="B401" s="51">
        <v>5.8819999999999997</v>
      </c>
      <c r="C401">
        <v>5.8940000000000001</v>
      </c>
      <c r="D401">
        <v>5.8940000000000001</v>
      </c>
      <c r="E401">
        <v>5.8819999999999997</v>
      </c>
      <c r="F401" s="21">
        <v>-2E-3</v>
      </c>
    </row>
    <row r="402" spans="1:6" x14ac:dyDescent="0.35">
      <c r="A402" s="22" t="s">
        <v>768</v>
      </c>
      <c r="B402" s="51">
        <v>5.8940000000000001</v>
      </c>
      <c r="C402">
        <v>5.9020000000000001</v>
      </c>
      <c r="D402">
        <v>5.9039999999999999</v>
      </c>
      <c r="E402">
        <v>5.8940000000000001</v>
      </c>
      <c r="F402" s="21">
        <v>-1.4E-3</v>
      </c>
    </row>
    <row r="403" spans="1:6" x14ac:dyDescent="0.35">
      <c r="A403" s="22">
        <v>43071</v>
      </c>
      <c r="B403" s="51">
        <v>5.9020000000000001</v>
      </c>
      <c r="C403">
        <v>5.94</v>
      </c>
      <c r="D403">
        <v>5.94</v>
      </c>
      <c r="E403">
        <v>5.891</v>
      </c>
      <c r="F403" s="21">
        <v>-6.4000000000000003E-3</v>
      </c>
    </row>
    <row r="404" spans="1:6" x14ac:dyDescent="0.35">
      <c r="A404" s="22">
        <v>42857</v>
      </c>
      <c r="B404" s="51">
        <v>5.94</v>
      </c>
      <c r="C404">
        <v>5.9950000000000001</v>
      </c>
      <c r="D404">
        <v>5.9950000000000001</v>
      </c>
      <c r="E404">
        <v>5.94</v>
      </c>
      <c r="F404" s="21">
        <v>-9.1999999999999998E-3</v>
      </c>
    </row>
    <row r="405" spans="1:6" x14ac:dyDescent="0.35">
      <c r="A405" s="22" t="s">
        <v>771</v>
      </c>
      <c r="B405" s="51">
        <v>5.9950000000000001</v>
      </c>
      <c r="C405">
        <v>6.01</v>
      </c>
      <c r="D405">
        <v>6.01</v>
      </c>
      <c r="E405">
        <v>5.9950000000000001</v>
      </c>
      <c r="F405" s="21">
        <v>-2.5000000000000001E-3</v>
      </c>
    </row>
    <row r="406" spans="1:6" x14ac:dyDescent="0.35">
      <c r="A406" s="22" t="s">
        <v>773</v>
      </c>
      <c r="B406" s="51">
        <v>6.01</v>
      </c>
      <c r="C406">
        <v>6.0350000000000001</v>
      </c>
      <c r="D406">
        <v>6.0350000000000001</v>
      </c>
      <c r="E406">
        <v>6.008</v>
      </c>
      <c r="F406" s="21">
        <v>-4.1000000000000003E-3</v>
      </c>
    </row>
    <row r="407" spans="1:6" x14ac:dyDescent="0.35">
      <c r="A407" s="22" t="s">
        <v>775</v>
      </c>
      <c r="B407" s="51">
        <v>6.0350000000000001</v>
      </c>
      <c r="C407">
        <v>6.0510000000000002</v>
      </c>
      <c r="D407">
        <v>6.0510000000000002</v>
      </c>
      <c r="E407">
        <v>6.0350000000000001</v>
      </c>
      <c r="F407" s="21">
        <v>-2.5999999999999999E-3</v>
      </c>
    </row>
    <row r="408" spans="1:6" x14ac:dyDescent="0.35">
      <c r="A408" s="22">
        <v>42948</v>
      </c>
      <c r="B408" s="51">
        <v>6.0510000000000002</v>
      </c>
      <c r="C408">
        <v>6.1029999999999998</v>
      </c>
      <c r="D408">
        <v>6.1029999999999998</v>
      </c>
      <c r="E408">
        <v>6.0510000000000002</v>
      </c>
      <c r="F408" s="21">
        <v>-8.5000000000000006E-3</v>
      </c>
    </row>
    <row r="409" spans="1:6" x14ac:dyDescent="0.35">
      <c r="A409" s="22">
        <v>42736</v>
      </c>
      <c r="B409" s="51">
        <v>6.1029999999999998</v>
      </c>
      <c r="C409">
        <v>6.0949999999999998</v>
      </c>
      <c r="D409">
        <v>6.1029999999999998</v>
      </c>
      <c r="E409">
        <v>6.093</v>
      </c>
      <c r="F409" s="21">
        <v>1.2999999999999999E-3</v>
      </c>
    </row>
    <row r="410" spans="1:6" x14ac:dyDescent="0.35">
      <c r="A410" s="22" t="s">
        <v>779</v>
      </c>
      <c r="B410" s="51">
        <v>6.0949999999999998</v>
      </c>
      <c r="C410">
        <v>6.1029999999999998</v>
      </c>
      <c r="D410">
        <v>6.1029999999999998</v>
      </c>
      <c r="E410">
        <v>6.0940000000000003</v>
      </c>
      <c r="F410" s="21">
        <v>-1.2999999999999999E-3</v>
      </c>
    </row>
    <row r="411" spans="1:6" x14ac:dyDescent="0.35">
      <c r="A411" s="22" t="s">
        <v>781</v>
      </c>
      <c r="B411" s="51">
        <v>6.1029999999999998</v>
      </c>
      <c r="C411">
        <v>6.1070000000000002</v>
      </c>
      <c r="D411">
        <v>6.1219999999999999</v>
      </c>
      <c r="E411">
        <v>6.1029999999999998</v>
      </c>
      <c r="F411" s="21">
        <v>-6.9999999999999999E-4</v>
      </c>
    </row>
    <row r="412" spans="1:6" x14ac:dyDescent="0.35">
      <c r="A412" s="22">
        <v>42686</v>
      </c>
      <c r="B412" s="51">
        <v>6.1070000000000002</v>
      </c>
      <c r="C412">
        <v>6.0380000000000003</v>
      </c>
      <c r="D412">
        <v>6.1070000000000002</v>
      </c>
      <c r="E412">
        <v>6.0380000000000003</v>
      </c>
      <c r="F412" s="21">
        <v>1.14E-2</v>
      </c>
    </row>
    <row r="413" spans="1:6" x14ac:dyDescent="0.35">
      <c r="A413" s="22">
        <v>42472</v>
      </c>
      <c r="B413" s="51">
        <v>6.0380000000000003</v>
      </c>
      <c r="C413">
        <v>6.0510000000000002</v>
      </c>
      <c r="D413">
        <v>6.0510000000000002</v>
      </c>
      <c r="E413">
        <v>6.0380000000000003</v>
      </c>
      <c r="F413" s="21">
        <v>-2.0999999999999999E-3</v>
      </c>
    </row>
    <row r="414" spans="1:6" x14ac:dyDescent="0.35">
      <c r="A414" s="22" t="s">
        <v>785</v>
      </c>
      <c r="B414" s="51">
        <v>6.0510000000000002</v>
      </c>
      <c r="C414">
        <v>6.06</v>
      </c>
      <c r="D414">
        <v>6.06</v>
      </c>
      <c r="E414">
        <v>6.0460000000000003</v>
      </c>
      <c r="F414" s="21">
        <v>-1.5E-3</v>
      </c>
    </row>
    <row r="415" spans="1:6" x14ac:dyDescent="0.35">
      <c r="A415" s="22" t="s">
        <v>787</v>
      </c>
      <c r="B415" s="51">
        <v>6.06</v>
      </c>
      <c r="C415">
        <v>6.0970000000000004</v>
      </c>
      <c r="D415">
        <v>6.0970000000000004</v>
      </c>
      <c r="E415">
        <v>6.06</v>
      </c>
      <c r="F415" s="21">
        <v>-6.1000000000000004E-3</v>
      </c>
    </row>
    <row r="416" spans="1:6" x14ac:dyDescent="0.35">
      <c r="A416" s="22" t="s">
        <v>789</v>
      </c>
      <c r="B416" s="51">
        <v>6.0970000000000004</v>
      </c>
      <c r="C416">
        <v>5.9909999999999997</v>
      </c>
      <c r="D416">
        <v>6.1</v>
      </c>
      <c r="E416">
        <v>5.9909999999999997</v>
      </c>
      <c r="F416" s="21">
        <v>1.77E-2</v>
      </c>
    </row>
    <row r="417" spans="1:6" x14ac:dyDescent="0.35">
      <c r="A417" s="22">
        <v>42532</v>
      </c>
      <c r="B417" s="51">
        <v>5.9909999999999997</v>
      </c>
      <c r="C417">
        <v>5.9740000000000002</v>
      </c>
      <c r="D417">
        <v>6.0010000000000003</v>
      </c>
      <c r="E417">
        <v>5.9740000000000002</v>
      </c>
      <c r="F417" s="21">
        <v>2.8E-3</v>
      </c>
    </row>
    <row r="418" spans="1:6" x14ac:dyDescent="0.35">
      <c r="A418" s="22" t="s">
        <v>792</v>
      </c>
      <c r="B418" s="51">
        <v>5.9740000000000002</v>
      </c>
      <c r="C418">
        <v>5.9729999999999999</v>
      </c>
      <c r="D418">
        <v>5.9740000000000002</v>
      </c>
      <c r="E418">
        <v>5.9690000000000003</v>
      </c>
      <c r="F418" s="21">
        <v>2.0000000000000001E-4</v>
      </c>
    </row>
    <row r="419" spans="1:6" x14ac:dyDescent="0.35">
      <c r="A419" s="22" t="s">
        <v>794</v>
      </c>
      <c r="B419" s="51">
        <v>5.9729999999999999</v>
      </c>
      <c r="C419">
        <v>5.992</v>
      </c>
      <c r="D419">
        <v>5.992</v>
      </c>
      <c r="E419">
        <v>5.9729999999999999</v>
      </c>
      <c r="F419" s="21">
        <v>-3.2000000000000002E-3</v>
      </c>
    </row>
    <row r="420" spans="1:6" x14ac:dyDescent="0.35">
      <c r="A420" s="22" t="s">
        <v>796</v>
      </c>
      <c r="B420" s="51">
        <v>5.992</v>
      </c>
      <c r="C420">
        <v>6.0209999999999999</v>
      </c>
      <c r="D420">
        <v>6.056</v>
      </c>
      <c r="E420">
        <v>5.992</v>
      </c>
      <c r="F420" s="21">
        <v>-4.7999999999999996E-3</v>
      </c>
    </row>
    <row r="421" spans="1:6" x14ac:dyDescent="0.35">
      <c r="A421" s="22">
        <v>42623</v>
      </c>
      <c r="B421" s="51">
        <v>6.0209999999999999</v>
      </c>
      <c r="C421">
        <v>6.0220000000000002</v>
      </c>
      <c r="D421">
        <v>6.0220000000000002</v>
      </c>
      <c r="E421">
        <v>5.9829999999999997</v>
      </c>
      <c r="F421" s="21">
        <v>-2.0000000000000001E-4</v>
      </c>
    </row>
    <row r="422" spans="1:6" x14ac:dyDescent="0.35">
      <c r="A422" s="22">
        <v>42410</v>
      </c>
      <c r="B422" s="51">
        <v>6.0220000000000002</v>
      </c>
      <c r="C422">
        <v>6.218</v>
      </c>
      <c r="D422">
        <v>6.2530000000000001</v>
      </c>
      <c r="E422">
        <v>6.0220000000000002</v>
      </c>
      <c r="F422" s="21">
        <v>-3.15E-2</v>
      </c>
    </row>
    <row r="423" spans="1:6" x14ac:dyDescent="0.35">
      <c r="A423" s="22" t="s">
        <v>800</v>
      </c>
      <c r="B423" s="51">
        <v>6.218</v>
      </c>
      <c r="C423">
        <v>6.4219999999999997</v>
      </c>
      <c r="D423">
        <v>6.4219999999999997</v>
      </c>
      <c r="E423">
        <v>6.1959999999999997</v>
      </c>
      <c r="F423" s="21">
        <v>-3.1800000000000002E-2</v>
      </c>
    </row>
    <row r="424" spans="1:6" x14ac:dyDescent="0.35">
      <c r="A424" s="22" t="s">
        <v>802</v>
      </c>
      <c r="B424" s="51">
        <v>6.4219999999999997</v>
      </c>
      <c r="C424">
        <v>6.665</v>
      </c>
      <c r="D424">
        <v>6.665</v>
      </c>
      <c r="E424">
        <v>6.4219999999999997</v>
      </c>
      <c r="F424" s="21">
        <v>-3.6499999999999998E-2</v>
      </c>
    </row>
    <row r="425" spans="1:6" x14ac:dyDescent="0.35">
      <c r="A425" s="22">
        <v>42683</v>
      </c>
      <c r="B425" s="51">
        <v>6.665</v>
      </c>
      <c r="C425">
        <v>6.7629999999999999</v>
      </c>
      <c r="D425">
        <v>6.7629999999999999</v>
      </c>
      <c r="E425">
        <v>6.665</v>
      </c>
      <c r="F425" s="21">
        <v>-1.4500000000000001E-2</v>
      </c>
    </row>
    <row r="426" spans="1:6" x14ac:dyDescent="0.35">
      <c r="A426" s="22">
        <v>42469</v>
      </c>
      <c r="B426" s="51">
        <v>6.7629999999999999</v>
      </c>
      <c r="C426">
        <v>6.8339999999999996</v>
      </c>
      <c r="D426">
        <v>6.8339999999999996</v>
      </c>
      <c r="E426">
        <v>6.7629999999999999</v>
      </c>
      <c r="F426" s="21">
        <v>-1.04E-2</v>
      </c>
    </row>
    <row r="427" spans="1:6" x14ac:dyDescent="0.35">
      <c r="A427" s="22" t="s">
        <v>806</v>
      </c>
      <c r="B427" s="51">
        <v>6.8339999999999996</v>
      </c>
      <c r="C427">
        <v>6.8360000000000003</v>
      </c>
      <c r="D427">
        <v>6.8360000000000003</v>
      </c>
      <c r="E427">
        <v>6.8339999999999996</v>
      </c>
      <c r="F427" s="21">
        <v>-2.9999999999999997E-4</v>
      </c>
    </row>
    <row r="428" spans="1:6" x14ac:dyDescent="0.35">
      <c r="A428" s="22" t="s">
        <v>808</v>
      </c>
      <c r="B428" s="51">
        <v>6.8360000000000003</v>
      </c>
      <c r="C428">
        <v>6.88</v>
      </c>
      <c r="D428">
        <v>6.88</v>
      </c>
      <c r="E428">
        <v>6.8339999999999996</v>
      </c>
      <c r="F428" s="21">
        <v>-6.4000000000000003E-3</v>
      </c>
    </row>
    <row r="429" spans="1:6" x14ac:dyDescent="0.35">
      <c r="A429" s="22" t="s">
        <v>810</v>
      </c>
      <c r="B429" s="51">
        <v>6.88</v>
      </c>
      <c r="C429">
        <v>6.9210000000000003</v>
      </c>
      <c r="D429">
        <v>6.9210000000000003</v>
      </c>
      <c r="E429">
        <v>6.88</v>
      </c>
      <c r="F429" s="21">
        <v>-5.8999999999999999E-3</v>
      </c>
    </row>
    <row r="430" spans="1:6" x14ac:dyDescent="0.35">
      <c r="A430" s="22">
        <v>42559</v>
      </c>
      <c r="B430" s="51">
        <v>6.9210000000000003</v>
      </c>
      <c r="C430">
        <v>6.9249999999999998</v>
      </c>
      <c r="D430">
        <v>6.9249999999999998</v>
      </c>
      <c r="E430">
        <v>6.9210000000000003</v>
      </c>
      <c r="F430" s="21">
        <v>-5.9999999999999995E-4</v>
      </c>
    </row>
    <row r="431" spans="1:6" x14ac:dyDescent="0.35">
      <c r="A431" s="22" t="s">
        <v>813</v>
      </c>
      <c r="B431" s="51">
        <v>6.9249999999999998</v>
      </c>
      <c r="C431">
        <v>6.9210000000000003</v>
      </c>
      <c r="D431">
        <v>6.9290000000000003</v>
      </c>
      <c r="E431">
        <v>6.9180000000000001</v>
      </c>
      <c r="F431" s="21">
        <v>5.9999999999999995E-4</v>
      </c>
    </row>
    <row r="432" spans="1:6" x14ac:dyDescent="0.35">
      <c r="A432" s="22" t="s">
        <v>815</v>
      </c>
      <c r="B432" s="51">
        <v>6.9210000000000003</v>
      </c>
      <c r="C432">
        <v>6.9210000000000003</v>
      </c>
      <c r="D432">
        <v>6.9210000000000003</v>
      </c>
      <c r="E432">
        <v>6.9210000000000003</v>
      </c>
      <c r="F432" s="21">
        <v>-6.9999999999999999E-4</v>
      </c>
    </row>
    <row r="433" spans="1:6" x14ac:dyDescent="0.35">
      <c r="A433" s="22" t="s">
        <v>817</v>
      </c>
      <c r="B433" s="51">
        <v>6.9260000000000002</v>
      </c>
      <c r="C433">
        <v>6.9260000000000002</v>
      </c>
      <c r="D433">
        <v>6.9260000000000002</v>
      </c>
      <c r="E433">
        <v>6.9260000000000002</v>
      </c>
      <c r="F433" s="21">
        <v>-1.4E-3</v>
      </c>
    </row>
    <row r="434" spans="1:6" x14ac:dyDescent="0.35">
      <c r="A434" s="22">
        <v>42650</v>
      </c>
      <c r="B434" s="51">
        <v>6.9359999999999999</v>
      </c>
      <c r="C434">
        <v>6.9359999999999999</v>
      </c>
      <c r="D434">
        <v>6.9359999999999999</v>
      </c>
      <c r="E434">
        <v>6.9359999999999999</v>
      </c>
      <c r="F434" s="21">
        <v>2.3E-3</v>
      </c>
    </row>
    <row r="435" spans="1:6" x14ac:dyDescent="0.35">
      <c r="A435" s="22">
        <v>42436</v>
      </c>
      <c r="B435" s="51">
        <v>6.92</v>
      </c>
      <c r="C435">
        <v>6.92</v>
      </c>
      <c r="D435">
        <v>6.92</v>
      </c>
      <c r="E435">
        <v>6.92</v>
      </c>
      <c r="F435" s="21">
        <v>1.6000000000000001E-3</v>
      </c>
    </row>
    <row r="436" spans="1:6" x14ac:dyDescent="0.35">
      <c r="A436" s="22" t="s">
        <v>821</v>
      </c>
      <c r="B436" s="51">
        <v>6.9089999999999998</v>
      </c>
      <c r="C436">
        <v>6.9089999999999998</v>
      </c>
      <c r="D436">
        <v>6.9089999999999998</v>
      </c>
      <c r="E436">
        <v>6.9089999999999998</v>
      </c>
      <c r="F436" s="21">
        <v>1.9E-3</v>
      </c>
    </row>
    <row r="437" spans="1:6" x14ac:dyDescent="0.35">
      <c r="A437" s="22" t="s">
        <v>823</v>
      </c>
      <c r="B437" s="51">
        <v>6.8959999999999999</v>
      </c>
      <c r="C437">
        <v>6.8959999999999999</v>
      </c>
      <c r="D437">
        <v>6.8959999999999999</v>
      </c>
      <c r="E437">
        <v>6.8959999999999999</v>
      </c>
      <c r="F437" s="21">
        <v>-1.4E-3</v>
      </c>
    </row>
    <row r="438" spans="1:6" x14ac:dyDescent="0.35">
      <c r="A438" s="22">
        <v>42710</v>
      </c>
      <c r="B438" s="51">
        <v>6.9059999999999997</v>
      </c>
      <c r="C438">
        <v>6.9059999999999997</v>
      </c>
      <c r="D438">
        <v>6.9059999999999997</v>
      </c>
      <c r="E438">
        <v>6.9059999999999997</v>
      </c>
      <c r="F438" s="21">
        <v>1E-4</v>
      </c>
    </row>
    <row r="439" spans="1:6" x14ac:dyDescent="0.35">
      <c r="A439" s="22">
        <v>42496</v>
      </c>
      <c r="B439" s="51">
        <v>6.9050000000000002</v>
      </c>
      <c r="C439">
        <v>6.9050000000000002</v>
      </c>
      <c r="D439">
        <v>6.9050000000000002</v>
      </c>
      <c r="E439">
        <v>6.9050000000000002</v>
      </c>
      <c r="F439" s="21">
        <v>-5.4999999999999997E-3</v>
      </c>
    </row>
    <row r="440" spans="1:6" x14ac:dyDescent="0.35">
      <c r="A440" s="22" t="s">
        <v>827</v>
      </c>
      <c r="B440" s="51">
        <v>6.9429999999999996</v>
      </c>
      <c r="C440">
        <v>6.9429999999999996</v>
      </c>
      <c r="D440">
        <v>6.9429999999999996</v>
      </c>
      <c r="E440">
        <v>6.9429999999999996</v>
      </c>
      <c r="F440" s="21">
        <v>0</v>
      </c>
    </row>
    <row r="441" spans="1:6" x14ac:dyDescent="0.35">
      <c r="A441" s="22" t="s">
        <v>829</v>
      </c>
      <c r="B441" s="51">
        <v>6.9429999999999996</v>
      </c>
      <c r="C441">
        <v>6.9429999999999996</v>
      </c>
      <c r="D441">
        <v>6.9429999999999996</v>
      </c>
      <c r="E441">
        <v>6.9429999999999996</v>
      </c>
      <c r="F441" s="21">
        <v>0</v>
      </c>
    </row>
    <row r="442" spans="1:6" x14ac:dyDescent="0.35">
      <c r="A442" s="22" t="s">
        <v>831</v>
      </c>
      <c r="B442" s="51">
        <v>6.9429999999999996</v>
      </c>
      <c r="C442">
        <v>6.9429999999999996</v>
      </c>
      <c r="D442">
        <v>6.9429999999999996</v>
      </c>
      <c r="E442">
        <v>6.9429999999999996</v>
      </c>
      <c r="F442" s="21">
        <v>0</v>
      </c>
    </row>
    <row r="443" spans="1:6" x14ac:dyDescent="0.35">
      <c r="A443" s="22">
        <v>42587</v>
      </c>
      <c r="B443" s="51">
        <v>6.9429999999999996</v>
      </c>
      <c r="C443">
        <v>6.9429999999999996</v>
      </c>
      <c r="D443">
        <v>6.9429999999999996</v>
      </c>
      <c r="E443">
        <v>6.9429999999999996</v>
      </c>
      <c r="F443" s="21">
        <v>0</v>
      </c>
    </row>
    <row r="444" spans="1:6" x14ac:dyDescent="0.35">
      <c r="A444" s="22">
        <v>42374</v>
      </c>
      <c r="B444" s="51">
        <v>6.9429999999999996</v>
      </c>
      <c r="C444">
        <v>6.9429999999999996</v>
      </c>
      <c r="D444">
        <v>6.9429999999999996</v>
      </c>
      <c r="E444">
        <v>6.9429999999999996</v>
      </c>
      <c r="F444" s="21">
        <v>0</v>
      </c>
    </row>
    <row r="445" spans="1:6" x14ac:dyDescent="0.35">
      <c r="A445" s="22" t="s">
        <v>835</v>
      </c>
      <c r="B445" s="51">
        <v>6.9429999999999996</v>
      </c>
      <c r="C445">
        <v>6.9429999999999996</v>
      </c>
      <c r="D445">
        <v>6.9429999999999996</v>
      </c>
      <c r="E445">
        <v>6.9429999999999996</v>
      </c>
      <c r="F445" s="21">
        <v>0</v>
      </c>
    </row>
    <row r="446" spans="1:6" x14ac:dyDescent="0.35">
      <c r="A446" s="22" t="s">
        <v>837</v>
      </c>
      <c r="B446" s="51">
        <v>6.9429999999999996</v>
      </c>
      <c r="C446">
        <v>6.9429999999999996</v>
      </c>
      <c r="D446">
        <v>6.9429999999999996</v>
      </c>
      <c r="E446">
        <v>6.9429999999999996</v>
      </c>
      <c r="F446" s="21">
        <v>0</v>
      </c>
    </row>
    <row r="447" spans="1:6" x14ac:dyDescent="0.35">
      <c r="A447" s="22">
        <v>42647</v>
      </c>
      <c r="B447" s="51">
        <v>6.9429999999999996</v>
      </c>
      <c r="C447">
        <v>6.9429999999999996</v>
      </c>
      <c r="D447">
        <v>6.9429999999999996</v>
      </c>
      <c r="E447">
        <v>6.9429999999999996</v>
      </c>
      <c r="F447" s="21">
        <v>0</v>
      </c>
    </row>
    <row r="448" spans="1:6" x14ac:dyDescent="0.35">
      <c r="A448" s="22">
        <v>42433</v>
      </c>
      <c r="B448" s="51">
        <v>6.9429999999999996</v>
      </c>
      <c r="C448">
        <v>6.9429999999999996</v>
      </c>
      <c r="D448">
        <v>6.9429999999999996</v>
      </c>
      <c r="E448">
        <v>6.9429999999999996</v>
      </c>
      <c r="F448" s="21">
        <v>1.09E-2</v>
      </c>
    </row>
    <row r="449" spans="1:6" x14ac:dyDescent="0.35">
      <c r="A449" s="22" t="s">
        <v>841</v>
      </c>
      <c r="B449" s="51">
        <v>6.8680000000000003</v>
      </c>
      <c r="C449">
        <v>6.8680000000000003</v>
      </c>
      <c r="D449">
        <v>6.8680000000000003</v>
      </c>
      <c r="E449">
        <v>6.8680000000000003</v>
      </c>
      <c r="F449" s="21">
        <v>-1E-3</v>
      </c>
    </row>
    <row r="450" spans="1:6" x14ac:dyDescent="0.35">
      <c r="A450" s="22" t="s">
        <v>843</v>
      </c>
      <c r="B450" s="51">
        <v>6.875</v>
      </c>
      <c r="C450">
        <v>6.875</v>
      </c>
      <c r="D450">
        <v>6.875</v>
      </c>
      <c r="E450">
        <v>6.875</v>
      </c>
      <c r="F450" s="21">
        <v>-1E-4</v>
      </c>
    </row>
    <row r="451" spans="1:6" x14ac:dyDescent="0.35">
      <c r="A451" s="22" t="s">
        <v>845</v>
      </c>
      <c r="B451" s="51">
        <v>6.8760000000000003</v>
      </c>
      <c r="C451">
        <v>6.8760000000000003</v>
      </c>
      <c r="D451">
        <v>6.8760000000000003</v>
      </c>
      <c r="E451">
        <v>6.8760000000000003</v>
      </c>
      <c r="F451" s="21">
        <v>1.9E-3</v>
      </c>
    </row>
    <row r="452" spans="1:6" x14ac:dyDescent="0.35">
      <c r="A452" s="22">
        <v>42524</v>
      </c>
      <c r="B452" s="51">
        <v>6.8630000000000004</v>
      </c>
      <c r="C452">
        <v>6.8630000000000004</v>
      </c>
      <c r="D452">
        <v>6.8630000000000004</v>
      </c>
      <c r="E452">
        <v>6.8630000000000004</v>
      </c>
      <c r="F452" s="21">
        <v>-1.1999999999999999E-3</v>
      </c>
    </row>
    <row r="453" spans="1:6" x14ac:dyDescent="0.35">
      <c r="A453" s="22" t="s">
        <v>848</v>
      </c>
      <c r="B453" s="51">
        <v>6.8710000000000004</v>
      </c>
      <c r="C453">
        <v>6.8710000000000004</v>
      </c>
      <c r="D453">
        <v>6.8710000000000004</v>
      </c>
      <c r="E453">
        <v>6.8710000000000004</v>
      </c>
      <c r="F453" s="21">
        <v>-6.9999999999999999E-4</v>
      </c>
    </row>
    <row r="454" spans="1:6" x14ac:dyDescent="0.35">
      <c r="A454" s="22" t="s">
        <v>850</v>
      </c>
      <c r="B454" s="51">
        <v>6.8760000000000003</v>
      </c>
      <c r="C454">
        <v>6.8760000000000003</v>
      </c>
      <c r="D454">
        <v>6.8760000000000003</v>
      </c>
      <c r="E454">
        <v>6.8760000000000003</v>
      </c>
      <c r="F454" s="21">
        <v>-7.9000000000000008E-3</v>
      </c>
    </row>
    <row r="455" spans="1:6" x14ac:dyDescent="0.35">
      <c r="A455" s="22" t="s">
        <v>852</v>
      </c>
      <c r="B455" s="51">
        <v>6.931</v>
      </c>
      <c r="C455">
        <v>6.931</v>
      </c>
      <c r="D455">
        <v>6.931</v>
      </c>
      <c r="E455">
        <v>6.931</v>
      </c>
      <c r="F455" s="21">
        <v>-1.8100000000000002E-2</v>
      </c>
    </row>
    <row r="456" spans="1:6" x14ac:dyDescent="0.35">
      <c r="A456" s="22">
        <v>42553</v>
      </c>
      <c r="B456" s="51">
        <v>7.0590000000000002</v>
      </c>
      <c r="C456">
        <v>7.0590000000000002</v>
      </c>
      <c r="D456">
        <v>7.0590000000000002</v>
      </c>
      <c r="E456">
        <v>7.0590000000000002</v>
      </c>
      <c r="F456" s="21">
        <v>0</v>
      </c>
    </row>
    <row r="457" spans="1:6" x14ac:dyDescent="0.35">
      <c r="A457" s="22" t="s">
        <v>854</v>
      </c>
      <c r="B457" s="51">
        <v>7.0590000000000002</v>
      </c>
      <c r="C457">
        <v>7.0590000000000002</v>
      </c>
      <c r="D457">
        <v>7.0590000000000002</v>
      </c>
      <c r="E457">
        <v>7.0590000000000002</v>
      </c>
      <c r="F457" s="21">
        <v>3.0999999999999999E-3</v>
      </c>
    </row>
    <row r="458" spans="1:6" x14ac:dyDescent="0.35">
      <c r="A458" s="22" t="s">
        <v>856</v>
      </c>
      <c r="B458" s="51">
        <v>7.0369999999999999</v>
      </c>
      <c r="C458">
        <v>7.0369999999999999</v>
      </c>
      <c r="D458">
        <v>7.0369999999999999</v>
      </c>
      <c r="E458">
        <v>7.0369999999999999</v>
      </c>
      <c r="F458" s="21">
        <v>-2.8E-3</v>
      </c>
    </row>
    <row r="459" spans="1:6" x14ac:dyDescent="0.35">
      <c r="A459" s="22" t="s">
        <v>858</v>
      </c>
      <c r="B459" s="51">
        <v>7.0570000000000004</v>
      </c>
      <c r="C459">
        <v>7.0570000000000004</v>
      </c>
      <c r="D459">
        <v>7.0570000000000004</v>
      </c>
      <c r="E459">
        <v>7.0570000000000004</v>
      </c>
      <c r="F459" s="21">
        <v>-2.9999999999999997E-4</v>
      </c>
    </row>
    <row r="460" spans="1:6" x14ac:dyDescent="0.35">
      <c r="A460" s="22">
        <v>42644</v>
      </c>
      <c r="B460" s="51">
        <v>7.0590000000000002</v>
      </c>
      <c r="C460">
        <v>7.0590000000000002</v>
      </c>
      <c r="D460">
        <v>7.0590000000000002</v>
      </c>
      <c r="E460">
        <v>7.0590000000000002</v>
      </c>
      <c r="F460" s="21">
        <v>6.9999999999999999E-4</v>
      </c>
    </row>
    <row r="461" spans="1:6" x14ac:dyDescent="0.35">
      <c r="A461" s="22">
        <v>42430</v>
      </c>
      <c r="B461" s="51">
        <v>7.0540000000000003</v>
      </c>
      <c r="C461">
        <v>7.0540000000000003</v>
      </c>
      <c r="D461">
        <v>7.0540000000000003</v>
      </c>
      <c r="E461">
        <v>7.0540000000000003</v>
      </c>
      <c r="F461" s="21">
        <v>2.9999999999999997E-4</v>
      </c>
    </row>
    <row r="462" spans="1:6" x14ac:dyDescent="0.35">
      <c r="A462" s="22" t="s">
        <v>862</v>
      </c>
      <c r="B462" s="51">
        <v>7.0519999999999996</v>
      </c>
      <c r="C462">
        <v>7.0519999999999996</v>
      </c>
      <c r="D462">
        <v>7.0519999999999996</v>
      </c>
      <c r="E462">
        <v>7.0519999999999996</v>
      </c>
      <c r="F462" s="21">
        <v>-5.9999999999999995E-4</v>
      </c>
    </row>
    <row r="463" spans="1:6" x14ac:dyDescent="0.35">
      <c r="A463" s="22" t="s">
        <v>864</v>
      </c>
      <c r="B463" s="51">
        <v>7.056</v>
      </c>
      <c r="C463">
        <v>7.056</v>
      </c>
      <c r="D463">
        <v>7.056</v>
      </c>
      <c r="E463">
        <v>7.056</v>
      </c>
      <c r="F463" s="21">
        <v>-2.9999999999999997E-4</v>
      </c>
    </row>
    <row r="464" spans="1:6" x14ac:dyDescent="0.35">
      <c r="A464" s="22" t="s">
        <v>866</v>
      </c>
      <c r="B464" s="51">
        <v>7.0579999999999998</v>
      </c>
      <c r="C464">
        <v>7.0579999999999998</v>
      </c>
      <c r="D464">
        <v>7.0579999999999998</v>
      </c>
      <c r="E464">
        <v>7.0579999999999998</v>
      </c>
      <c r="F464" s="21">
        <v>0</v>
      </c>
    </row>
    <row r="465" spans="1:6" x14ac:dyDescent="0.35">
      <c r="A465" s="22">
        <v>42167</v>
      </c>
      <c r="B465" s="51">
        <v>7.0579999999999998</v>
      </c>
      <c r="C465">
        <v>7.0579999999999998</v>
      </c>
      <c r="D465">
        <v>7.0579999999999998</v>
      </c>
      <c r="E465">
        <v>7.0579999999999998</v>
      </c>
      <c r="F465" s="21">
        <v>-1.2999999999999999E-3</v>
      </c>
    </row>
    <row r="466" spans="1:6" x14ac:dyDescent="0.35">
      <c r="A466" s="22" t="s">
        <v>868</v>
      </c>
      <c r="B466" s="51">
        <v>7.0670000000000002</v>
      </c>
      <c r="C466">
        <v>7.0670000000000002</v>
      </c>
      <c r="D466">
        <v>7.0670000000000002</v>
      </c>
      <c r="E466">
        <v>7.0670000000000002</v>
      </c>
      <c r="F466" s="21">
        <v>-4.1000000000000003E-3</v>
      </c>
    </row>
    <row r="467" spans="1:6" x14ac:dyDescent="0.35">
      <c r="A467" s="22" t="s">
        <v>870</v>
      </c>
      <c r="B467" s="51">
        <v>7.0960000000000001</v>
      </c>
      <c r="C467">
        <v>7.0960000000000001</v>
      </c>
      <c r="D467">
        <v>7.0960000000000001</v>
      </c>
      <c r="E467">
        <v>7.0960000000000001</v>
      </c>
      <c r="F467" s="21">
        <v>3.7000000000000002E-3</v>
      </c>
    </row>
    <row r="468" spans="1:6" x14ac:dyDescent="0.35">
      <c r="A468" s="22" t="s">
        <v>872</v>
      </c>
      <c r="B468" s="51">
        <v>7.07</v>
      </c>
      <c r="C468">
        <v>7.07</v>
      </c>
      <c r="D468">
        <v>7.07</v>
      </c>
      <c r="E468">
        <v>7.07</v>
      </c>
      <c r="F468" s="21">
        <v>2.0999999999999999E-3</v>
      </c>
    </row>
    <row r="469" spans="1:6" x14ac:dyDescent="0.35">
      <c r="A469" s="22">
        <v>42227</v>
      </c>
      <c r="B469" s="51">
        <v>7.0549999999999997</v>
      </c>
      <c r="C469">
        <v>7.0549999999999997</v>
      </c>
      <c r="D469">
        <v>7.0549999999999997</v>
      </c>
      <c r="E469">
        <v>7.0549999999999997</v>
      </c>
      <c r="F469" s="21">
        <v>-1.4E-3</v>
      </c>
    </row>
    <row r="470" spans="1:6" x14ac:dyDescent="0.35">
      <c r="A470" s="22">
        <v>42015</v>
      </c>
      <c r="B470" s="51">
        <v>7.0650000000000004</v>
      </c>
      <c r="C470">
        <v>7.0650000000000004</v>
      </c>
      <c r="D470">
        <v>7.0650000000000004</v>
      </c>
      <c r="E470">
        <v>7.0650000000000004</v>
      </c>
      <c r="F470" s="21">
        <v>4.0000000000000002E-4</v>
      </c>
    </row>
    <row r="471" spans="1:6" x14ac:dyDescent="0.35">
      <c r="A471" s="22" t="s">
        <v>876</v>
      </c>
      <c r="B471" s="51">
        <v>7.0620000000000003</v>
      </c>
      <c r="C471">
        <v>7.0620000000000003</v>
      </c>
      <c r="D471">
        <v>7.0620000000000003</v>
      </c>
      <c r="E471">
        <v>7.0620000000000003</v>
      </c>
      <c r="F471" s="21">
        <v>3.5999999999999999E-3</v>
      </c>
    </row>
    <row r="472" spans="1:6" x14ac:dyDescent="0.35">
      <c r="A472" s="22" t="s">
        <v>878</v>
      </c>
      <c r="B472" s="51">
        <v>7.0369999999999999</v>
      </c>
      <c r="C472">
        <v>7.0369999999999999</v>
      </c>
      <c r="D472">
        <v>7.0369999999999999</v>
      </c>
      <c r="E472">
        <v>7.0369999999999999</v>
      </c>
      <c r="F472" s="21">
        <v>8.9999999999999998E-4</v>
      </c>
    </row>
    <row r="473" spans="1:6" x14ac:dyDescent="0.35">
      <c r="A473" s="22">
        <v>42318</v>
      </c>
      <c r="B473" s="51">
        <v>7.0309999999999997</v>
      </c>
      <c r="C473">
        <v>7.0309999999999997</v>
      </c>
      <c r="D473">
        <v>7.0309999999999997</v>
      </c>
      <c r="E473">
        <v>7.0309999999999997</v>
      </c>
      <c r="F473" s="21">
        <v>3.3E-3</v>
      </c>
    </row>
    <row r="474" spans="1:6" x14ac:dyDescent="0.35">
      <c r="A474" s="22">
        <v>42104</v>
      </c>
      <c r="B474" s="51">
        <v>7.008</v>
      </c>
      <c r="C474">
        <v>7.008</v>
      </c>
      <c r="D474">
        <v>7.008</v>
      </c>
      <c r="E474">
        <v>7.008</v>
      </c>
      <c r="F474" s="21">
        <v>-5.3E-3</v>
      </c>
    </row>
    <row r="475" spans="1:6" x14ac:dyDescent="0.35">
      <c r="A475" s="22" t="s">
        <v>882</v>
      </c>
      <c r="B475" s="51">
        <v>7.0449999999999999</v>
      </c>
      <c r="C475">
        <v>7.0449999999999999</v>
      </c>
      <c r="D475">
        <v>7.0449999999999999</v>
      </c>
      <c r="E475">
        <v>7.0449999999999999</v>
      </c>
      <c r="F475" s="21">
        <v>-2.0999999999999999E-3</v>
      </c>
    </row>
    <row r="476" spans="1:6" x14ac:dyDescent="0.35">
      <c r="A476" s="22" t="s">
        <v>884</v>
      </c>
      <c r="B476" s="51">
        <v>7.06</v>
      </c>
      <c r="C476">
        <v>7.06</v>
      </c>
      <c r="D476">
        <v>7.06</v>
      </c>
      <c r="E476">
        <v>7.06</v>
      </c>
      <c r="F476" s="21">
        <v>-1.6000000000000001E-3</v>
      </c>
    </row>
    <row r="477" spans="1:6" x14ac:dyDescent="0.35">
      <c r="A477" s="22" t="s">
        <v>886</v>
      </c>
      <c r="B477" s="51">
        <v>7.0709999999999997</v>
      </c>
      <c r="C477">
        <v>7.0709999999999997</v>
      </c>
      <c r="D477">
        <v>7.0709999999999997</v>
      </c>
      <c r="E477">
        <v>7.0709999999999997</v>
      </c>
      <c r="F477" s="21">
        <v>6.3E-3</v>
      </c>
    </row>
    <row r="478" spans="1:6" x14ac:dyDescent="0.35">
      <c r="A478" s="22">
        <v>42164</v>
      </c>
      <c r="B478" s="51">
        <v>7.0270000000000001</v>
      </c>
      <c r="C478">
        <v>7.0270000000000001</v>
      </c>
      <c r="D478">
        <v>7.0270000000000001</v>
      </c>
      <c r="E478">
        <v>7.0270000000000001</v>
      </c>
      <c r="F478" s="21">
        <v>3.3999999999999998E-3</v>
      </c>
    </row>
    <row r="479" spans="1:6" x14ac:dyDescent="0.35">
      <c r="A479" s="22" t="s">
        <v>889</v>
      </c>
      <c r="B479" s="51">
        <v>7.0030000000000001</v>
      </c>
      <c r="C479">
        <v>7.0030000000000001</v>
      </c>
      <c r="D479">
        <v>7.0030000000000001</v>
      </c>
      <c r="E479">
        <v>7.0030000000000001</v>
      </c>
      <c r="F479" s="21">
        <v>-4.0000000000000001E-3</v>
      </c>
    </row>
    <row r="480" spans="1:6" x14ac:dyDescent="0.35">
      <c r="A480" s="22" t="s">
        <v>891</v>
      </c>
      <c r="B480" s="51">
        <v>7.0309999999999997</v>
      </c>
      <c r="C480">
        <v>7.0309999999999997</v>
      </c>
      <c r="D480">
        <v>7.0309999999999997</v>
      </c>
      <c r="E480">
        <v>7.0309999999999997</v>
      </c>
      <c r="F480" s="21">
        <v>1.6299999999999999E-2</v>
      </c>
    </row>
    <row r="481" spans="1:6" x14ac:dyDescent="0.35">
      <c r="A481" s="22" t="s">
        <v>893</v>
      </c>
      <c r="B481" s="51">
        <v>6.9180000000000001</v>
      </c>
      <c r="C481">
        <v>6.9180000000000001</v>
      </c>
      <c r="D481">
        <v>6.9180000000000001</v>
      </c>
      <c r="E481">
        <v>6.9180000000000001</v>
      </c>
      <c r="F481" s="21">
        <v>6.4000000000000003E-3</v>
      </c>
    </row>
    <row r="482" spans="1:6" x14ac:dyDescent="0.35">
      <c r="A482" s="22">
        <v>42255</v>
      </c>
      <c r="B482" s="51">
        <v>6.8739999999999997</v>
      </c>
      <c r="C482">
        <v>6.8739999999999997</v>
      </c>
      <c r="D482">
        <v>6.8739999999999997</v>
      </c>
      <c r="E482">
        <v>6.8739999999999997</v>
      </c>
      <c r="F482" s="21">
        <v>1.46E-2</v>
      </c>
    </row>
    <row r="483" spans="1:6" x14ac:dyDescent="0.35">
      <c r="A483" s="22">
        <v>42043</v>
      </c>
      <c r="B483" s="51">
        <v>6.7750000000000004</v>
      </c>
      <c r="C483">
        <v>6.7750000000000004</v>
      </c>
      <c r="D483">
        <v>6.7750000000000004</v>
      </c>
      <c r="E483">
        <v>6.7750000000000004</v>
      </c>
      <c r="F483" s="21">
        <v>-1E-4</v>
      </c>
    </row>
    <row r="484" spans="1:6" x14ac:dyDescent="0.35">
      <c r="A484" s="22" t="s">
        <v>897</v>
      </c>
      <c r="B484" s="51">
        <v>6.7759999999999998</v>
      </c>
      <c r="C484">
        <v>6.7759999999999998</v>
      </c>
      <c r="D484">
        <v>6.7759999999999998</v>
      </c>
      <c r="E484">
        <v>6.7759999999999998</v>
      </c>
      <c r="F484" s="21">
        <v>1E-3</v>
      </c>
    </row>
    <row r="485" spans="1:6" x14ac:dyDescent="0.35">
      <c r="A485" s="22" t="s">
        <v>899</v>
      </c>
      <c r="B485" s="51">
        <v>6.7690000000000001</v>
      </c>
      <c r="C485">
        <v>6.7690000000000001</v>
      </c>
      <c r="D485">
        <v>6.7690000000000001</v>
      </c>
      <c r="E485">
        <v>6.7690000000000001</v>
      </c>
      <c r="F485" s="21">
        <v>8.9999999999999998E-4</v>
      </c>
    </row>
    <row r="486" spans="1:6" x14ac:dyDescent="0.35">
      <c r="A486" s="22">
        <v>42345</v>
      </c>
      <c r="B486" s="51">
        <v>6.7629999999999999</v>
      </c>
      <c r="C486">
        <v>6.7629999999999999</v>
      </c>
      <c r="D486">
        <v>6.7629999999999999</v>
      </c>
      <c r="E486">
        <v>6.7629999999999999</v>
      </c>
      <c r="F486" s="21">
        <v>4.0000000000000001E-3</v>
      </c>
    </row>
    <row r="487" spans="1:6" x14ac:dyDescent="0.35">
      <c r="A487" s="22">
        <v>42131</v>
      </c>
      <c r="B487" s="51">
        <v>6.7359999999999998</v>
      </c>
      <c r="C487">
        <v>6.7359999999999998</v>
      </c>
      <c r="D487">
        <v>6.7359999999999998</v>
      </c>
      <c r="E487">
        <v>6.7359999999999998</v>
      </c>
      <c r="F487" s="21">
        <v>-3.3999999999999998E-3</v>
      </c>
    </row>
    <row r="488" spans="1:6" x14ac:dyDescent="0.35">
      <c r="A488" s="22" t="s">
        <v>903</v>
      </c>
      <c r="B488" s="51">
        <v>6.7590000000000003</v>
      </c>
      <c r="C488">
        <v>6.7590000000000003</v>
      </c>
      <c r="D488">
        <v>6.7590000000000003</v>
      </c>
      <c r="E488">
        <v>6.7590000000000003</v>
      </c>
      <c r="F488" s="21">
        <v>-5.4000000000000003E-3</v>
      </c>
    </row>
    <row r="489" spans="1:6" x14ac:dyDescent="0.35">
      <c r="A489" s="22" t="s">
        <v>905</v>
      </c>
      <c r="B489" s="51">
        <v>6.7960000000000003</v>
      </c>
      <c r="C489">
        <v>6.7960000000000003</v>
      </c>
      <c r="D489">
        <v>6.7960000000000003</v>
      </c>
      <c r="E489">
        <v>6.7960000000000003</v>
      </c>
      <c r="F489" s="21">
        <v>-7.6E-3</v>
      </c>
    </row>
    <row r="490" spans="1:6" x14ac:dyDescent="0.35">
      <c r="A490" s="22" t="s">
        <v>907</v>
      </c>
      <c r="B490" s="51">
        <v>6.8479999999999999</v>
      </c>
      <c r="C490">
        <v>6.8479999999999999</v>
      </c>
      <c r="D490">
        <v>6.8479999999999999</v>
      </c>
      <c r="E490">
        <v>6.8479999999999999</v>
      </c>
      <c r="F490" s="21">
        <v>2.7799999999999998E-2</v>
      </c>
    </row>
    <row r="491" spans="1:6" x14ac:dyDescent="0.35">
      <c r="A491" s="22">
        <v>42191</v>
      </c>
      <c r="B491" s="51">
        <v>6.6630000000000003</v>
      </c>
      <c r="C491">
        <v>6.6630000000000003</v>
      </c>
      <c r="D491">
        <v>6.6630000000000003</v>
      </c>
      <c r="E491">
        <v>6.6630000000000003</v>
      </c>
      <c r="F491" s="21">
        <v>1.9400000000000001E-2</v>
      </c>
    </row>
    <row r="492" spans="1:6" x14ac:dyDescent="0.35">
      <c r="A492" s="22" t="s">
        <v>910</v>
      </c>
      <c r="B492" s="51">
        <v>6.5359999999999996</v>
      </c>
      <c r="C492">
        <v>6.5359999999999996</v>
      </c>
      <c r="D492">
        <v>6.5359999999999996</v>
      </c>
      <c r="E492">
        <v>6.5359999999999996</v>
      </c>
      <c r="F492" s="21">
        <v>-2.9999999999999997E-4</v>
      </c>
    </row>
    <row r="493" spans="1:6" x14ac:dyDescent="0.35">
      <c r="A493" s="22" t="s">
        <v>912</v>
      </c>
      <c r="B493" s="51">
        <v>6.5380000000000003</v>
      </c>
      <c r="C493">
        <v>6.5380000000000003</v>
      </c>
      <c r="D493">
        <v>6.5380000000000003</v>
      </c>
      <c r="E493">
        <v>6.5380000000000003</v>
      </c>
      <c r="F493" s="21">
        <v>-2.0000000000000001E-4</v>
      </c>
    </row>
    <row r="494" spans="1:6" x14ac:dyDescent="0.35">
      <c r="A494" s="22" t="s">
        <v>914</v>
      </c>
      <c r="B494" s="51">
        <v>6.5389999999999997</v>
      </c>
      <c r="C494">
        <v>6.5389999999999997</v>
      </c>
      <c r="D494">
        <v>6.5389999999999997</v>
      </c>
      <c r="E494">
        <v>6.5389999999999997</v>
      </c>
      <c r="F494" s="21">
        <v>-2.0000000000000001E-4</v>
      </c>
    </row>
    <row r="495" spans="1:6" x14ac:dyDescent="0.35">
      <c r="A495" s="22">
        <v>42282</v>
      </c>
      <c r="B495" s="51">
        <v>6.54</v>
      </c>
      <c r="C495">
        <v>6.54</v>
      </c>
      <c r="D495">
        <v>6.54</v>
      </c>
      <c r="E495">
        <v>6.54</v>
      </c>
      <c r="F495" s="21">
        <v>5.1000000000000004E-3</v>
      </c>
    </row>
    <row r="496" spans="1:6" x14ac:dyDescent="0.35">
      <c r="A496" s="22">
        <v>42068</v>
      </c>
      <c r="B496" s="51">
        <v>6.5069999999999997</v>
      </c>
      <c r="C496">
        <v>6.5069999999999997</v>
      </c>
      <c r="D496">
        <v>6.5069999999999997</v>
      </c>
      <c r="E496">
        <v>6.5069999999999997</v>
      </c>
      <c r="F496" s="21">
        <v>2.2000000000000001E-3</v>
      </c>
    </row>
    <row r="497" spans="1:6" x14ac:dyDescent="0.35">
      <c r="A497" s="22" t="s">
        <v>918</v>
      </c>
      <c r="B497" s="51">
        <v>6.4930000000000003</v>
      </c>
      <c r="C497">
        <v>6.4930000000000003</v>
      </c>
      <c r="D497">
        <v>6.4930000000000003</v>
      </c>
      <c r="E497">
        <v>6.4930000000000003</v>
      </c>
      <c r="F497" s="21">
        <v>-2.0799999999999999E-2</v>
      </c>
    </row>
    <row r="498" spans="1:6" x14ac:dyDescent="0.35">
      <c r="A498" s="22" t="s">
        <v>920</v>
      </c>
      <c r="B498" s="51">
        <v>6.6310000000000002</v>
      </c>
      <c r="C498">
        <v>6.6310000000000002</v>
      </c>
      <c r="D498">
        <v>6.6310000000000002</v>
      </c>
      <c r="E498">
        <v>6.6310000000000002</v>
      </c>
      <c r="F498" s="21">
        <v>1.2200000000000001E-2</v>
      </c>
    </row>
    <row r="499" spans="1:6" x14ac:dyDescent="0.35">
      <c r="A499" s="22">
        <v>42342</v>
      </c>
      <c r="B499" s="51">
        <v>6.5510000000000002</v>
      </c>
      <c r="C499">
        <v>6.5510000000000002</v>
      </c>
      <c r="D499">
        <v>6.5510000000000002</v>
      </c>
      <c r="E499">
        <v>6.5510000000000002</v>
      </c>
      <c r="F499" s="21">
        <v>0</v>
      </c>
    </row>
    <row r="500" spans="1:6" x14ac:dyDescent="0.35">
      <c r="A500" s="22">
        <v>42128</v>
      </c>
      <c r="B500" s="51">
        <v>6.5510000000000002</v>
      </c>
      <c r="C500">
        <v>6.5510000000000002</v>
      </c>
      <c r="D500">
        <v>6.5510000000000002</v>
      </c>
      <c r="E500">
        <v>6.5510000000000002</v>
      </c>
      <c r="F500" s="21">
        <v>1.4999999999999999E-2</v>
      </c>
    </row>
    <row r="501" spans="1:6" x14ac:dyDescent="0.35">
      <c r="A501" s="22" t="s">
        <v>924</v>
      </c>
      <c r="B501" s="51">
        <v>6.4539999999999997</v>
      </c>
      <c r="C501">
        <v>6.4539999999999997</v>
      </c>
      <c r="D501">
        <v>6.4539999999999997</v>
      </c>
      <c r="E501">
        <v>6.4539999999999997</v>
      </c>
      <c r="F501" s="21">
        <v>-4.4999999999999997E-3</v>
      </c>
    </row>
    <row r="502" spans="1:6" x14ac:dyDescent="0.35">
      <c r="A502" s="22" t="s">
        <v>926</v>
      </c>
      <c r="B502" s="51">
        <v>6.4829999999999997</v>
      </c>
      <c r="C502">
        <v>6.4829999999999997</v>
      </c>
      <c r="D502">
        <v>6.4829999999999997</v>
      </c>
      <c r="E502">
        <v>6.4829999999999997</v>
      </c>
      <c r="F502" s="21">
        <v>6.7999999999999996E-3</v>
      </c>
    </row>
    <row r="503" spans="1:6" x14ac:dyDescent="0.35">
      <c r="A503" s="22" t="s">
        <v>928</v>
      </c>
      <c r="B503" s="51">
        <v>6.4390000000000001</v>
      </c>
      <c r="C503">
        <v>6.4390000000000001</v>
      </c>
      <c r="D503">
        <v>6.4390000000000001</v>
      </c>
      <c r="E503">
        <v>6.4390000000000001</v>
      </c>
      <c r="F503" s="21">
        <v>1.21E-2</v>
      </c>
    </row>
    <row r="504" spans="1:6" x14ac:dyDescent="0.35">
      <c r="A504" s="22">
        <v>42219</v>
      </c>
      <c r="B504" s="51">
        <v>6.3620000000000001</v>
      </c>
      <c r="C504">
        <v>6.3620000000000001</v>
      </c>
      <c r="D504">
        <v>6.3620000000000001</v>
      </c>
      <c r="E504">
        <v>6.3620000000000001</v>
      </c>
      <c r="F504" s="21">
        <v>2.0000000000000001E-4</v>
      </c>
    </row>
    <row r="505" spans="1:6" x14ac:dyDescent="0.35">
      <c r="A505" s="22">
        <v>42007</v>
      </c>
      <c r="B505" s="51">
        <v>6.3609999999999998</v>
      </c>
      <c r="C505">
        <v>6.3609999999999998</v>
      </c>
      <c r="D505">
        <v>6.3609999999999998</v>
      </c>
      <c r="E505">
        <v>6.3609999999999998</v>
      </c>
      <c r="F505" s="21">
        <v>-1.12E-2</v>
      </c>
    </row>
    <row r="506" spans="1:6" x14ac:dyDescent="0.35">
      <c r="A506" s="22" t="s">
        <v>932</v>
      </c>
      <c r="B506" s="51">
        <v>6.4329999999999998</v>
      </c>
      <c r="C506">
        <v>6.4329999999999998</v>
      </c>
      <c r="D506">
        <v>6.4329999999999998</v>
      </c>
      <c r="E506">
        <v>6.4329999999999998</v>
      </c>
      <c r="F506" s="21">
        <v>-1.0500000000000001E-2</v>
      </c>
    </row>
    <row r="507" spans="1:6" x14ac:dyDescent="0.35">
      <c r="A507" s="22" t="s">
        <v>934</v>
      </c>
      <c r="B507" s="51">
        <v>6.5010000000000003</v>
      </c>
      <c r="C507">
        <v>6.5010000000000003</v>
      </c>
      <c r="D507">
        <v>6.5010000000000003</v>
      </c>
      <c r="E507">
        <v>6.5010000000000003</v>
      </c>
      <c r="F507" s="21">
        <v>0</v>
      </c>
    </row>
    <row r="508" spans="1:6" x14ac:dyDescent="0.35">
      <c r="A508" s="22">
        <v>42218</v>
      </c>
      <c r="B508" s="51">
        <v>6.5010000000000003</v>
      </c>
      <c r="C508">
        <v>6.5010000000000003</v>
      </c>
      <c r="D508">
        <v>6.5010000000000003</v>
      </c>
      <c r="E508">
        <v>6.5010000000000003</v>
      </c>
      <c r="F508" s="21">
        <v>-2.12E-2</v>
      </c>
    </row>
    <row r="509" spans="1:6" x14ac:dyDescent="0.35">
      <c r="A509" s="22">
        <v>42006</v>
      </c>
      <c r="B509" s="51">
        <v>6.6420000000000003</v>
      </c>
      <c r="C509">
        <v>6.6420000000000003</v>
      </c>
      <c r="D509">
        <v>6.6420000000000003</v>
      </c>
      <c r="E509">
        <v>6.6420000000000003</v>
      </c>
      <c r="F509" s="21">
        <v>-5.0000000000000001E-4</v>
      </c>
    </row>
    <row r="510" spans="1:6" x14ac:dyDescent="0.35">
      <c r="A510" s="22" t="s">
        <v>937</v>
      </c>
      <c r="B510" s="51">
        <v>6.6449999999999996</v>
      </c>
      <c r="C510">
        <v>6.6449999999999996</v>
      </c>
      <c r="D510">
        <v>6.6449999999999996</v>
      </c>
      <c r="E510">
        <v>6.6449999999999996</v>
      </c>
      <c r="F510" s="21">
        <v>-4.58E-2</v>
      </c>
    </row>
    <row r="511" spans="1:6" x14ac:dyDescent="0.35">
      <c r="A511" s="22" t="s">
        <v>939</v>
      </c>
      <c r="B511" s="51">
        <v>6.9640000000000004</v>
      </c>
      <c r="C511">
        <v>6.9640000000000004</v>
      </c>
      <c r="D511">
        <v>6.9640000000000004</v>
      </c>
      <c r="E511">
        <v>6.9640000000000004</v>
      </c>
      <c r="F511" s="21">
        <v>-1.6000000000000001E-3</v>
      </c>
    </row>
    <row r="512" spans="1:6" x14ac:dyDescent="0.35">
      <c r="A512" s="22">
        <v>42309</v>
      </c>
      <c r="B512" s="51">
        <v>6.9749999999999996</v>
      </c>
      <c r="C512">
        <v>6.9749999999999996</v>
      </c>
      <c r="D512">
        <v>6.9749999999999996</v>
      </c>
      <c r="E512">
        <v>6.9749999999999996</v>
      </c>
      <c r="F512" s="21">
        <v>-2.52E-2</v>
      </c>
    </row>
    <row r="513" spans="1:6" x14ac:dyDescent="0.35">
      <c r="A513" s="22">
        <v>42095</v>
      </c>
      <c r="B513" s="51">
        <v>7.1550000000000002</v>
      </c>
      <c r="C513">
        <v>7.1550000000000002</v>
      </c>
      <c r="D513">
        <v>7.1550000000000002</v>
      </c>
      <c r="E513">
        <v>7.1550000000000002</v>
      </c>
      <c r="F513" s="21">
        <v>6.9999999999999999E-4</v>
      </c>
    </row>
    <row r="514" spans="1:6" x14ac:dyDescent="0.35">
      <c r="A514" s="22" t="s">
        <v>942</v>
      </c>
      <c r="B514" s="51">
        <v>7.15</v>
      </c>
      <c r="C514">
        <v>7.15</v>
      </c>
      <c r="D514">
        <v>7.15</v>
      </c>
      <c r="E514">
        <v>7.15</v>
      </c>
      <c r="F514" s="21">
        <v>-4.4999999999999997E-3</v>
      </c>
    </row>
    <row r="515" spans="1:6" x14ac:dyDescent="0.35">
      <c r="A515" s="22" t="s">
        <v>944</v>
      </c>
      <c r="B515" s="51">
        <v>7.1820000000000004</v>
      </c>
      <c r="C515">
        <v>7.1820000000000004</v>
      </c>
      <c r="D515">
        <v>7.1820000000000004</v>
      </c>
      <c r="E515">
        <v>7.1820000000000004</v>
      </c>
      <c r="F515" s="21">
        <v>-1.4E-3</v>
      </c>
    </row>
    <row r="516" spans="1:6" x14ac:dyDescent="0.35">
      <c r="A516" s="22" t="s">
        <v>946</v>
      </c>
      <c r="B516" s="51">
        <v>7.1920000000000002</v>
      </c>
      <c r="C516">
        <v>7.1920000000000002</v>
      </c>
      <c r="D516">
        <v>7.1920000000000002</v>
      </c>
      <c r="E516">
        <v>7.1920000000000002</v>
      </c>
      <c r="F516" s="21">
        <v>2.12E-2</v>
      </c>
    </row>
    <row r="517" spans="1:6" x14ac:dyDescent="0.35">
      <c r="A517" s="22">
        <v>41832</v>
      </c>
      <c r="B517" s="51">
        <v>7.0430000000000001</v>
      </c>
      <c r="C517">
        <v>7.0430000000000001</v>
      </c>
      <c r="D517">
        <v>7.0430000000000001</v>
      </c>
      <c r="E517">
        <v>7.0430000000000001</v>
      </c>
      <c r="F517" s="21">
        <v>4.1000000000000003E-3</v>
      </c>
    </row>
    <row r="518" spans="1:6" x14ac:dyDescent="0.35">
      <c r="A518" s="22" t="s">
        <v>949</v>
      </c>
      <c r="B518" s="51">
        <v>7.0140000000000002</v>
      </c>
      <c r="C518">
        <v>7.0140000000000002</v>
      </c>
      <c r="D518">
        <v>7.0140000000000002</v>
      </c>
      <c r="E518">
        <v>7.0140000000000002</v>
      </c>
      <c r="F518" s="21">
        <v>1.7600000000000001E-2</v>
      </c>
    </row>
    <row r="519" spans="1:6" x14ac:dyDescent="0.35">
      <c r="A519" s="22" t="s">
        <v>951</v>
      </c>
      <c r="B519" s="51">
        <v>6.8929999999999998</v>
      </c>
      <c r="C519">
        <v>6.8929999999999998</v>
      </c>
      <c r="D519">
        <v>6.8929999999999998</v>
      </c>
      <c r="E519">
        <v>6.8929999999999998</v>
      </c>
      <c r="F519" s="21">
        <v>1.9800000000000002E-2</v>
      </c>
    </row>
    <row r="520" spans="1:6" x14ac:dyDescent="0.35">
      <c r="A520" s="22" t="s">
        <v>953</v>
      </c>
      <c r="B520" s="51">
        <v>6.7590000000000003</v>
      </c>
      <c r="C520">
        <v>6.7590000000000003</v>
      </c>
      <c r="D520">
        <v>6.7590000000000003</v>
      </c>
      <c r="E520">
        <v>6.7590000000000003</v>
      </c>
      <c r="F520" s="21">
        <v>3.73E-2</v>
      </c>
    </row>
    <row r="521" spans="1:6" x14ac:dyDescent="0.35">
      <c r="A521" s="22">
        <v>41893</v>
      </c>
      <c r="B521" s="51">
        <v>6.516</v>
      </c>
      <c r="C521">
        <v>6.516</v>
      </c>
      <c r="D521">
        <v>6.516</v>
      </c>
      <c r="E521">
        <v>6.516</v>
      </c>
      <c r="F521" s="21">
        <v>2.7900000000000001E-2</v>
      </c>
    </row>
    <row r="522" spans="1:6" x14ac:dyDescent="0.35">
      <c r="A522" s="22">
        <v>41681</v>
      </c>
      <c r="B522" s="51">
        <v>6.3390000000000004</v>
      </c>
      <c r="C522">
        <v>6.3390000000000004</v>
      </c>
      <c r="D522">
        <v>6.3390000000000004</v>
      </c>
      <c r="E522">
        <v>6.3390000000000004</v>
      </c>
      <c r="F522" s="21">
        <v>5.8999999999999999E-3</v>
      </c>
    </row>
    <row r="523" spans="1:6" x14ac:dyDescent="0.35">
      <c r="A523" s="22" t="s">
        <v>957</v>
      </c>
      <c r="B523" s="51">
        <v>6.3019999999999996</v>
      </c>
      <c r="C523">
        <v>6.3019999999999996</v>
      </c>
      <c r="D523">
        <v>6.3019999999999996</v>
      </c>
      <c r="E523">
        <v>6.3019999999999996</v>
      </c>
      <c r="F523" s="21">
        <v>3.7000000000000002E-3</v>
      </c>
    </row>
    <row r="524" spans="1:6" x14ac:dyDescent="0.35">
      <c r="A524" s="22" t="s">
        <v>959</v>
      </c>
      <c r="B524" s="51">
        <v>6.2789999999999999</v>
      </c>
      <c r="C524">
        <v>6.2789999999999999</v>
      </c>
      <c r="D524">
        <v>6.2789999999999999</v>
      </c>
      <c r="E524">
        <v>6.2789999999999999</v>
      </c>
      <c r="F524" s="21">
        <v>1.7000000000000001E-2</v>
      </c>
    </row>
    <row r="525" spans="1:6" x14ac:dyDescent="0.35">
      <c r="A525" s="22">
        <v>41983</v>
      </c>
      <c r="B525" s="51">
        <v>6.1740000000000004</v>
      </c>
      <c r="C525">
        <v>6.1740000000000004</v>
      </c>
      <c r="D525">
        <v>6.1740000000000004</v>
      </c>
      <c r="E525">
        <v>6.1740000000000004</v>
      </c>
      <c r="F525" s="21">
        <v>2.2700000000000001E-2</v>
      </c>
    </row>
    <row r="526" spans="1:6" x14ac:dyDescent="0.35">
      <c r="A526" s="22">
        <v>41769</v>
      </c>
      <c r="B526" s="51">
        <v>6.0369999999999999</v>
      </c>
      <c r="C526">
        <v>6.0369999999999999</v>
      </c>
      <c r="D526">
        <v>6.0369999999999999</v>
      </c>
      <c r="E526">
        <v>6.0369999999999999</v>
      </c>
      <c r="F526" s="21">
        <v>-3.2800000000000003E-2</v>
      </c>
    </row>
    <row r="527" spans="1:6" x14ac:dyDescent="0.35">
      <c r="A527" s="22" t="s">
        <v>963</v>
      </c>
      <c r="B527" s="51">
        <v>6.242</v>
      </c>
      <c r="C527">
        <v>6.242</v>
      </c>
      <c r="D527">
        <v>6.242</v>
      </c>
      <c r="E527">
        <v>6.242</v>
      </c>
      <c r="F527" s="21">
        <v>-7.2099999999999997E-2</v>
      </c>
    </row>
    <row r="528" spans="1:6" x14ac:dyDescent="0.35">
      <c r="A528" s="22" t="s">
        <v>965</v>
      </c>
      <c r="B528" s="51">
        <v>6.7270000000000003</v>
      </c>
      <c r="C528">
        <v>6.7270000000000003</v>
      </c>
      <c r="D528">
        <v>6.7270000000000003</v>
      </c>
      <c r="E528">
        <v>6.7270000000000003</v>
      </c>
      <c r="F528" s="21">
        <v>-6.5600000000000006E-2</v>
      </c>
    </row>
    <row r="529" spans="1:6" x14ac:dyDescent="0.35">
      <c r="A529" s="22" t="s">
        <v>967</v>
      </c>
      <c r="B529" s="51">
        <v>7.1989999999999998</v>
      </c>
      <c r="C529">
        <v>7.1989999999999998</v>
      </c>
      <c r="D529">
        <v>7.1989999999999998</v>
      </c>
      <c r="E529">
        <v>7.1989999999999998</v>
      </c>
      <c r="F529" s="21">
        <v>-9.1999999999999998E-3</v>
      </c>
    </row>
    <row r="530" spans="1:6" x14ac:dyDescent="0.35">
      <c r="A530" s="22">
        <v>41829</v>
      </c>
      <c r="B530" s="51">
        <v>7.266</v>
      </c>
      <c r="C530">
        <v>7.266</v>
      </c>
      <c r="D530">
        <v>7.266</v>
      </c>
      <c r="E530">
        <v>7.266</v>
      </c>
      <c r="F530" s="21">
        <v>-8.3299999999999999E-2</v>
      </c>
    </row>
    <row r="531" spans="1:6" x14ac:dyDescent="0.35">
      <c r="A531" s="22" t="s">
        <v>970</v>
      </c>
      <c r="B531" s="51">
        <v>7.9260000000000002</v>
      </c>
      <c r="C531">
        <v>7.9260000000000002</v>
      </c>
      <c r="D531">
        <v>7.9260000000000002</v>
      </c>
      <c r="E531">
        <v>7.9260000000000002</v>
      </c>
      <c r="F531" s="21">
        <v>-1.3899999999999999E-2</v>
      </c>
    </row>
    <row r="532" spans="1:6" x14ac:dyDescent="0.35">
      <c r="A532" s="22" t="s">
        <v>972</v>
      </c>
      <c r="B532" s="51">
        <v>8.0380000000000003</v>
      </c>
      <c r="C532">
        <v>8.0380000000000003</v>
      </c>
      <c r="D532">
        <v>8.0380000000000003</v>
      </c>
      <c r="E532">
        <v>8.0380000000000003</v>
      </c>
      <c r="F532" s="21">
        <v>1.43E-2</v>
      </c>
    </row>
    <row r="533" spans="1:6" x14ac:dyDescent="0.35">
      <c r="A533" s="22" t="s">
        <v>974</v>
      </c>
      <c r="B533" s="51">
        <v>7.9249999999999998</v>
      </c>
      <c r="C533">
        <v>7.9249999999999998</v>
      </c>
      <c r="D533">
        <v>7.9249999999999998</v>
      </c>
      <c r="E533">
        <v>7.9249999999999998</v>
      </c>
      <c r="F533" s="21">
        <v>2.5000000000000001E-3</v>
      </c>
    </row>
    <row r="534" spans="1:6" x14ac:dyDescent="0.35">
      <c r="A534" s="22">
        <v>41920</v>
      </c>
      <c r="B534" s="51">
        <v>7.9050000000000002</v>
      </c>
      <c r="C534">
        <v>7.9050000000000002</v>
      </c>
      <c r="D534">
        <v>7.9050000000000002</v>
      </c>
      <c r="E534">
        <v>7.9050000000000002</v>
      </c>
      <c r="F534" s="21">
        <v>-4.9000000000000002E-2</v>
      </c>
    </row>
    <row r="535" spans="1:6" x14ac:dyDescent="0.35">
      <c r="A535" s="22">
        <v>41706</v>
      </c>
      <c r="B535" s="51">
        <v>8.3119999999999994</v>
      </c>
      <c r="C535">
        <v>8.3119999999999994</v>
      </c>
      <c r="D535">
        <v>8.3119999999999994</v>
      </c>
      <c r="E535">
        <v>8.3119999999999994</v>
      </c>
      <c r="F535" s="21">
        <v>-8.2000000000000007E-3</v>
      </c>
    </row>
    <row r="536" spans="1:6" x14ac:dyDescent="0.35">
      <c r="A536" s="22" t="s">
        <v>978</v>
      </c>
      <c r="B536" s="51">
        <v>8.3810000000000002</v>
      </c>
      <c r="C536">
        <v>8.3810000000000002</v>
      </c>
      <c r="D536">
        <v>8.3810000000000002</v>
      </c>
      <c r="E536">
        <v>8.3810000000000002</v>
      </c>
      <c r="F536" s="21">
        <v>-1.6299999999999999E-2</v>
      </c>
    </row>
    <row r="537" spans="1:6" x14ac:dyDescent="0.35">
      <c r="A537" s="22" t="s">
        <v>980</v>
      </c>
      <c r="B537" s="51">
        <v>8.52</v>
      </c>
      <c r="C537">
        <v>8.52</v>
      </c>
      <c r="D537">
        <v>8.52</v>
      </c>
      <c r="E537">
        <v>8.52</v>
      </c>
      <c r="F537" s="21">
        <v>-4.1000000000000003E-3</v>
      </c>
    </row>
    <row r="538" spans="1:6" x14ac:dyDescent="0.35">
      <c r="A538" s="22" t="s">
        <v>982</v>
      </c>
      <c r="B538" s="51">
        <v>8.5549999999999997</v>
      </c>
      <c r="C538">
        <v>8.5549999999999997</v>
      </c>
      <c r="D538">
        <v>8.5549999999999997</v>
      </c>
      <c r="E538">
        <v>8.5549999999999997</v>
      </c>
      <c r="F538" s="21">
        <v>-4.0000000000000001E-3</v>
      </c>
    </row>
    <row r="539" spans="1:6" x14ac:dyDescent="0.35">
      <c r="A539" s="22">
        <v>41797</v>
      </c>
      <c r="B539" s="51">
        <v>8.5890000000000004</v>
      </c>
      <c r="C539">
        <v>8.5890000000000004</v>
      </c>
      <c r="D539">
        <v>8.5890000000000004</v>
      </c>
      <c r="E539">
        <v>8.5890000000000004</v>
      </c>
      <c r="F539" s="21">
        <v>-1.6000000000000001E-3</v>
      </c>
    </row>
    <row r="540" spans="1:6" x14ac:dyDescent="0.35">
      <c r="A540" s="22" t="s">
        <v>985</v>
      </c>
      <c r="B540" s="51">
        <v>8.6029999999999998</v>
      </c>
      <c r="C540">
        <v>8.6029999999999998</v>
      </c>
      <c r="D540">
        <v>8.6029999999999998</v>
      </c>
      <c r="E540">
        <v>8.6029999999999998</v>
      </c>
      <c r="F540" s="21">
        <v>-4.8999999999999998E-3</v>
      </c>
    </row>
    <row r="541" spans="1:6" x14ac:dyDescent="0.35">
      <c r="A541" s="22" t="s">
        <v>987</v>
      </c>
      <c r="B541" s="51">
        <v>8.6449999999999996</v>
      </c>
      <c r="C541">
        <v>8.6449999999999996</v>
      </c>
      <c r="D541">
        <v>8.6449999999999996</v>
      </c>
      <c r="E541">
        <v>8.6449999999999996</v>
      </c>
      <c r="F541" s="21">
        <v>-3.3E-3</v>
      </c>
    </row>
    <row r="542" spans="1:6" x14ac:dyDescent="0.35">
      <c r="A542" s="22" t="s">
        <v>989</v>
      </c>
      <c r="B542" s="51">
        <v>8.6739999999999995</v>
      </c>
      <c r="C542">
        <v>8.6739999999999995</v>
      </c>
      <c r="D542">
        <v>8.6739999999999995</v>
      </c>
      <c r="E542">
        <v>8.6739999999999995</v>
      </c>
      <c r="F542" s="21">
        <v>4.4000000000000003E-3</v>
      </c>
    </row>
    <row r="543" spans="1:6" x14ac:dyDescent="0.35">
      <c r="A543" s="22">
        <v>41857</v>
      </c>
      <c r="B543" s="51">
        <v>8.6359999999999992</v>
      </c>
      <c r="C543">
        <v>8.6359999999999992</v>
      </c>
      <c r="D543">
        <v>8.6359999999999992</v>
      </c>
      <c r="E543">
        <v>8.6359999999999992</v>
      </c>
      <c r="F543" s="21">
        <v>-5.4999999999999997E-3</v>
      </c>
    </row>
    <row r="544" spans="1:6" x14ac:dyDescent="0.35">
      <c r="A544" s="22">
        <v>41645</v>
      </c>
      <c r="B544" s="51">
        <v>8.6839999999999993</v>
      </c>
      <c r="C544">
        <v>8.6839999999999993</v>
      </c>
      <c r="D544">
        <v>8.6839999999999993</v>
      </c>
      <c r="E544">
        <v>8.6839999999999993</v>
      </c>
      <c r="F544" s="21">
        <v>-1.1999999999999999E-3</v>
      </c>
    </row>
    <row r="545" spans="1:6" x14ac:dyDescent="0.35">
      <c r="A545" s="22" t="s">
        <v>993</v>
      </c>
      <c r="B545" s="51">
        <v>8.6940000000000008</v>
      </c>
      <c r="C545">
        <v>8.6940000000000008</v>
      </c>
      <c r="D545">
        <v>8.6940000000000008</v>
      </c>
      <c r="E545">
        <v>8.6940000000000008</v>
      </c>
      <c r="F545" s="21">
        <v>-7.9000000000000008E-3</v>
      </c>
    </row>
    <row r="546" spans="1:6" x14ac:dyDescent="0.35">
      <c r="A546" s="22" t="s">
        <v>995</v>
      </c>
      <c r="B546" s="51">
        <v>8.7629999999999999</v>
      </c>
      <c r="C546">
        <v>8.7629999999999999</v>
      </c>
      <c r="D546">
        <v>8.7629999999999999</v>
      </c>
      <c r="E546">
        <v>8.7629999999999999</v>
      </c>
      <c r="F546" s="21">
        <v>-1.4E-3</v>
      </c>
    </row>
    <row r="547" spans="1:6" x14ac:dyDescent="0.35">
      <c r="A547" s="22">
        <v>41948</v>
      </c>
      <c r="B547" s="51">
        <v>8.7750000000000004</v>
      </c>
      <c r="C547">
        <v>8.7750000000000004</v>
      </c>
      <c r="D547">
        <v>8.7750000000000004</v>
      </c>
      <c r="E547">
        <v>8.7750000000000004</v>
      </c>
      <c r="F547" s="21">
        <v>4.1999999999999997E-3</v>
      </c>
    </row>
    <row r="548" spans="1:6" x14ac:dyDescent="0.35">
      <c r="A548" s="22">
        <v>41734</v>
      </c>
      <c r="B548" s="51">
        <v>8.7379999999999995</v>
      </c>
      <c r="C548">
        <v>8.7379999999999995</v>
      </c>
      <c r="D548">
        <v>8.7379999999999995</v>
      </c>
      <c r="E548">
        <v>8.7379999999999995</v>
      </c>
      <c r="F548" s="21">
        <v>3.2399999999999998E-2</v>
      </c>
    </row>
    <row r="549" spans="1:6" x14ac:dyDescent="0.35">
      <c r="A549" s="22" t="s">
        <v>999</v>
      </c>
      <c r="B549" s="51">
        <v>8.4640000000000004</v>
      </c>
      <c r="C549">
        <v>8.4640000000000004</v>
      </c>
      <c r="D549">
        <v>8.4640000000000004</v>
      </c>
      <c r="E549">
        <v>8.4640000000000004</v>
      </c>
      <c r="F549" s="21">
        <v>-5.0000000000000001E-4</v>
      </c>
    </row>
    <row r="550" spans="1:6" x14ac:dyDescent="0.35">
      <c r="A550" s="22" t="s">
        <v>1001</v>
      </c>
      <c r="B550" s="51">
        <v>8.468</v>
      </c>
      <c r="C550">
        <v>8.468</v>
      </c>
      <c r="D550">
        <v>8.468</v>
      </c>
      <c r="E550">
        <v>8.468</v>
      </c>
      <c r="F550" s="21">
        <v>-9.7000000000000003E-3</v>
      </c>
    </row>
    <row r="551" spans="1:6" x14ac:dyDescent="0.35">
      <c r="A551" s="22" t="s">
        <v>1003</v>
      </c>
      <c r="B551" s="51">
        <v>8.5510000000000002</v>
      </c>
      <c r="C551">
        <v>8.5510000000000002</v>
      </c>
      <c r="D551">
        <v>8.5510000000000002</v>
      </c>
      <c r="E551">
        <v>8.5510000000000002</v>
      </c>
      <c r="F551" s="21">
        <v>1.46E-2</v>
      </c>
    </row>
    <row r="552" spans="1:6" x14ac:dyDescent="0.35">
      <c r="A552" s="22">
        <v>41794</v>
      </c>
      <c r="B552" s="51">
        <v>8.4280000000000008</v>
      </c>
      <c r="C552">
        <v>8.4280000000000008</v>
      </c>
      <c r="D552">
        <v>8.4280000000000008</v>
      </c>
      <c r="E552">
        <v>8.4280000000000008</v>
      </c>
      <c r="F552" s="21">
        <v>-0.01</v>
      </c>
    </row>
    <row r="553" spans="1:6" x14ac:dyDescent="0.35">
      <c r="A553" s="22" t="s">
        <v>1006</v>
      </c>
      <c r="B553" s="51">
        <v>8.5129999999999999</v>
      </c>
      <c r="C553">
        <v>8.5129999999999999</v>
      </c>
      <c r="D553">
        <v>8.5129999999999999</v>
      </c>
      <c r="E553">
        <v>8.5129999999999999</v>
      </c>
      <c r="F553" s="21">
        <v>-3.7000000000000002E-3</v>
      </c>
    </row>
    <row r="554" spans="1:6" x14ac:dyDescent="0.35">
      <c r="A554" s="22" t="s">
        <v>1008</v>
      </c>
      <c r="B554" s="51">
        <v>8.5449999999999999</v>
      </c>
      <c r="C554">
        <v>8.5449999999999999</v>
      </c>
      <c r="D554">
        <v>8.5449999999999999</v>
      </c>
      <c r="E554">
        <v>8.5449999999999999</v>
      </c>
      <c r="F554" s="21">
        <v>-4.3E-3</v>
      </c>
    </row>
    <row r="555" spans="1:6" x14ac:dyDescent="0.35">
      <c r="A555" s="22" t="s">
        <v>1010</v>
      </c>
      <c r="B555" s="51">
        <v>8.5820000000000007</v>
      </c>
      <c r="C555">
        <v>8.5820000000000007</v>
      </c>
      <c r="D555">
        <v>8.5820000000000007</v>
      </c>
      <c r="E555">
        <v>8.5820000000000007</v>
      </c>
      <c r="F555" s="21">
        <v>-3.8999999999999998E-3</v>
      </c>
    </row>
    <row r="556" spans="1:6" x14ac:dyDescent="0.35">
      <c r="A556" s="22">
        <v>41885</v>
      </c>
      <c r="B556" s="51">
        <v>8.6159999999999997</v>
      </c>
      <c r="C556">
        <v>8.6159999999999997</v>
      </c>
      <c r="D556">
        <v>8.6159999999999997</v>
      </c>
      <c r="E556">
        <v>8.6159999999999997</v>
      </c>
      <c r="F556" s="21">
        <v>-5.3E-3</v>
      </c>
    </row>
    <row r="557" spans="1:6" x14ac:dyDescent="0.35">
      <c r="A557" s="22">
        <v>41673</v>
      </c>
      <c r="B557" s="51">
        <v>8.6620000000000008</v>
      </c>
      <c r="C557">
        <v>8.6620000000000008</v>
      </c>
      <c r="D557">
        <v>8.6620000000000008</v>
      </c>
      <c r="E557">
        <v>8.6620000000000008</v>
      </c>
      <c r="F557" s="21">
        <v>-5.0000000000000001E-4</v>
      </c>
    </row>
    <row r="558" spans="1:6" x14ac:dyDescent="0.35">
      <c r="A558" s="22" t="s">
        <v>1014</v>
      </c>
      <c r="B558" s="51">
        <v>8.6660000000000004</v>
      </c>
      <c r="C558">
        <v>8.6660000000000004</v>
      </c>
      <c r="D558">
        <v>8.6660000000000004</v>
      </c>
      <c r="E558">
        <v>8.6660000000000004</v>
      </c>
      <c r="F558" s="21">
        <v>2.5000000000000001E-3</v>
      </c>
    </row>
    <row r="559" spans="1:6" x14ac:dyDescent="0.35">
      <c r="A559" s="22" t="s">
        <v>1016</v>
      </c>
      <c r="B559" s="51">
        <v>8.6440000000000001</v>
      </c>
      <c r="C559">
        <v>8.6440000000000001</v>
      </c>
      <c r="D559">
        <v>8.6440000000000001</v>
      </c>
      <c r="E559">
        <v>8.6440000000000001</v>
      </c>
      <c r="F559" s="21">
        <v>-1.06E-2</v>
      </c>
    </row>
    <row r="560" spans="1:6" x14ac:dyDescent="0.35">
      <c r="A560" s="22">
        <v>41884</v>
      </c>
      <c r="B560" s="51">
        <v>8.7370000000000001</v>
      </c>
      <c r="C560">
        <v>8.7370000000000001</v>
      </c>
      <c r="D560">
        <v>8.7370000000000001</v>
      </c>
      <c r="E560">
        <v>8.7370000000000001</v>
      </c>
      <c r="F560" s="21">
        <v>-6.6E-3</v>
      </c>
    </row>
    <row r="561" spans="1:6" x14ac:dyDescent="0.35">
      <c r="A561" s="22">
        <v>41672</v>
      </c>
      <c r="B561" s="51">
        <v>8.7949999999999999</v>
      </c>
      <c r="C561">
        <v>8.7949999999999999</v>
      </c>
      <c r="D561">
        <v>8.7949999999999999</v>
      </c>
      <c r="E561">
        <v>8.7949999999999999</v>
      </c>
      <c r="F561" s="21">
        <v>-5.7999999999999996E-3</v>
      </c>
    </row>
    <row r="562" spans="1:6" x14ac:dyDescent="0.35">
      <c r="A562" s="22" t="s">
        <v>1020</v>
      </c>
      <c r="B562" s="51">
        <v>8.8460000000000001</v>
      </c>
      <c r="C562">
        <v>8.8460000000000001</v>
      </c>
      <c r="D562">
        <v>8.8460000000000001</v>
      </c>
      <c r="E562">
        <v>8.8460000000000001</v>
      </c>
      <c r="F562" s="21">
        <v>2.5000000000000001E-3</v>
      </c>
    </row>
    <row r="563" spans="1:6" x14ac:dyDescent="0.35">
      <c r="A563" s="22" t="s">
        <v>1022</v>
      </c>
      <c r="B563" s="51">
        <v>8.8239999999999998</v>
      </c>
      <c r="C563">
        <v>8.8239999999999998</v>
      </c>
      <c r="D563">
        <v>8.8239999999999998</v>
      </c>
      <c r="E563">
        <v>8.8239999999999998</v>
      </c>
      <c r="F563" s="21">
        <v>-5.1000000000000004E-3</v>
      </c>
    </row>
    <row r="564" spans="1:6" x14ac:dyDescent="0.35">
      <c r="A564" s="22">
        <v>41974</v>
      </c>
      <c r="B564" s="51">
        <v>8.8689999999999998</v>
      </c>
      <c r="C564">
        <v>8.8689999999999998</v>
      </c>
      <c r="D564">
        <v>8.8689999999999998</v>
      </c>
      <c r="E564">
        <v>8.8689999999999998</v>
      </c>
      <c r="F564" s="21">
        <v>-2.3999999999999998E-3</v>
      </c>
    </row>
    <row r="565" spans="1:6" x14ac:dyDescent="0.35">
      <c r="A565" s="22">
        <v>41760</v>
      </c>
      <c r="B565" s="51">
        <v>8.89</v>
      </c>
      <c r="C565">
        <v>8.89</v>
      </c>
      <c r="D565">
        <v>8.89</v>
      </c>
      <c r="E565">
        <v>8.89</v>
      </c>
      <c r="F565" s="21">
        <v>1.1999999999999999E-3</v>
      </c>
    </row>
    <row r="566" spans="1:6" x14ac:dyDescent="0.35">
      <c r="A566" s="22" t="s">
        <v>1026</v>
      </c>
      <c r="B566" s="51">
        <v>8.8789999999999996</v>
      </c>
      <c r="C566">
        <v>8.8789999999999996</v>
      </c>
      <c r="D566">
        <v>8.8789999999999996</v>
      </c>
      <c r="E566">
        <v>8.8789999999999996</v>
      </c>
      <c r="F566" s="21">
        <v>-8.9999999999999998E-4</v>
      </c>
    </row>
    <row r="567" spans="1:6" x14ac:dyDescent="0.35">
      <c r="A567" s="22" t="s">
        <v>1028</v>
      </c>
      <c r="B567" s="51">
        <v>8.8870000000000005</v>
      </c>
      <c r="C567">
        <v>8.8870000000000005</v>
      </c>
      <c r="D567">
        <v>8.8870000000000005</v>
      </c>
      <c r="E567">
        <v>8.8870000000000005</v>
      </c>
      <c r="F567" s="21">
        <v>-5.1000000000000004E-3</v>
      </c>
    </row>
    <row r="568" spans="1:6" x14ac:dyDescent="0.35">
      <c r="A568" s="22" t="s">
        <v>1030</v>
      </c>
      <c r="B568" s="51">
        <v>8.9329999999999998</v>
      </c>
      <c r="C568">
        <v>8.9329999999999998</v>
      </c>
      <c r="D568">
        <v>8.9329999999999998</v>
      </c>
      <c r="E568">
        <v>8.9329999999999998</v>
      </c>
      <c r="F568" s="21">
        <v>8.9999999999999993E-3</v>
      </c>
    </row>
    <row r="569" spans="1:6" x14ac:dyDescent="0.35">
      <c r="A569" s="22">
        <v>41498</v>
      </c>
      <c r="B569" s="51">
        <v>8.8529999999999998</v>
      </c>
      <c r="C569">
        <v>8.8529999999999998</v>
      </c>
      <c r="D569">
        <v>8.8529999999999998</v>
      </c>
      <c r="E569">
        <v>8.8529999999999998</v>
      </c>
      <c r="F569" s="21">
        <v>-1.04E-2</v>
      </c>
    </row>
    <row r="570" spans="1:6" x14ac:dyDescent="0.35">
      <c r="A570" s="22">
        <v>41286</v>
      </c>
      <c r="B570" s="51">
        <v>8.9459999999999997</v>
      </c>
      <c r="C570">
        <v>8.9459999999999997</v>
      </c>
      <c r="D570">
        <v>8.9459999999999997</v>
      </c>
      <c r="E570">
        <v>8.9459999999999997</v>
      </c>
      <c r="F570" s="21">
        <v>4.8999999999999998E-3</v>
      </c>
    </row>
    <row r="571" spans="1:6" x14ac:dyDescent="0.35">
      <c r="A571" s="22" t="s">
        <v>1034</v>
      </c>
      <c r="B571" s="51">
        <v>8.9019999999999992</v>
      </c>
      <c r="C571">
        <v>8.9019999999999992</v>
      </c>
      <c r="D571">
        <v>8.9019999999999992</v>
      </c>
      <c r="E571">
        <v>8.9019999999999992</v>
      </c>
      <c r="F571" s="21">
        <v>6.0000000000000001E-3</v>
      </c>
    </row>
    <row r="572" spans="1:6" x14ac:dyDescent="0.35">
      <c r="A572" s="22" t="s">
        <v>1036</v>
      </c>
      <c r="B572" s="51">
        <v>8.8490000000000002</v>
      </c>
      <c r="C572">
        <v>8.8490000000000002</v>
      </c>
      <c r="D572">
        <v>8.8490000000000002</v>
      </c>
      <c r="E572">
        <v>8.8490000000000002</v>
      </c>
      <c r="F572" s="21">
        <v>-7.7000000000000002E-3</v>
      </c>
    </row>
    <row r="573" spans="1:6" x14ac:dyDescent="0.35">
      <c r="A573" s="22">
        <v>41558</v>
      </c>
      <c r="B573" s="51">
        <v>8.9179999999999993</v>
      </c>
      <c r="C573">
        <v>8.9179999999999993</v>
      </c>
      <c r="D573">
        <v>8.9179999999999993</v>
      </c>
      <c r="E573">
        <v>8.9179999999999993</v>
      </c>
      <c r="F573" s="21">
        <v>-4.0000000000000001E-3</v>
      </c>
    </row>
    <row r="574" spans="1:6" x14ac:dyDescent="0.35">
      <c r="A574" s="22">
        <v>41344</v>
      </c>
      <c r="B574" s="51">
        <v>8.9540000000000006</v>
      </c>
      <c r="C574">
        <v>8.9540000000000006</v>
      </c>
      <c r="D574">
        <v>8.9540000000000006</v>
      </c>
      <c r="E574">
        <v>8.9540000000000006</v>
      </c>
      <c r="F574" s="21">
        <v>8.6E-3</v>
      </c>
    </row>
    <row r="575" spans="1:6" x14ac:dyDescent="0.35">
      <c r="A575" s="22" t="s">
        <v>1040</v>
      </c>
      <c r="B575" s="51">
        <v>8.8780000000000001</v>
      </c>
      <c r="C575">
        <v>8.8780000000000001</v>
      </c>
      <c r="D575">
        <v>8.8780000000000001</v>
      </c>
      <c r="E575">
        <v>8.8780000000000001</v>
      </c>
      <c r="F575" s="21">
        <v>4.7999999999999996E-3</v>
      </c>
    </row>
    <row r="576" spans="1:6" x14ac:dyDescent="0.35">
      <c r="A576" s="22" t="s">
        <v>1042</v>
      </c>
      <c r="B576" s="51">
        <v>8.8360000000000003</v>
      </c>
      <c r="C576">
        <v>8.8360000000000003</v>
      </c>
      <c r="D576">
        <v>8.8360000000000003</v>
      </c>
      <c r="E576">
        <v>8.8360000000000003</v>
      </c>
      <c r="F576" s="21">
        <v>-4.1000000000000003E-3</v>
      </c>
    </row>
    <row r="577" spans="1:6" x14ac:dyDescent="0.35">
      <c r="A577" s="22" t="s">
        <v>1044</v>
      </c>
      <c r="B577" s="51">
        <v>8.8719999999999999</v>
      </c>
      <c r="C577">
        <v>8.8719999999999999</v>
      </c>
      <c r="D577">
        <v>8.8719999999999999</v>
      </c>
      <c r="E577">
        <v>8.8719999999999999</v>
      </c>
      <c r="F577" s="21">
        <v>-1.6000000000000001E-3</v>
      </c>
    </row>
    <row r="578" spans="1:6" x14ac:dyDescent="0.35">
      <c r="A578" s="22">
        <v>41435</v>
      </c>
      <c r="B578" s="51">
        <v>8.8859999999999992</v>
      </c>
      <c r="C578">
        <v>8.8859999999999992</v>
      </c>
      <c r="D578">
        <v>8.8859999999999992</v>
      </c>
      <c r="E578">
        <v>8.8859999999999992</v>
      </c>
      <c r="F578" s="21">
        <v>2.0999999999999999E-3</v>
      </c>
    </row>
    <row r="579" spans="1:6" x14ac:dyDescent="0.35">
      <c r="A579" s="22" t="s">
        <v>1047</v>
      </c>
      <c r="B579" s="51">
        <v>8.8670000000000009</v>
      </c>
      <c r="C579">
        <v>8.8670000000000009</v>
      </c>
      <c r="D579">
        <v>8.8670000000000009</v>
      </c>
      <c r="E579">
        <v>8.8670000000000009</v>
      </c>
      <c r="F579" s="21">
        <v>-9.4000000000000004E-3</v>
      </c>
    </row>
    <row r="580" spans="1:6" x14ac:dyDescent="0.35">
      <c r="A580" s="22" t="s">
        <v>1049</v>
      </c>
      <c r="B580" s="51">
        <v>8.9510000000000005</v>
      </c>
      <c r="C580">
        <v>8.9510000000000005</v>
      </c>
      <c r="D580">
        <v>8.9510000000000005</v>
      </c>
      <c r="E580">
        <v>8.9510000000000005</v>
      </c>
      <c r="F580" s="21">
        <v>1.0999999999999999E-2</v>
      </c>
    </row>
    <row r="581" spans="1:6" x14ac:dyDescent="0.35">
      <c r="A581" s="22" t="s">
        <v>1051</v>
      </c>
      <c r="B581" s="51">
        <v>8.8539999999999992</v>
      </c>
      <c r="C581">
        <v>8.8539999999999992</v>
      </c>
      <c r="D581">
        <v>8.8539999999999992</v>
      </c>
      <c r="E581">
        <v>8.8539999999999992</v>
      </c>
      <c r="F581" s="21">
        <v>9.7000000000000003E-3</v>
      </c>
    </row>
    <row r="582" spans="1:6" x14ac:dyDescent="0.35">
      <c r="A582" s="22">
        <v>41495</v>
      </c>
      <c r="B582" s="51">
        <v>8.7690000000000001</v>
      </c>
      <c r="C582">
        <v>8.7690000000000001</v>
      </c>
      <c r="D582">
        <v>8.7690000000000001</v>
      </c>
      <c r="E582">
        <v>8.7690000000000001</v>
      </c>
      <c r="F582" s="21">
        <v>-3.3E-3</v>
      </c>
    </row>
    <row r="583" spans="1:6" x14ac:dyDescent="0.35">
      <c r="A583" s="22">
        <v>41283</v>
      </c>
      <c r="B583" s="51">
        <v>8.798</v>
      </c>
      <c r="C583">
        <v>8.798</v>
      </c>
      <c r="D583">
        <v>8.798</v>
      </c>
      <c r="E583">
        <v>8.798</v>
      </c>
      <c r="F583" s="21">
        <v>-1.6999999999999999E-3</v>
      </c>
    </row>
    <row r="584" spans="1:6" x14ac:dyDescent="0.35">
      <c r="A584" s="22" t="s">
        <v>1055</v>
      </c>
      <c r="B584" s="51">
        <v>8.8130000000000006</v>
      </c>
      <c r="C584">
        <v>8.8130000000000006</v>
      </c>
      <c r="D584">
        <v>8.8130000000000006</v>
      </c>
      <c r="E584">
        <v>8.8130000000000006</v>
      </c>
      <c r="F584" s="21">
        <v>-7.9000000000000008E-3</v>
      </c>
    </row>
    <row r="585" spans="1:6" x14ac:dyDescent="0.35">
      <c r="A585" s="22" t="s">
        <v>1057</v>
      </c>
      <c r="B585" s="51">
        <v>8.8829999999999991</v>
      </c>
      <c r="C585">
        <v>8.8829999999999991</v>
      </c>
      <c r="D585">
        <v>8.8829999999999991</v>
      </c>
      <c r="E585">
        <v>8.8829999999999991</v>
      </c>
      <c r="F585" s="21">
        <v>1.7399999999999999E-2</v>
      </c>
    </row>
    <row r="586" spans="1:6" x14ac:dyDescent="0.35">
      <c r="A586" s="22">
        <v>41586</v>
      </c>
      <c r="B586" s="51">
        <v>8.7309999999999999</v>
      </c>
      <c r="C586">
        <v>8.7309999999999999</v>
      </c>
      <c r="D586">
        <v>8.7309999999999999</v>
      </c>
      <c r="E586">
        <v>8.7309999999999999</v>
      </c>
      <c r="F586" s="21">
        <v>-2.1999999999999999E-2</v>
      </c>
    </row>
    <row r="587" spans="1:6" x14ac:dyDescent="0.35">
      <c r="A587" s="22">
        <v>41372</v>
      </c>
      <c r="B587" s="51">
        <v>8.9269999999999996</v>
      </c>
      <c r="C587">
        <v>8.9269999999999996</v>
      </c>
      <c r="D587">
        <v>8.9269999999999996</v>
      </c>
      <c r="E587">
        <v>8.9269999999999996</v>
      </c>
      <c r="F587" s="21">
        <v>-4.5999999999999999E-3</v>
      </c>
    </row>
    <row r="588" spans="1:6" x14ac:dyDescent="0.35">
      <c r="A588" s="22" t="s">
        <v>1061</v>
      </c>
      <c r="B588" s="51">
        <v>8.968</v>
      </c>
      <c r="C588">
        <v>8.968</v>
      </c>
      <c r="D588">
        <v>8.968</v>
      </c>
      <c r="E588">
        <v>8.968</v>
      </c>
      <c r="F588" s="21">
        <v>2.1999999999999999E-2</v>
      </c>
    </row>
    <row r="589" spans="1:6" x14ac:dyDescent="0.35">
      <c r="A589" s="22" t="s">
        <v>1063</v>
      </c>
      <c r="B589" s="51">
        <v>8.7750000000000004</v>
      </c>
      <c r="C589">
        <v>8.7750000000000004</v>
      </c>
      <c r="D589">
        <v>8.7750000000000004</v>
      </c>
      <c r="E589">
        <v>8.7750000000000004</v>
      </c>
      <c r="F589" s="21">
        <v>-1.52E-2</v>
      </c>
    </row>
    <row r="590" spans="1:6" x14ac:dyDescent="0.35">
      <c r="A590" s="22" t="s">
        <v>1065</v>
      </c>
      <c r="B590" s="51">
        <v>8.91</v>
      </c>
      <c r="C590">
        <v>8.91</v>
      </c>
      <c r="D590">
        <v>8.91</v>
      </c>
      <c r="E590">
        <v>8.91</v>
      </c>
      <c r="F590" s="21">
        <v>-6.7999999999999996E-3</v>
      </c>
    </row>
    <row r="591" spans="1:6" x14ac:dyDescent="0.35">
      <c r="A591" s="22">
        <v>41462</v>
      </c>
      <c r="B591" s="51">
        <v>8.9710000000000001</v>
      </c>
      <c r="C591">
        <v>8.9710000000000001</v>
      </c>
      <c r="D591">
        <v>8.9710000000000001</v>
      </c>
      <c r="E591">
        <v>8.9710000000000001</v>
      </c>
      <c r="F591" s="21">
        <v>1.2999999999999999E-3</v>
      </c>
    </row>
    <row r="592" spans="1:6" x14ac:dyDescent="0.35">
      <c r="A592" s="22" t="s">
        <v>1068</v>
      </c>
      <c r="B592" s="51">
        <v>8.9589999999999996</v>
      </c>
      <c r="C592">
        <v>8.9589999999999996</v>
      </c>
      <c r="D592">
        <v>8.9589999999999996</v>
      </c>
      <c r="E592">
        <v>8.9589999999999996</v>
      </c>
      <c r="F592" s="21">
        <v>6.7000000000000002E-3</v>
      </c>
    </row>
    <row r="593" spans="1:6" x14ac:dyDescent="0.35">
      <c r="A593" s="22" t="s">
        <v>1070</v>
      </c>
      <c r="B593" s="51">
        <v>8.8989999999999991</v>
      </c>
      <c r="C593">
        <v>8.8989999999999991</v>
      </c>
      <c r="D593">
        <v>8.8989999999999991</v>
      </c>
      <c r="E593">
        <v>8.8989999999999991</v>
      </c>
      <c r="F593" s="21">
        <v>7.0000000000000001E-3</v>
      </c>
    </row>
    <row r="594" spans="1:6" x14ac:dyDescent="0.35">
      <c r="A594" s="22" t="s">
        <v>1072</v>
      </c>
      <c r="B594" s="51">
        <v>8.8369999999999997</v>
      </c>
      <c r="C594">
        <v>8.8369999999999997</v>
      </c>
      <c r="D594">
        <v>8.8369999999999997</v>
      </c>
      <c r="E594">
        <v>8.8369999999999997</v>
      </c>
      <c r="F594" s="21">
        <v>-1.5E-3</v>
      </c>
    </row>
    <row r="595" spans="1:6" x14ac:dyDescent="0.35">
      <c r="A595" s="22">
        <v>41523</v>
      </c>
      <c r="B595" s="51">
        <v>8.85</v>
      </c>
      <c r="C595">
        <v>8.85</v>
      </c>
      <c r="D595">
        <v>8.85</v>
      </c>
      <c r="E595">
        <v>8.85</v>
      </c>
      <c r="F595" s="21">
        <v>4.4000000000000003E-3</v>
      </c>
    </row>
    <row r="596" spans="1:6" x14ac:dyDescent="0.35">
      <c r="A596" s="22">
        <v>41311</v>
      </c>
      <c r="B596" s="51">
        <v>8.8109999999999999</v>
      </c>
      <c r="C596">
        <v>8.8109999999999999</v>
      </c>
      <c r="D596">
        <v>8.8109999999999999</v>
      </c>
      <c r="E596">
        <v>8.8109999999999999</v>
      </c>
      <c r="F596" s="21">
        <v>-1.4E-2</v>
      </c>
    </row>
    <row r="597" spans="1:6" x14ac:dyDescent="0.35">
      <c r="A597" s="22" t="s">
        <v>1076</v>
      </c>
      <c r="B597" s="51">
        <v>8.9359999999999999</v>
      </c>
      <c r="C597">
        <v>8.9359999999999999</v>
      </c>
      <c r="D597">
        <v>8.9359999999999999</v>
      </c>
      <c r="E597">
        <v>8.9359999999999999</v>
      </c>
      <c r="F597" s="21">
        <v>-6.3E-3</v>
      </c>
    </row>
    <row r="598" spans="1:6" x14ac:dyDescent="0.35">
      <c r="A598" s="22" t="s">
        <v>1078</v>
      </c>
      <c r="B598" s="51">
        <v>8.9930000000000003</v>
      </c>
      <c r="C598">
        <v>8.9930000000000003</v>
      </c>
      <c r="D598">
        <v>8.9930000000000003</v>
      </c>
      <c r="E598">
        <v>8.9930000000000003</v>
      </c>
      <c r="F598" s="21">
        <v>-5.3E-3</v>
      </c>
    </row>
    <row r="599" spans="1:6" x14ac:dyDescent="0.35">
      <c r="A599" s="22">
        <v>41613</v>
      </c>
      <c r="B599" s="51">
        <v>9.0410000000000004</v>
      </c>
      <c r="C599">
        <v>9.0410000000000004</v>
      </c>
      <c r="D599">
        <v>9.0410000000000004</v>
      </c>
      <c r="E599">
        <v>9.0410000000000004</v>
      </c>
      <c r="F599" s="21">
        <v>-2.3699999999999999E-2</v>
      </c>
    </row>
    <row r="600" spans="1:6" x14ac:dyDescent="0.35">
      <c r="A600" s="22">
        <v>41399</v>
      </c>
      <c r="B600" s="51">
        <v>9.26</v>
      </c>
      <c r="C600">
        <v>9.26</v>
      </c>
      <c r="D600">
        <v>9.26</v>
      </c>
      <c r="E600">
        <v>9.26</v>
      </c>
      <c r="F600" s="21">
        <v>-2.8E-3</v>
      </c>
    </row>
    <row r="601" spans="1:6" x14ac:dyDescent="0.35">
      <c r="A601" s="22" t="s">
        <v>1082</v>
      </c>
      <c r="B601" s="51">
        <v>9.2859999999999996</v>
      </c>
      <c r="C601">
        <v>9.2859999999999996</v>
      </c>
      <c r="D601">
        <v>9.2859999999999996</v>
      </c>
      <c r="E601">
        <v>9.2859999999999996</v>
      </c>
      <c r="F601" s="21">
        <v>8.3000000000000001E-3</v>
      </c>
    </row>
    <row r="602" spans="1:6" x14ac:dyDescent="0.35">
      <c r="A602" s="22" t="s">
        <v>1084</v>
      </c>
      <c r="B602" s="51">
        <v>9.2100000000000009</v>
      </c>
      <c r="C602">
        <v>9.2100000000000009</v>
      </c>
      <c r="D602">
        <v>9.2100000000000009</v>
      </c>
      <c r="E602">
        <v>9.2100000000000009</v>
      </c>
      <c r="F602" s="21">
        <v>-4.4000000000000003E-3</v>
      </c>
    </row>
    <row r="603" spans="1:6" x14ac:dyDescent="0.35">
      <c r="A603" s="22" t="s">
        <v>1086</v>
      </c>
      <c r="B603" s="51">
        <v>9.2509999999999994</v>
      </c>
      <c r="C603">
        <v>9.2509999999999994</v>
      </c>
      <c r="D603">
        <v>9.2509999999999994</v>
      </c>
      <c r="E603">
        <v>9.2509999999999994</v>
      </c>
      <c r="F603" s="21">
        <v>1.06E-2</v>
      </c>
    </row>
    <row r="604" spans="1:6" x14ac:dyDescent="0.35">
      <c r="A604" s="22">
        <v>41459</v>
      </c>
      <c r="B604" s="51">
        <v>9.1539999999999999</v>
      </c>
      <c r="C604">
        <v>9.1539999999999999</v>
      </c>
      <c r="D604">
        <v>9.1539999999999999</v>
      </c>
      <c r="E604">
        <v>9.1539999999999999</v>
      </c>
      <c r="F604" s="21">
        <v>-2.4199999999999999E-2</v>
      </c>
    </row>
    <row r="605" spans="1:6" x14ac:dyDescent="0.35">
      <c r="A605" s="22" t="s">
        <v>1089</v>
      </c>
      <c r="B605" s="51">
        <v>9.3810000000000002</v>
      </c>
      <c r="C605">
        <v>9.3810000000000002</v>
      </c>
      <c r="D605">
        <v>9.3810000000000002</v>
      </c>
      <c r="E605">
        <v>9.3810000000000002</v>
      </c>
      <c r="F605" s="21">
        <v>5.8999999999999999E-3</v>
      </c>
    </row>
    <row r="606" spans="1:6" x14ac:dyDescent="0.35">
      <c r="A606" s="22" t="s">
        <v>1091</v>
      </c>
      <c r="B606" s="51">
        <v>9.3260000000000005</v>
      </c>
      <c r="C606">
        <v>9.3260000000000005</v>
      </c>
      <c r="D606">
        <v>9.3260000000000005</v>
      </c>
      <c r="E606">
        <v>9.3260000000000005</v>
      </c>
      <c r="F606" s="21">
        <v>-1.5900000000000001E-2</v>
      </c>
    </row>
    <row r="607" spans="1:6" x14ac:dyDescent="0.35">
      <c r="A607" s="22" t="s">
        <v>1093</v>
      </c>
      <c r="B607" s="51">
        <v>9.4770000000000003</v>
      </c>
      <c r="C607">
        <v>9.4770000000000003</v>
      </c>
      <c r="D607">
        <v>9.4770000000000003</v>
      </c>
      <c r="E607">
        <v>9.4770000000000003</v>
      </c>
      <c r="F607" s="21">
        <v>8.0999999999999996E-3</v>
      </c>
    </row>
    <row r="608" spans="1:6" x14ac:dyDescent="0.35">
      <c r="A608" s="22">
        <v>41550</v>
      </c>
      <c r="B608" s="51">
        <v>9.4009999999999998</v>
      </c>
      <c r="C608">
        <v>9.4009999999999998</v>
      </c>
      <c r="D608">
        <v>9.4009999999999998</v>
      </c>
      <c r="E608">
        <v>9.4009999999999998</v>
      </c>
      <c r="F608" s="21">
        <v>7.4000000000000003E-3</v>
      </c>
    </row>
    <row r="609" spans="1:6" x14ac:dyDescent="0.35">
      <c r="A609" s="22">
        <v>41336</v>
      </c>
      <c r="B609" s="51">
        <v>9.3320000000000007</v>
      </c>
      <c r="C609">
        <v>9.3320000000000007</v>
      </c>
      <c r="D609">
        <v>9.3320000000000007</v>
      </c>
      <c r="E609">
        <v>9.3320000000000007</v>
      </c>
      <c r="F609" s="21">
        <v>6.4999999999999997E-3</v>
      </c>
    </row>
    <row r="610" spans="1:6" x14ac:dyDescent="0.35">
      <c r="A610" s="22" t="s">
        <v>1097</v>
      </c>
      <c r="B610" s="51">
        <v>9.2720000000000002</v>
      </c>
      <c r="C610">
        <v>9.2720000000000002</v>
      </c>
      <c r="D610">
        <v>9.2720000000000002</v>
      </c>
      <c r="E610">
        <v>9.2720000000000002</v>
      </c>
      <c r="F610" s="21">
        <v>-5.9999999999999995E-4</v>
      </c>
    </row>
    <row r="611" spans="1:6" x14ac:dyDescent="0.35">
      <c r="A611" s="22" t="s">
        <v>1099</v>
      </c>
      <c r="B611" s="51">
        <v>9.2780000000000005</v>
      </c>
      <c r="C611">
        <v>9.2780000000000005</v>
      </c>
      <c r="D611">
        <v>9.2780000000000005</v>
      </c>
      <c r="E611">
        <v>9.2780000000000005</v>
      </c>
      <c r="F611" s="21">
        <v>-4.6300000000000001E-2</v>
      </c>
    </row>
    <row r="612" spans="1:6" x14ac:dyDescent="0.35">
      <c r="A612" s="22">
        <v>41335</v>
      </c>
      <c r="B612" s="51">
        <v>9.7279999999999998</v>
      </c>
      <c r="C612">
        <v>9.7279999999999998</v>
      </c>
      <c r="D612">
        <v>9.7279999999999998</v>
      </c>
      <c r="E612">
        <v>9.7279999999999998</v>
      </c>
      <c r="F612" s="21">
        <v>0</v>
      </c>
    </row>
    <row r="613" spans="1:6" x14ac:dyDescent="0.35">
      <c r="A613" s="22" t="s">
        <v>1102</v>
      </c>
      <c r="B613" s="51">
        <v>9.7279999999999998</v>
      </c>
      <c r="C613">
        <v>9.7279999999999998</v>
      </c>
      <c r="D613">
        <v>9.7279999999999998</v>
      </c>
      <c r="E613">
        <v>9.7279999999999998</v>
      </c>
      <c r="F613" s="21">
        <v>2.2599999999999999E-2</v>
      </c>
    </row>
    <row r="614" spans="1:6" x14ac:dyDescent="0.35">
      <c r="A614" s="22" t="s">
        <v>1104</v>
      </c>
      <c r="B614" s="51">
        <v>9.5129999999999999</v>
      </c>
      <c r="C614">
        <v>9.5129999999999999</v>
      </c>
      <c r="D614">
        <v>9.5129999999999999</v>
      </c>
      <c r="E614">
        <v>9.5129999999999999</v>
      </c>
      <c r="F614" s="21">
        <v>-2.5499999999999998E-2</v>
      </c>
    </row>
    <row r="615" spans="1:6" x14ac:dyDescent="0.35">
      <c r="A615" s="22" t="s">
        <v>1106</v>
      </c>
      <c r="B615" s="51">
        <v>9.7620000000000005</v>
      </c>
      <c r="C615">
        <v>9.7620000000000005</v>
      </c>
      <c r="D615">
        <v>9.7620000000000005</v>
      </c>
      <c r="E615">
        <v>9.7620000000000005</v>
      </c>
      <c r="F615" s="21">
        <v>1.5E-3</v>
      </c>
    </row>
    <row r="616" spans="1:6" x14ac:dyDescent="0.35">
      <c r="A616" s="22">
        <v>41426</v>
      </c>
      <c r="B616" s="51">
        <v>9.7469999999999999</v>
      </c>
      <c r="C616">
        <v>9.7469999999999999</v>
      </c>
      <c r="D616">
        <v>9.7469999999999999</v>
      </c>
      <c r="E616">
        <v>9.7469999999999999</v>
      </c>
      <c r="F616" s="21">
        <v>-1.5599999999999999E-2</v>
      </c>
    </row>
    <row r="617" spans="1:6" x14ac:dyDescent="0.35">
      <c r="A617" s="22" t="s">
        <v>1109</v>
      </c>
      <c r="B617" s="51">
        <v>9.9009999999999998</v>
      </c>
      <c r="C617">
        <v>9.9009999999999998</v>
      </c>
      <c r="D617">
        <v>9.9009999999999998</v>
      </c>
      <c r="E617">
        <v>9.9009999999999998</v>
      </c>
      <c r="F617" s="21">
        <v>6.7000000000000002E-3</v>
      </c>
    </row>
    <row r="618" spans="1:6" x14ac:dyDescent="0.35">
      <c r="A618" s="22" t="s">
        <v>1111</v>
      </c>
      <c r="B618" s="51">
        <v>9.8350000000000009</v>
      </c>
      <c r="C618">
        <v>9.8350000000000009</v>
      </c>
      <c r="D618">
        <v>9.8350000000000009</v>
      </c>
      <c r="E618">
        <v>9.8350000000000009</v>
      </c>
      <c r="F618" s="21">
        <v>5.7000000000000002E-3</v>
      </c>
    </row>
    <row r="619" spans="1:6" x14ac:dyDescent="0.35">
      <c r="A619" s="22" t="s">
        <v>1113</v>
      </c>
      <c r="B619" s="51">
        <v>9.7789999999999999</v>
      </c>
      <c r="C619">
        <v>9.7789999999999999</v>
      </c>
      <c r="D619">
        <v>9.7789999999999999</v>
      </c>
      <c r="E619">
        <v>9.7789999999999999</v>
      </c>
      <c r="F619" s="21">
        <v>-6.3E-3</v>
      </c>
    </row>
    <row r="620" spans="1:6" x14ac:dyDescent="0.35">
      <c r="A620" s="22">
        <v>41164</v>
      </c>
      <c r="B620" s="51">
        <v>9.8409999999999993</v>
      </c>
      <c r="C620">
        <v>9.8409999999999993</v>
      </c>
      <c r="D620">
        <v>9.8409999999999993</v>
      </c>
      <c r="E620">
        <v>9.8409999999999993</v>
      </c>
      <c r="F620" s="21">
        <v>-6.1000000000000004E-3</v>
      </c>
    </row>
    <row r="621" spans="1:6" x14ac:dyDescent="0.35">
      <c r="A621" s="22">
        <v>40951</v>
      </c>
      <c r="B621" s="51">
        <v>9.9009999999999998</v>
      </c>
      <c r="C621">
        <v>9.9009999999999998</v>
      </c>
      <c r="D621">
        <v>9.9009999999999998</v>
      </c>
      <c r="E621">
        <v>9.9009999999999998</v>
      </c>
      <c r="F621" s="21">
        <v>-7.1000000000000004E-3</v>
      </c>
    </row>
    <row r="622" spans="1:6" x14ac:dyDescent="0.35">
      <c r="A622" s="22" t="s">
        <v>1117</v>
      </c>
      <c r="B622" s="51">
        <v>9.9719999999999995</v>
      </c>
      <c r="C622">
        <v>9.9719999999999995</v>
      </c>
      <c r="D622">
        <v>9.9719999999999995</v>
      </c>
      <c r="E622">
        <v>9.9719999999999995</v>
      </c>
      <c r="F622" s="21">
        <v>8.8000000000000005E-3</v>
      </c>
    </row>
    <row r="623" spans="1:6" x14ac:dyDescent="0.35">
      <c r="A623" s="22" t="s">
        <v>1119</v>
      </c>
      <c r="B623" s="51">
        <v>9.8849999999999998</v>
      </c>
      <c r="C623">
        <v>9.8849999999999998</v>
      </c>
      <c r="D623">
        <v>9.8849999999999998</v>
      </c>
      <c r="E623">
        <v>9.8849999999999998</v>
      </c>
      <c r="F623" s="21">
        <v>-5.7700000000000001E-2</v>
      </c>
    </row>
    <row r="624" spans="1:6" x14ac:dyDescent="0.35">
      <c r="A624" s="22">
        <v>41224</v>
      </c>
      <c r="B624" s="51">
        <v>10.49</v>
      </c>
      <c r="C624">
        <v>10.49</v>
      </c>
      <c r="D624">
        <v>10.49</v>
      </c>
      <c r="E624">
        <v>10.49</v>
      </c>
      <c r="F624" s="21">
        <v>4.0300000000000002E-2</v>
      </c>
    </row>
    <row r="625" spans="1:6" x14ac:dyDescent="0.35">
      <c r="A625" s="22">
        <v>41010</v>
      </c>
      <c r="B625" s="51">
        <v>10.084</v>
      </c>
      <c r="C625">
        <v>10.084</v>
      </c>
      <c r="D625">
        <v>10.084</v>
      </c>
      <c r="E625">
        <v>10.084</v>
      </c>
      <c r="F625" s="21">
        <v>-1.7100000000000001E-2</v>
      </c>
    </row>
    <row r="626" spans="1:6" x14ac:dyDescent="0.35">
      <c r="A626" s="22" t="s">
        <v>1123</v>
      </c>
      <c r="B626" s="51">
        <v>10.259</v>
      </c>
      <c r="C626">
        <v>10.259</v>
      </c>
      <c r="D626">
        <v>10.259</v>
      </c>
      <c r="E626">
        <v>10.259</v>
      </c>
      <c r="F626" s="21">
        <v>1.7100000000000001E-2</v>
      </c>
    </row>
    <row r="627" spans="1:6" x14ac:dyDescent="0.35">
      <c r="A627" s="22" t="s">
        <v>1125</v>
      </c>
      <c r="B627" s="51">
        <v>10.087</v>
      </c>
      <c r="C627">
        <v>10.087</v>
      </c>
      <c r="D627">
        <v>10.087</v>
      </c>
      <c r="E627">
        <v>10.087</v>
      </c>
      <c r="F627" s="21">
        <v>-9.9000000000000008E-3</v>
      </c>
    </row>
    <row r="628" spans="1:6" x14ac:dyDescent="0.35">
      <c r="A628" s="22" t="s">
        <v>1127</v>
      </c>
      <c r="B628" s="51">
        <v>10.188000000000001</v>
      </c>
      <c r="C628">
        <v>10.188000000000001</v>
      </c>
      <c r="D628">
        <v>10.188000000000001</v>
      </c>
      <c r="E628">
        <v>10.188000000000001</v>
      </c>
      <c r="F628" s="21">
        <v>1.3899999999999999E-2</v>
      </c>
    </row>
    <row r="629" spans="1:6" x14ac:dyDescent="0.35">
      <c r="A629" s="22">
        <v>41100</v>
      </c>
      <c r="B629" s="51">
        <v>10.048</v>
      </c>
      <c r="C629">
        <v>10.048</v>
      </c>
      <c r="D629">
        <v>10.048</v>
      </c>
      <c r="E629">
        <v>10.048</v>
      </c>
      <c r="F629" s="21">
        <v>9.5999999999999992E-3</v>
      </c>
    </row>
    <row r="630" spans="1:6" x14ac:dyDescent="0.35">
      <c r="A630" s="22" t="s">
        <v>1130</v>
      </c>
      <c r="B630" s="51">
        <v>9.952</v>
      </c>
      <c r="C630">
        <v>9.952</v>
      </c>
      <c r="D630">
        <v>9.952</v>
      </c>
      <c r="E630">
        <v>9.952</v>
      </c>
      <c r="F630" s="21">
        <v>7.7999999999999996E-3</v>
      </c>
    </row>
    <row r="631" spans="1:6" x14ac:dyDescent="0.35">
      <c r="A631" s="22" t="s">
        <v>1132</v>
      </c>
      <c r="B631" s="51">
        <v>9.875</v>
      </c>
      <c r="C631">
        <v>9.875</v>
      </c>
      <c r="D631">
        <v>9.875</v>
      </c>
      <c r="E631">
        <v>9.875</v>
      </c>
      <c r="F631" s="21">
        <v>-8.6E-3</v>
      </c>
    </row>
    <row r="632" spans="1:6" x14ac:dyDescent="0.35">
      <c r="A632" s="22" t="s">
        <v>1134</v>
      </c>
      <c r="B632" s="51">
        <v>9.9610000000000003</v>
      </c>
      <c r="C632">
        <v>9.9610000000000003</v>
      </c>
      <c r="D632">
        <v>9.9610000000000003</v>
      </c>
      <c r="E632">
        <v>9.9610000000000003</v>
      </c>
      <c r="F632" s="21">
        <v>1.4800000000000001E-2</v>
      </c>
    </row>
    <row r="633" spans="1:6" x14ac:dyDescent="0.35">
      <c r="A633" s="22">
        <v>41161</v>
      </c>
      <c r="B633" s="51">
        <v>9.8160000000000007</v>
      </c>
      <c r="C633">
        <v>9.8160000000000007</v>
      </c>
      <c r="D633">
        <v>9.8160000000000007</v>
      </c>
      <c r="E633">
        <v>9.8160000000000007</v>
      </c>
      <c r="F633" s="21">
        <v>-1.01E-2</v>
      </c>
    </row>
    <row r="634" spans="1:6" x14ac:dyDescent="0.35">
      <c r="A634" s="22">
        <v>40948</v>
      </c>
      <c r="B634" s="51">
        <v>9.9160000000000004</v>
      </c>
      <c r="C634">
        <v>9.9160000000000004</v>
      </c>
      <c r="D634">
        <v>9.9160000000000004</v>
      </c>
      <c r="E634">
        <v>9.9160000000000004</v>
      </c>
      <c r="F634" s="21">
        <v>-6.7000000000000002E-3</v>
      </c>
    </row>
    <row r="635" spans="1:6" x14ac:dyDescent="0.35">
      <c r="A635" s="22" t="s">
        <v>1138</v>
      </c>
      <c r="B635" s="51">
        <v>9.9830000000000005</v>
      </c>
      <c r="C635">
        <v>9.9830000000000005</v>
      </c>
      <c r="D635">
        <v>9.9830000000000005</v>
      </c>
      <c r="E635">
        <v>9.9830000000000005</v>
      </c>
      <c r="F635" s="21">
        <v>-1.41E-2</v>
      </c>
    </row>
    <row r="636" spans="1:6" x14ac:dyDescent="0.35">
      <c r="A636" s="22" t="s">
        <v>1140</v>
      </c>
      <c r="B636" s="51">
        <v>10.125999999999999</v>
      </c>
      <c r="C636">
        <v>10.125999999999999</v>
      </c>
      <c r="D636">
        <v>10.125999999999999</v>
      </c>
      <c r="E636">
        <v>10.125999999999999</v>
      </c>
      <c r="F636" s="21">
        <v>1.4800000000000001E-2</v>
      </c>
    </row>
    <row r="637" spans="1:6" x14ac:dyDescent="0.35">
      <c r="A637" s="22">
        <v>41251</v>
      </c>
      <c r="B637" s="51">
        <v>9.9779999999999998</v>
      </c>
      <c r="C637">
        <v>9.9779999999999998</v>
      </c>
      <c r="D637">
        <v>9.9779999999999998</v>
      </c>
      <c r="E637">
        <v>9.9779999999999998</v>
      </c>
      <c r="F637" s="21">
        <v>-1.6999999999999999E-3</v>
      </c>
    </row>
    <row r="638" spans="1:6" x14ac:dyDescent="0.35">
      <c r="A638" s="22">
        <v>41037</v>
      </c>
      <c r="B638" s="51">
        <v>9.9949999999999992</v>
      </c>
      <c r="C638">
        <v>9.9949999999999992</v>
      </c>
      <c r="D638">
        <v>9.9949999999999992</v>
      </c>
      <c r="E638">
        <v>9.9949999999999992</v>
      </c>
      <c r="F638" s="21">
        <v>-7.0000000000000001E-3</v>
      </c>
    </row>
    <row r="639" spans="1:6" x14ac:dyDescent="0.35">
      <c r="A639" s="22" t="s">
        <v>1144</v>
      </c>
      <c r="B639" s="51">
        <v>10.065</v>
      </c>
      <c r="C639">
        <v>10.065</v>
      </c>
      <c r="D639">
        <v>10.065</v>
      </c>
      <c r="E639">
        <v>10.065</v>
      </c>
      <c r="F639" s="21">
        <v>-2.1600000000000001E-2</v>
      </c>
    </row>
    <row r="640" spans="1:6" x14ac:dyDescent="0.35">
      <c r="A640" s="22" t="s">
        <v>1146</v>
      </c>
      <c r="B640" s="51">
        <v>10.287000000000001</v>
      </c>
      <c r="C640">
        <v>10.287000000000001</v>
      </c>
      <c r="D640">
        <v>10.287000000000001</v>
      </c>
      <c r="E640">
        <v>10.287000000000001</v>
      </c>
      <c r="F640" s="21">
        <v>3.1600000000000003E-2</v>
      </c>
    </row>
    <row r="641" spans="1:6" x14ac:dyDescent="0.35">
      <c r="A641" s="22" t="s">
        <v>1148</v>
      </c>
      <c r="B641" s="51">
        <v>9.9719999999999995</v>
      </c>
      <c r="C641">
        <v>9.9719999999999995</v>
      </c>
      <c r="D641">
        <v>9.9719999999999995</v>
      </c>
      <c r="E641">
        <v>9.9719999999999995</v>
      </c>
      <c r="F641" s="21">
        <v>-0.01</v>
      </c>
    </row>
    <row r="642" spans="1:6" x14ac:dyDescent="0.35">
      <c r="A642" s="22">
        <v>41128</v>
      </c>
      <c r="B642" s="51">
        <v>10.073</v>
      </c>
      <c r="C642">
        <v>10.073</v>
      </c>
      <c r="D642">
        <v>10.073</v>
      </c>
      <c r="E642">
        <v>10.073</v>
      </c>
      <c r="F642" s="21">
        <v>2.0400000000000001E-2</v>
      </c>
    </row>
    <row r="643" spans="1:6" x14ac:dyDescent="0.35">
      <c r="A643" s="22">
        <v>40915</v>
      </c>
      <c r="B643" s="51">
        <v>9.8719999999999999</v>
      </c>
      <c r="C643">
        <v>9.8719999999999999</v>
      </c>
      <c r="D643">
        <v>9.8719999999999999</v>
      </c>
      <c r="E643">
        <v>9.8719999999999999</v>
      </c>
      <c r="F643" s="21">
        <v>-3.7000000000000002E-3</v>
      </c>
    </row>
    <row r="644" spans="1:6" x14ac:dyDescent="0.35">
      <c r="A644" s="22" t="s">
        <v>1152</v>
      </c>
      <c r="B644" s="51">
        <v>9.9090000000000007</v>
      </c>
      <c r="C644">
        <v>9.9090000000000007</v>
      </c>
      <c r="D644">
        <v>9.9090000000000007</v>
      </c>
      <c r="E644">
        <v>9.9090000000000007</v>
      </c>
      <c r="F644" s="21">
        <v>1.26E-2</v>
      </c>
    </row>
    <row r="645" spans="1:6" x14ac:dyDescent="0.35">
      <c r="A645" s="22" t="s">
        <v>1154</v>
      </c>
      <c r="B645" s="51">
        <v>9.7859999999999996</v>
      </c>
      <c r="C645">
        <v>9.7859999999999996</v>
      </c>
      <c r="D645">
        <v>9.7859999999999996</v>
      </c>
      <c r="E645">
        <v>9.7859999999999996</v>
      </c>
      <c r="F645" s="21">
        <v>-1.84E-2</v>
      </c>
    </row>
    <row r="646" spans="1:6" x14ac:dyDescent="0.35">
      <c r="A646" s="22">
        <v>41188</v>
      </c>
      <c r="B646" s="51">
        <v>9.9689999999999994</v>
      </c>
      <c r="C646">
        <v>9.9689999999999994</v>
      </c>
      <c r="D646">
        <v>9.9689999999999994</v>
      </c>
      <c r="E646">
        <v>9.9689999999999994</v>
      </c>
      <c r="F646" s="21">
        <v>1.84E-2</v>
      </c>
    </row>
    <row r="647" spans="1:6" x14ac:dyDescent="0.35">
      <c r="A647" s="22">
        <v>40974</v>
      </c>
      <c r="B647" s="51">
        <v>9.7889999999999997</v>
      </c>
      <c r="C647">
        <v>9.7889999999999997</v>
      </c>
      <c r="D647">
        <v>9.7889999999999997</v>
      </c>
      <c r="E647">
        <v>9.7889999999999997</v>
      </c>
      <c r="F647" s="21">
        <v>-5.3E-3</v>
      </c>
    </row>
    <row r="648" spans="1:6" x14ac:dyDescent="0.35">
      <c r="A648" s="22" t="s">
        <v>1158</v>
      </c>
      <c r="B648" s="51">
        <v>9.8409999999999993</v>
      </c>
      <c r="C648">
        <v>9.8409999999999993</v>
      </c>
      <c r="D648">
        <v>9.8409999999999993</v>
      </c>
      <c r="E648">
        <v>9.8409999999999993</v>
      </c>
      <c r="F648" s="21">
        <v>-1.8100000000000002E-2</v>
      </c>
    </row>
    <row r="649" spans="1:6" x14ac:dyDescent="0.35">
      <c r="A649" s="22" t="s">
        <v>1160</v>
      </c>
      <c r="B649" s="51">
        <v>10.022</v>
      </c>
      <c r="C649">
        <v>10.022</v>
      </c>
      <c r="D649">
        <v>10.022</v>
      </c>
      <c r="E649">
        <v>10.022</v>
      </c>
      <c r="F649" s="21">
        <v>5.3E-3</v>
      </c>
    </row>
    <row r="650" spans="1:6" x14ac:dyDescent="0.35">
      <c r="A650" s="22" t="s">
        <v>1162</v>
      </c>
      <c r="B650" s="51">
        <v>9.9689999999999994</v>
      </c>
      <c r="C650">
        <v>9.9689999999999994</v>
      </c>
      <c r="D650">
        <v>9.9689999999999994</v>
      </c>
      <c r="E650">
        <v>9.9689999999999994</v>
      </c>
      <c r="F650" s="21">
        <v>-2.18E-2</v>
      </c>
    </row>
    <row r="651" spans="1:6" x14ac:dyDescent="0.35">
      <c r="A651" s="22">
        <v>41065</v>
      </c>
      <c r="B651" s="51">
        <v>10.191000000000001</v>
      </c>
      <c r="C651">
        <v>10.191000000000001</v>
      </c>
      <c r="D651">
        <v>10.191000000000001</v>
      </c>
      <c r="E651">
        <v>10.191000000000001</v>
      </c>
      <c r="F651" s="21">
        <v>-2.2700000000000001E-2</v>
      </c>
    </row>
    <row r="652" spans="1:6" x14ac:dyDescent="0.35">
      <c r="A652" s="22" t="s">
        <v>1165</v>
      </c>
      <c r="B652" s="51">
        <v>10.428000000000001</v>
      </c>
      <c r="C652">
        <v>10.428000000000001</v>
      </c>
      <c r="D652">
        <v>10.428000000000001</v>
      </c>
      <c r="E652">
        <v>10.428000000000001</v>
      </c>
      <c r="F652" s="21">
        <v>-3.56E-2</v>
      </c>
    </row>
    <row r="653" spans="1:6" x14ac:dyDescent="0.35">
      <c r="A653" s="22" t="s">
        <v>1167</v>
      </c>
      <c r="B653" s="51">
        <v>10.813000000000001</v>
      </c>
      <c r="C653">
        <v>10.813000000000001</v>
      </c>
      <c r="D653">
        <v>10.813000000000001</v>
      </c>
      <c r="E653">
        <v>10.813000000000001</v>
      </c>
      <c r="F653" s="21">
        <v>-2.0999999999999999E-3</v>
      </c>
    </row>
    <row r="654" spans="1:6" x14ac:dyDescent="0.35">
      <c r="A654" s="22" t="s">
        <v>1169</v>
      </c>
      <c r="B654" s="51">
        <v>10.836</v>
      </c>
      <c r="C654">
        <v>10.836</v>
      </c>
      <c r="D654">
        <v>10.836</v>
      </c>
      <c r="E654">
        <v>10.836</v>
      </c>
      <c r="F654" s="21">
        <v>-1E-3</v>
      </c>
    </row>
    <row r="655" spans="1:6" x14ac:dyDescent="0.35">
      <c r="A655" s="22">
        <v>41125</v>
      </c>
      <c r="B655" s="51">
        <v>10.847</v>
      </c>
      <c r="C655">
        <v>10.847</v>
      </c>
      <c r="D655">
        <v>10.847</v>
      </c>
      <c r="E655">
        <v>10.847</v>
      </c>
      <c r="F655" s="21">
        <v>-4.3799999999999999E-2</v>
      </c>
    </row>
    <row r="656" spans="1:6" x14ac:dyDescent="0.35">
      <c r="A656" s="22">
        <v>40912</v>
      </c>
      <c r="B656" s="51">
        <v>11.343999999999999</v>
      </c>
      <c r="C656">
        <v>11.343999999999999</v>
      </c>
      <c r="D656">
        <v>11.343999999999999</v>
      </c>
      <c r="E656">
        <v>11.343999999999999</v>
      </c>
      <c r="F656" s="21">
        <v>-1.6000000000000001E-3</v>
      </c>
    </row>
    <row r="657" spans="1:6" x14ac:dyDescent="0.35">
      <c r="A657" s="22" t="s">
        <v>1173</v>
      </c>
      <c r="B657" s="51">
        <v>11.362</v>
      </c>
      <c r="C657">
        <v>11.362</v>
      </c>
      <c r="D657">
        <v>11.362</v>
      </c>
      <c r="E657">
        <v>11.362</v>
      </c>
      <c r="F657" s="21">
        <v>9.9000000000000008E-3</v>
      </c>
    </row>
    <row r="658" spans="1:6" x14ac:dyDescent="0.35">
      <c r="A658" s="22" t="s">
        <v>1175</v>
      </c>
      <c r="B658" s="51">
        <v>11.250999999999999</v>
      </c>
      <c r="C658">
        <v>11.250999999999999</v>
      </c>
      <c r="D658">
        <v>11.250999999999999</v>
      </c>
      <c r="E658">
        <v>11.250999999999999</v>
      </c>
      <c r="F658" s="21">
        <v>-1.2200000000000001E-2</v>
      </c>
    </row>
    <row r="659" spans="1:6" x14ac:dyDescent="0.35">
      <c r="A659" s="22">
        <v>41216</v>
      </c>
      <c r="B659" s="51">
        <v>11.39</v>
      </c>
      <c r="C659">
        <v>11.39</v>
      </c>
      <c r="D659">
        <v>11.39</v>
      </c>
      <c r="E659">
        <v>11.39</v>
      </c>
      <c r="F659" s="21">
        <v>1.29E-2</v>
      </c>
    </row>
    <row r="660" spans="1:6" x14ac:dyDescent="0.35">
      <c r="A660" s="22">
        <v>41002</v>
      </c>
      <c r="B660" s="51">
        <v>11.244999999999999</v>
      </c>
      <c r="C660">
        <v>11.244999999999999</v>
      </c>
      <c r="D660">
        <v>11.244999999999999</v>
      </c>
      <c r="E660">
        <v>11.244999999999999</v>
      </c>
      <c r="F660" s="21">
        <v>-2.6499999999999999E-2</v>
      </c>
    </row>
    <row r="661" spans="1:6" x14ac:dyDescent="0.35">
      <c r="A661" s="22" t="s">
        <v>1179</v>
      </c>
      <c r="B661" s="51">
        <v>11.551</v>
      </c>
      <c r="C661">
        <v>11.551</v>
      </c>
      <c r="D661">
        <v>11.551</v>
      </c>
      <c r="E661">
        <v>11.551</v>
      </c>
      <c r="F661" s="21">
        <v>-8.0999999999999996E-3</v>
      </c>
    </row>
    <row r="662" spans="1:6" x14ac:dyDescent="0.35">
      <c r="A662" s="22" t="s">
        <v>1181</v>
      </c>
      <c r="B662" s="51">
        <v>11.645</v>
      </c>
      <c r="C662">
        <v>11.645</v>
      </c>
      <c r="D662">
        <v>11.645</v>
      </c>
      <c r="E662">
        <v>11.645</v>
      </c>
      <c r="F662" s="21">
        <v>-1.15E-2</v>
      </c>
    </row>
    <row r="663" spans="1:6" x14ac:dyDescent="0.35">
      <c r="A663" s="22">
        <v>41245</v>
      </c>
      <c r="B663" s="51">
        <v>11.781000000000001</v>
      </c>
      <c r="C663">
        <v>11.781000000000001</v>
      </c>
      <c r="D663">
        <v>11.781000000000001</v>
      </c>
      <c r="E663">
        <v>11.781000000000001</v>
      </c>
      <c r="F663" s="21">
        <v>-9.2999999999999992E-3</v>
      </c>
    </row>
    <row r="664" spans="1:6" x14ac:dyDescent="0.35">
      <c r="A664" s="22">
        <v>41031</v>
      </c>
      <c r="B664" s="51">
        <v>11.891999999999999</v>
      </c>
      <c r="C664">
        <v>11.891999999999999</v>
      </c>
      <c r="D664">
        <v>11.891999999999999</v>
      </c>
      <c r="E664">
        <v>11.891999999999999</v>
      </c>
      <c r="F664" s="21">
        <v>-1.0999999999999999E-2</v>
      </c>
    </row>
    <row r="665" spans="1:6" x14ac:dyDescent="0.35">
      <c r="A665" s="22" t="s">
        <v>1185</v>
      </c>
      <c r="B665" s="51">
        <v>12.023999999999999</v>
      </c>
      <c r="C665">
        <v>12.023999999999999</v>
      </c>
      <c r="D665">
        <v>12.023999999999999</v>
      </c>
      <c r="E665">
        <v>12.023999999999999</v>
      </c>
      <c r="F665" s="21">
        <v>1.1999999999999999E-3</v>
      </c>
    </row>
    <row r="666" spans="1:6" x14ac:dyDescent="0.35">
      <c r="A666" s="22" t="s">
        <v>1187</v>
      </c>
      <c r="B666" s="51">
        <v>12.009</v>
      </c>
      <c r="C666">
        <v>12.009</v>
      </c>
      <c r="D666">
        <v>12.009</v>
      </c>
      <c r="E666">
        <v>12.009</v>
      </c>
      <c r="F666" s="21">
        <v>2.0000000000000001E-4</v>
      </c>
    </row>
    <row r="667" spans="1:6" x14ac:dyDescent="0.35">
      <c r="A667" s="22">
        <v>41122</v>
      </c>
      <c r="B667" s="51">
        <v>12.006</v>
      </c>
      <c r="C667">
        <v>12.006</v>
      </c>
      <c r="D667">
        <v>12.006</v>
      </c>
      <c r="E667">
        <v>12.006</v>
      </c>
      <c r="F667" s="21">
        <v>1E-4</v>
      </c>
    </row>
    <row r="668" spans="1:6" x14ac:dyDescent="0.35">
      <c r="A668" s="22">
        <v>40909</v>
      </c>
      <c r="B668" s="51">
        <v>12.005000000000001</v>
      </c>
      <c r="C668">
        <v>12.005000000000001</v>
      </c>
      <c r="D668">
        <v>12.005000000000001</v>
      </c>
      <c r="E668">
        <v>12.005000000000001</v>
      </c>
      <c r="F668" s="21">
        <v>8.0000000000000004E-4</v>
      </c>
    </row>
    <row r="669" spans="1:6" x14ac:dyDescent="0.35">
      <c r="A669" s="22" t="s">
        <v>1191</v>
      </c>
      <c r="B669" s="51">
        <v>11.994999999999999</v>
      </c>
      <c r="C669">
        <v>11.994999999999999</v>
      </c>
      <c r="D669">
        <v>11.994999999999999</v>
      </c>
      <c r="E669">
        <v>11.994999999999999</v>
      </c>
      <c r="F669" s="21">
        <v>8.0000000000000002E-3</v>
      </c>
    </row>
    <row r="670" spans="1:6" x14ac:dyDescent="0.35">
      <c r="A670" s="22" t="s">
        <v>1193</v>
      </c>
      <c r="B670" s="51">
        <v>11.9</v>
      </c>
      <c r="C670">
        <v>11.9</v>
      </c>
      <c r="D670">
        <v>11.9</v>
      </c>
      <c r="E670">
        <v>11.9</v>
      </c>
      <c r="F670" s="21">
        <v>4.7999999999999996E-3</v>
      </c>
    </row>
    <row r="671" spans="1:6" x14ac:dyDescent="0.35">
      <c r="A671" s="22">
        <v>40859</v>
      </c>
      <c r="B671" s="51">
        <v>11.843</v>
      </c>
      <c r="C671">
        <v>11.843</v>
      </c>
      <c r="D671">
        <v>11.843</v>
      </c>
      <c r="E671">
        <v>11.843</v>
      </c>
      <c r="F671" s="21">
        <v>-8.9999999999999998E-4</v>
      </c>
    </row>
    <row r="672" spans="1:6" x14ac:dyDescent="0.35">
      <c r="A672" s="22">
        <v>40645</v>
      </c>
      <c r="B672" s="51">
        <v>11.853999999999999</v>
      </c>
      <c r="C672">
        <v>11.853999999999999</v>
      </c>
      <c r="D672">
        <v>11.853999999999999</v>
      </c>
      <c r="E672">
        <v>11.853999999999999</v>
      </c>
      <c r="F672" s="21">
        <v>-7.1999999999999998E-3</v>
      </c>
    </row>
    <row r="673" spans="1:6" x14ac:dyDescent="0.35">
      <c r="A673" s="22" t="s">
        <v>1197</v>
      </c>
      <c r="B673" s="51">
        <v>11.94</v>
      </c>
      <c r="C673">
        <v>11.94</v>
      </c>
      <c r="D673">
        <v>11.94</v>
      </c>
      <c r="E673">
        <v>11.94</v>
      </c>
      <c r="F673" s="21">
        <v>1.1999999999999999E-3</v>
      </c>
    </row>
    <row r="674" spans="1:6" x14ac:dyDescent="0.35">
      <c r="A674" s="22" t="s">
        <v>1199</v>
      </c>
      <c r="B674" s="51">
        <v>11.926</v>
      </c>
      <c r="C674">
        <v>11.926</v>
      </c>
      <c r="D674">
        <v>11.926</v>
      </c>
      <c r="E674">
        <v>11.926</v>
      </c>
      <c r="F674" s="21">
        <v>-3.0999999999999999E-3</v>
      </c>
    </row>
    <row r="675" spans="1:6" x14ac:dyDescent="0.35">
      <c r="A675" s="22" t="s">
        <v>1201</v>
      </c>
      <c r="B675" s="51">
        <v>11.962999999999999</v>
      </c>
      <c r="C675">
        <v>11.962999999999999</v>
      </c>
      <c r="D675">
        <v>11.962999999999999</v>
      </c>
      <c r="E675">
        <v>11.962999999999999</v>
      </c>
      <c r="F675" s="21">
        <v>2.9999999999999997E-4</v>
      </c>
    </row>
    <row r="676" spans="1:6" x14ac:dyDescent="0.35">
      <c r="A676" s="22">
        <v>40705</v>
      </c>
      <c r="B676" s="51">
        <v>11.959</v>
      </c>
      <c r="C676">
        <v>11.959</v>
      </c>
      <c r="D676">
        <v>11.959</v>
      </c>
      <c r="E676">
        <v>11.959</v>
      </c>
      <c r="F676" s="21">
        <v>-1.2999999999999999E-3</v>
      </c>
    </row>
    <row r="677" spans="1:6" x14ac:dyDescent="0.35">
      <c r="A677" s="22" t="s">
        <v>1204</v>
      </c>
      <c r="B677" s="51">
        <v>11.974</v>
      </c>
      <c r="C677">
        <v>11.974</v>
      </c>
      <c r="D677">
        <v>11.974</v>
      </c>
      <c r="E677">
        <v>11.974</v>
      </c>
      <c r="F677" s="21">
        <v>7.4999999999999997E-3</v>
      </c>
    </row>
    <row r="678" spans="1:6" x14ac:dyDescent="0.35">
      <c r="A678" s="22" t="s">
        <v>1206</v>
      </c>
      <c r="B678" s="51">
        <v>11.885</v>
      </c>
      <c r="C678">
        <v>11.885</v>
      </c>
      <c r="D678">
        <v>11.885</v>
      </c>
      <c r="E678">
        <v>11.885</v>
      </c>
      <c r="F678" s="21">
        <v>-5.7000000000000002E-3</v>
      </c>
    </row>
    <row r="679" spans="1:6" x14ac:dyDescent="0.35">
      <c r="A679" s="22" t="s">
        <v>1208</v>
      </c>
      <c r="B679" s="51">
        <v>11.952999999999999</v>
      </c>
      <c r="C679">
        <v>11.952999999999999</v>
      </c>
      <c r="D679">
        <v>11.952999999999999</v>
      </c>
      <c r="E679">
        <v>11.952999999999999</v>
      </c>
      <c r="F679" s="21">
        <v>-1.6999999999999999E-3</v>
      </c>
    </row>
    <row r="680" spans="1:6" x14ac:dyDescent="0.35">
      <c r="A680" s="22">
        <v>40796</v>
      </c>
      <c r="B680" s="51">
        <v>11.973000000000001</v>
      </c>
      <c r="C680">
        <v>11.973000000000001</v>
      </c>
      <c r="D680">
        <v>11.973000000000001</v>
      </c>
      <c r="E680">
        <v>11.973000000000001</v>
      </c>
      <c r="F680" s="21">
        <v>3.5000000000000001E-3</v>
      </c>
    </row>
    <row r="681" spans="1:6" x14ac:dyDescent="0.35">
      <c r="A681" s="22">
        <v>40584</v>
      </c>
      <c r="B681" s="51">
        <v>11.930999999999999</v>
      </c>
      <c r="C681">
        <v>11.930999999999999</v>
      </c>
      <c r="D681">
        <v>11.930999999999999</v>
      </c>
      <c r="E681">
        <v>11.930999999999999</v>
      </c>
      <c r="F681" s="21">
        <v>0</v>
      </c>
    </row>
    <row r="682" spans="1:6" x14ac:dyDescent="0.35">
      <c r="A682" s="22" t="s">
        <v>1212</v>
      </c>
      <c r="B682" s="51">
        <v>11.930999999999999</v>
      </c>
      <c r="C682">
        <v>11.930999999999999</v>
      </c>
      <c r="D682">
        <v>11.930999999999999</v>
      </c>
      <c r="E682">
        <v>11.930999999999999</v>
      </c>
      <c r="F682" s="21">
        <v>-1.1999999999999999E-3</v>
      </c>
    </row>
    <row r="683" spans="1:6" x14ac:dyDescent="0.35">
      <c r="A683" s="22" t="s">
        <v>1214</v>
      </c>
      <c r="B683" s="51">
        <v>11.945</v>
      </c>
      <c r="C683">
        <v>11.945</v>
      </c>
      <c r="D683">
        <v>11.945</v>
      </c>
      <c r="E683">
        <v>11.945</v>
      </c>
      <c r="F683" s="21">
        <v>1.6999999999999999E-3</v>
      </c>
    </row>
    <row r="684" spans="1:6" x14ac:dyDescent="0.35">
      <c r="A684" s="22">
        <v>40856</v>
      </c>
      <c r="B684" s="51">
        <v>11.925000000000001</v>
      </c>
      <c r="C684">
        <v>11.925000000000001</v>
      </c>
      <c r="D684">
        <v>11.925000000000001</v>
      </c>
      <c r="E684">
        <v>11.925000000000001</v>
      </c>
      <c r="F684" s="21">
        <v>-2.2000000000000001E-3</v>
      </c>
    </row>
    <row r="685" spans="1:6" x14ac:dyDescent="0.35">
      <c r="A685" s="22">
        <v>40642</v>
      </c>
      <c r="B685" s="51">
        <v>11.951000000000001</v>
      </c>
      <c r="C685">
        <v>11.951000000000001</v>
      </c>
      <c r="D685">
        <v>11.951000000000001</v>
      </c>
      <c r="E685">
        <v>11.951000000000001</v>
      </c>
      <c r="F685" s="21">
        <v>-1.6000000000000001E-3</v>
      </c>
    </row>
    <row r="686" spans="1:6" x14ac:dyDescent="0.35">
      <c r="A686" s="22" t="s">
        <v>1218</v>
      </c>
      <c r="B686" s="51">
        <v>11.97</v>
      </c>
      <c r="C686">
        <v>11.97</v>
      </c>
      <c r="D686">
        <v>11.97</v>
      </c>
      <c r="E686">
        <v>11.97</v>
      </c>
      <c r="F686" s="21">
        <v>8.0000000000000004E-4</v>
      </c>
    </row>
    <row r="687" spans="1:6" x14ac:dyDescent="0.35">
      <c r="A687" s="22" t="s">
        <v>1220</v>
      </c>
      <c r="B687" s="51">
        <v>11.961</v>
      </c>
      <c r="C687">
        <v>11.961</v>
      </c>
      <c r="D687">
        <v>11.961</v>
      </c>
      <c r="E687">
        <v>11.961</v>
      </c>
      <c r="F687" s="21">
        <v>1.8E-3</v>
      </c>
    </row>
    <row r="688" spans="1:6" x14ac:dyDescent="0.35">
      <c r="A688" s="22" t="s">
        <v>1222</v>
      </c>
      <c r="B688" s="51">
        <v>11.939</v>
      </c>
      <c r="C688">
        <v>11.939</v>
      </c>
      <c r="D688">
        <v>11.939</v>
      </c>
      <c r="E688">
        <v>11.939</v>
      </c>
      <c r="F688" s="21">
        <v>-4.1000000000000003E-3</v>
      </c>
    </row>
    <row r="689" spans="1:6" x14ac:dyDescent="0.35">
      <c r="A689" s="22">
        <v>40732</v>
      </c>
      <c r="B689" s="51">
        <v>11.988</v>
      </c>
      <c r="C689">
        <v>11.988</v>
      </c>
      <c r="D689">
        <v>11.988</v>
      </c>
      <c r="E689">
        <v>11.988</v>
      </c>
      <c r="F689" s="21">
        <v>-2.0000000000000001E-4</v>
      </c>
    </row>
    <row r="690" spans="1:6" x14ac:dyDescent="0.35">
      <c r="A690" s="22" t="s">
        <v>1225</v>
      </c>
      <c r="B690" s="51">
        <v>11.99</v>
      </c>
      <c r="C690">
        <v>11.99</v>
      </c>
      <c r="D690">
        <v>11.99</v>
      </c>
      <c r="E690">
        <v>11.99</v>
      </c>
      <c r="F690" s="21">
        <v>3.0000000000000001E-3</v>
      </c>
    </row>
    <row r="691" spans="1:6" x14ac:dyDescent="0.35">
      <c r="A691" s="22" t="s">
        <v>1227</v>
      </c>
      <c r="B691" s="51">
        <v>11.954000000000001</v>
      </c>
      <c r="C691">
        <v>11.954000000000001</v>
      </c>
      <c r="D691">
        <v>11.954000000000001</v>
      </c>
      <c r="E691">
        <v>11.954000000000001</v>
      </c>
      <c r="F691" s="21">
        <v>-5.0000000000000001E-4</v>
      </c>
    </row>
    <row r="692" spans="1:6" x14ac:dyDescent="0.35">
      <c r="A692" s="22" t="s">
        <v>1229</v>
      </c>
      <c r="B692" s="51">
        <v>11.96</v>
      </c>
      <c r="C692">
        <v>11.96</v>
      </c>
      <c r="D692">
        <v>11.96</v>
      </c>
      <c r="E692">
        <v>11.96</v>
      </c>
      <c r="F692" s="21">
        <v>-2.3999999999999998E-3</v>
      </c>
    </row>
    <row r="693" spans="1:6" x14ac:dyDescent="0.35">
      <c r="A693" s="22">
        <v>40823</v>
      </c>
      <c r="B693" s="51">
        <v>11.989000000000001</v>
      </c>
      <c r="C693">
        <v>11.989000000000001</v>
      </c>
      <c r="D693">
        <v>11.989000000000001</v>
      </c>
      <c r="E693">
        <v>11.989000000000001</v>
      </c>
      <c r="F693" s="21">
        <v>1.1000000000000001E-3</v>
      </c>
    </row>
    <row r="694" spans="1:6" x14ac:dyDescent="0.35">
      <c r="A694" s="22">
        <v>40609</v>
      </c>
      <c r="B694" s="51">
        <v>11.976000000000001</v>
      </c>
      <c r="C694">
        <v>11.976000000000001</v>
      </c>
      <c r="D694">
        <v>11.976000000000001</v>
      </c>
      <c r="E694">
        <v>11.976000000000001</v>
      </c>
      <c r="F694" s="21">
        <v>2.7000000000000001E-3</v>
      </c>
    </row>
    <row r="695" spans="1:6" x14ac:dyDescent="0.35">
      <c r="A695" s="22" t="s">
        <v>1233</v>
      </c>
      <c r="B695" s="51">
        <v>11.944000000000001</v>
      </c>
      <c r="C695">
        <v>11.944000000000001</v>
      </c>
      <c r="D695">
        <v>11.944000000000001</v>
      </c>
      <c r="E695">
        <v>11.944000000000001</v>
      </c>
      <c r="F695" s="21">
        <v>-3.3E-3</v>
      </c>
    </row>
    <row r="696" spans="1:6" x14ac:dyDescent="0.35">
      <c r="A696" s="22" t="s">
        <v>1235</v>
      </c>
      <c r="B696" s="51">
        <v>11.983000000000001</v>
      </c>
      <c r="C696">
        <v>11.983000000000001</v>
      </c>
      <c r="D696">
        <v>11.983000000000001</v>
      </c>
      <c r="E696">
        <v>11.983000000000001</v>
      </c>
      <c r="F696" s="21">
        <v>-4.7999999999999996E-3</v>
      </c>
    </row>
    <row r="697" spans="1:6" x14ac:dyDescent="0.35">
      <c r="A697" s="22">
        <v>40883</v>
      </c>
      <c r="B697" s="51">
        <v>12.041</v>
      </c>
      <c r="C697">
        <v>12.041</v>
      </c>
      <c r="D697">
        <v>12.041</v>
      </c>
      <c r="E697">
        <v>12.041</v>
      </c>
      <c r="F697" s="21">
        <v>-2.18E-2</v>
      </c>
    </row>
    <row r="698" spans="1:6" x14ac:dyDescent="0.35">
      <c r="A698" s="22">
        <v>40669</v>
      </c>
      <c r="B698" s="51">
        <v>12.308999999999999</v>
      </c>
      <c r="C698">
        <v>12.308999999999999</v>
      </c>
      <c r="D698">
        <v>12.308999999999999</v>
      </c>
      <c r="E698">
        <v>12.308999999999999</v>
      </c>
      <c r="F698" s="21">
        <v>-1.5E-3</v>
      </c>
    </row>
    <row r="699" spans="1:6" x14ac:dyDescent="0.35">
      <c r="A699" s="22" t="s">
        <v>1239</v>
      </c>
      <c r="B699" s="51">
        <v>12.327999999999999</v>
      </c>
      <c r="C699">
        <v>12.327999999999999</v>
      </c>
      <c r="D699">
        <v>12.327999999999999</v>
      </c>
      <c r="E699">
        <v>12.327999999999999</v>
      </c>
      <c r="F699" s="21">
        <v>-1.5E-3</v>
      </c>
    </row>
    <row r="700" spans="1:6" x14ac:dyDescent="0.35">
      <c r="A700" s="22" t="s">
        <v>1241</v>
      </c>
      <c r="B700" s="51">
        <v>12.346</v>
      </c>
      <c r="C700">
        <v>12.346</v>
      </c>
      <c r="D700">
        <v>12.346</v>
      </c>
      <c r="E700">
        <v>12.346</v>
      </c>
      <c r="F700" s="21">
        <v>1.15E-2</v>
      </c>
    </row>
    <row r="701" spans="1:6" x14ac:dyDescent="0.35">
      <c r="A701" s="22" t="s">
        <v>1243</v>
      </c>
      <c r="B701" s="51">
        <v>12.206</v>
      </c>
      <c r="C701">
        <v>12.206</v>
      </c>
      <c r="D701">
        <v>12.206</v>
      </c>
      <c r="E701">
        <v>12.206</v>
      </c>
      <c r="F701" s="21">
        <v>-2.5499999999999998E-2</v>
      </c>
    </row>
    <row r="702" spans="1:6" x14ac:dyDescent="0.35">
      <c r="A702" s="22">
        <v>40760</v>
      </c>
      <c r="B702" s="51">
        <v>12.525</v>
      </c>
      <c r="C702">
        <v>12.525</v>
      </c>
      <c r="D702">
        <v>12.525</v>
      </c>
      <c r="E702">
        <v>12.525</v>
      </c>
      <c r="F702" s="21">
        <v>2.6599999999999999E-2</v>
      </c>
    </row>
    <row r="703" spans="1:6" x14ac:dyDescent="0.35">
      <c r="A703" s="22">
        <v>40548</v>
      </c>
      <c r="B703" s="51">
        <v>12.2</v>
      </c>
      <c r="C703">
        <v>12.2</v>
      </c>
      <c r="D703">
        <v>12.2</v>
      </c>
      <c r="E703">
        <v>12.2</v>
      </c>
      <c r="F703" s="21">
        <v>1.84E-2</v>
      </c>
    </row>
    <row r="704" spans="1:6" x14ac:dyDescent="0.35">
      <c r="A704" s="22" t="s">
        <v>1247</v>
      </c>
      <c r="B704" s="51">
        <v>11.98</v>
      </c>
      <c r="C704">
        <v>11.98</v>
      </c>
      <c r="D704">
        <v>11.98</v>
      </c>
      <c r="E704">
        <v>11.98</v>
      </c>
      <c r="F704" s="21">
        <v>-2.2000000000000001E-3</v>
      </c>
    </row>
    <row r="705" spans="1:6" x14ac:dyDescent="0.35">
      <c r="A705" s="22" t="s">
        <v>1249</v>
      </c>
      <c r="B705" s="51">
        <v>12.006</v>
      </c>
      <c r="C705">
        <v>12.006</v>
      </c>
      <c r="D705">
        <v>12.006</v>
      </c>
      <c r="E705">
        <v>12.006</v>
      </c>
      <c r="F705" s="21">
        <v>1.1299999999999999E-2</v>
      </c>
    </row>
    <row r="706" spans="1:6" x14ac:dyDescent="0.35">
      <c r="A706" s="22">
        <v>40820</v>
      </c>
      <c r="B706" s="51">
        <v>11.872</v>
      </c>
      <c r="C706">
        <v>11.872</v>
      </c>
      <c r="D706">
        <v>11.872</v>
      </c>
      <c r="E706">
        <v>11.872</v>
      </c>
      <c r="F706" s="21">
        <v>-5.5999999999999999E-3</v>
      </c>
    </row>
    <row r="707" spans="1:6" x14ac:dyDescent="0.35">
      <c r="A707" s="22">
        <v>40606</v>
      </c>
      <c r="B707" s="51">
        <v>11.939</v>
      </c>
      <c r="C707">
        <v>11.939</v>
      </c>
      <c r="D707">
        <v>11.939</v>
      </c>
      <c r="E707">
        <v>11.939</v>
      </c>
      <c r="F707" s="21">
        <v>8.8000000000000005E-3</v>
      </c>
    </row>
    <row r="708" spans="1:6" x14ac:dyDescent="0.35">
      <c r="A708" s="22" t="s">
        <v>1253</v>
      </c>
      <c r="B708" s="51">
        <v>11.835000000000001</v>
      </c>
      <c r="C708">
        <v>11.835000000000001</v>
      </c>
      <c r="D708">
        <v>11.835000000000001</v>
      </c>
      <c r="E708">
        <v>11.835000000000001</v>
      </c>
      <c r="F708" s="21">
        <v>5.5999999999999999E-3</v>
      </c>
    </row>
    <row r="709" spans="1:6" x14ac:dyDescent="0.35">
      <c r="A709" s="22" t="s">
        <v>1255</v>
      </c>
      <c r="B709" s="51">
        <v>11.769</v>
      </c>
      <c r="C709">
        <v>11.769</v>
      </c>
      <c r="D709">
        <v>11.769</v>
      </c>
      <c r="E709">
        <v>11.769</v>
      </c>
      <c r="F709" s="21">
        <v>-4.0000000000000002E-4</v>
      </c>
    </row>
    <row r="710" spans="1:6" x14ac:dyDescent="0.35">
      <c r="A710" s="22" t="s">
        <v>1257</v>
      </c>
      <c r="B710" s="51">
        <v>11.773999999999999</v>
      </c>
      <c r="C710">
        <v>11.773999999999999</v>
      </c>
      <c r="D710">
        <v>11.773999999999999</v>
      </c>
      <c r="E710">
        <v>11.773999999999999</v>
      </c>
      <c r="F710" s="21">
        <v>1.1999999999999999E-3</v>
      </c>
    </row>
    <row r="711" spans="1:6" x14ac:dyDescent="0.35">
      <c r="A711" s="22">
        <v>40697</v>
      </c>
      <c r="B711" s="51">
        <v>11.76</v>
      </c>
      <c r="C711">
        <v>11.76</v>
      </c>
      <c r="D711">
        <v>11.76</v>
      </c>
      <c r="E711">
        <v>11.76</v>
      </c>
      <c r="F711" s="21">
        <v>9.7999999999999997E-3</v>
      </c>
    </row>
    <row r="712" spans="1:6" x14ac:dyDescent="0.35">
      <c r="A712" s="22" t="s">
        <v>1260</v>
      </c>
      <c r="B712" s="51">
        <v>11.646000000000001</v>
      </c>
      <c r="C712">
        <v>11.646000000000001</v>
      </c>
      <c r="D712">
        <v>11.646000000000001</v>
      </c>
      <c r="E712">
        <v>11.646000000000001</v>
      </c>
      <c r="F712" s="21">
        <v>1.35E-2</v>
      </c>
    </row>
    <row r="713" spans="1:6" x14ac:dyDescent="0.35">
      <c r="A713" s="22" t="s">
        <v>1262</v>
      </c>
      <c r="B713" s="51">
        <v>11.491</v>
      </c>
      <c r="C713">
        <v>11.491</v>
      </c>
      <c r="D713">
        <v>11.491</v>
      </c>
      <c r="E713">
        <v>11.491</v>
      </c>
      <c r="F713" s="21">
        <v>6.1999999999999998E-3</v>
      </c>
    </row>
    <row r="714" spans="1:6" x14ac:dyDescent="0.35">
      <c r="A714" s="22" t="s">
        <v>1264</v>
      </c>
      <c r="B714" s="51">
        <v>11.42</v>
      </c>
      <c r="C714">
        <v>11.42</v>
      </c>
      <c r="D714">
        <v>11.42</v>
      </c>
      <c r="E714">
        <v>11.42</v>
      </c>
      <c r="F714" s="21">
        <v>3.8999999999999998E-3</v>
      </c>
    </row>
    <row r="715" spans="1:6" x14ac:dyDescent="0.35">
      <c r="A715" s="22">
        <v>40696</v>
      </c>
      <c r="B715" s="51">
        <v>11.375999999999999</v>
      </c>
      <c r="C715">
        <v>11.375999999999999</v>
      </c>
      <c r="D715">
        <v>11.375999999999999</v>
      </c>
      <c r="E715">
        <v>11.375999999999999</v>
      </c>
      <c r="F715" s="21">
        <v>4.0000000000000002E-4</v>
      </c>
    </row>
    <row r="716" spans="1:6" x14ac:dyDescent="0.35">
      <c r="A716" s="22" t="s">
        <v>1267</v>
      </c>
      <c r="B716" s="51">
        <v>11.371</v>
      </c>
      <c r="C716">
        <v>11.371</v>
      </c>
      <c r="D716">
        <v>11.371</v>
      </c>
      <c r="E716">
        <v>11.371</v>
      </c>
      <c r="F716" s="21">
        <v>3.3999999999999998E-3</v>
      </c>
    </row>
    <row r="717" spans="1:6" x14ac:dyDescent="0.35">
      <c r="A717" s="22" t="s">
        <v>1269</v>
      </c>
      <c r="B717" s="51">
        <v>11.332000000000001</v>
      </c>
      <c r="C717">
        <v>11.332000000000001</v>
      </c>
      <c r="D717">
        <v>11.332000000000001</v>
      </c>
      <c r="E717">
        <v>11.332000000000001</v>
      </c>
      <c r="F717" s="21">
        <v>-2.0000000000000001E-4</v>
      </c>
    </row>
    <row r="718" spans="1:6" x14ac:dyDescent="0.35">
      <c r="A718" s="22">
        <v>40787</v>
      </c>
      <c r="B718" s="51">
        <v>11.334</v>
      </c>
      <c r="C718">
        <v>11.334</v>
      </c>
      <c r="D718">
        <v>11.334</v>
      </c>
      <c r="E718">
        <v>11.334</v>
      </c>
      <c r="F718" s="21">
        <v>-2.9999999999999997E-4</v>
      </c>
    </row>
    <row r="719" spans="1:6" x14ac:dyDescent="0.35">
      <c r="A719" s="22">
        <v>40575</v>
      </c>
      <c r="B719" s="51">
        <v>11.337</v>
      </c>
      <c r="C719">
        <v>11.337</v>
      </c>
      <c r="D719">
        <v>11.337</v>
      </c>
      <c r="E719">
        <v>11.337</v>
      </c>
      <c r="F719" s="21">
        <v>-7.1999999999999998E-3</v>
      </c>
    </row>
    <row r="720" spans="1:6" x14ac:dyDescent="0.35">
      <c r="A720" s="22" t="s">
        <v>1273</v>
      </c>
      <c r="B720" s="51">
        <v>11.419</v>
      </c>
      <c r="C720">
        <v>11.419</v>
      </c>
      <c r="D720">
        <v>11.419</v>
      </c>
      <c r="E720">
        <v>11.419</v>
      </c>
      <c r="F720" s="21">
        <v>1.21E-2</v>
      </c>
    </row>
    <row r="721" spans="1:6" x14ac:dyDescent="0.35">
      <c r="A721" s="22" t="s">
        <v>1275</v>
      </c>
      <c r="B721" s="51">
        <v>11.282999999999999</v>
      </c>
      <c r="C721">
        <v>11.282999999999999</v>
      </c>
      <c r="D721">
        <v>11.282999999999999</v>
      </c>
      <c r="E721">
        <v>11.282999999999999</v>
      </c>
      <c r="F721" s="21">
        <v>-8.9999999999999993E-3</v>
      </c>
    </row>
    <row r="722" spans="1:6" x14ac:dyDescent="0.35">
      <c r="A722" s="22">
        <v>40524</v>
      </c>
      <c r="B722" s="51">
        <v>11.385</v>
      </c>
      <c r="C722">
        <v>11.385</v>
      </c>
      <c r="D722">
        <v>11.385</v>
      </c>
      <c r="E722">
        <v>11.385</v>
      </c>
      <c r="F722" s="21">
        <v>-4.3E-3</v>
      </c>
    </row>
    <row r="723" spans="1:6" x14ac:dyDescent="0.35">
      <c r="A723" s="22">
        <v>40310</v>
      </c>
      <c r="B723" s="51">
        <v>11.433999999999999</v>
      </c>
      <c r="C723">
        <v>11.433999999999999</v>
      </c>
      <c r="D723">
        <v>11.433999999999999</v>
      </c>
      <c r="E723">
        <v>11.433999999999999</v>
      </c>
      <c r="F723" s="21">
        <v>1.49E-2</v>
      </c>
    </row>
    <row r="724" spans="1:6" x14ac:dyDescent="0.35">
      <c r="A724" s="22" t="s">
        <v>1279</v>
      </c>
      <c r="B724" s="51">
        <v>11.266</v>
      </c>
      <c r="C724">
        <v>11.266</v>
      </c>
      <c r="D724">
        <v>11.266</v>
      </c>
      <c r="E724">
        <v>11.266</v>
      </c>
      <c r="F724" s="21">
        <v>-4.1999999999999997E-3</v>
      </c>
    </row>
    <row r="725" spans="1:6" x14ac:dyDescent="0.35">
      <c r="A725" s="22" t="s">
        <v>1281</v>
      </c>
      <c r="B725" s="51">
        <v>11.314</v>
      </c>
      <c r="C725">
        <v>11.314</v>
      </c>
      <c r="D725">
        <v>11.314</v>
      </c>
      <c r="E725">
        <v>11.314</v>
      </c>
      <c r="F725" s="21">
        <v>3.5999999999999999E-3</v>
      </c>
    </row>
    <row r="726" spans="1:6" x14ac:dyDescent="0.35">
      <c r="A726" s="22" t="s">
        <v>1283</v>
      </c>
      <c r="B726" s="51">
        <v>11.273</v>
      </c>
      <c r="C726">
        <v>11.273</v>
      </c>
      <c r="D726">
        <v>11.273</v>
      </c>
      <c r="E726">
        <v>11.273</v>
      </c>
      <c r="F726" s="21">
        <v>2.3E-3</v>
      </c>
    </row>
    <row r="727" spans="1:6" x14ac:dyDescent="0.35">
      <c r="A727" s="22">
        <v>40370</v>
      </c>
      <c r="B727" s="51">
        <v>11.247</v>
      </c>
      <c r="C727">
        <v>11.247</v>
      </c>
      <c r="D727">
        <v>11.247</v>
      </c>
      <c r="E727">
        <v>11.247</v>
      </c>
      <c r="F727" s="21">
        <v>1.95E-2</v>
      </c>
    </row>
    <row r="728" spans="1:6" x14ac:dyDescent="0.35">
      <c r="A728" s="22" t="s">
        <v>1286</v>
      </c>
      <c r="B728" s="51">
        <v>11.032</v>
      </c>
      <c r="C728">
        <v>11.032</v>
      </c>
      <c r="D728">
        <v>11.032</v>
      </c>
      <c r="E728">
        <v>11.032</v>
      </c>
      <c r="F728" s="21">
        <v>1.4E-3</v>
      </c>
    </row>
    <row r="729" spans="1:6" x14ac:dyDescent="0.35">
      <c r="A729" s="22" t="s">
        <v>1288</v>
      </c>
      <c r="B729" s="51">
        <v>11.016999999999999</v>
      </c>
      <c r="C729">
        <v>11.016999999999999</v>
      </c>
      <c r="D729">
        <v>11.016999999999999</v>
      </c>
      <c r="E729">
        <v>11.016999999999999</v>
      </c>
      <c r="F729" s="21">
        <v>4.1999999999999997E-3</v>
      </c>
    </row>
    <row r="730" spans="1:6" x14ac:dyDescent="0.35">
      <c r="A730" s="22" t="s">
        <v>1290</v>
      </c>
      <c r="B730" s="51">
        <v>10.971</v>
      </c>
      <c r="C730">
        <v>10.971</v>
      </c>
      <c r="D730">
        <v>10.971</v>
      </c>
      <c r="E730">
        <v>10.971</v>
      </c>
      <c r="F730" s="21">
        <v>-1.9E-3</v>
      </c>
    </row>
    <row r="731" spans="1:6" x14ac:dyDescent="0.35">
      <c r="A731" s="22">
        <v>40461</v>
      </c>
      <c r="B731" s="51">
        <v>10.992000000000001</v>
      </c>
      <c r="C731">
        <v>10.992000000000001</v>
      </c>
      <c r="D731">
        <v>10.992000000000001</v>
      </c>
      <c r="E731">
        <v>10.992000000000001</v>
      </c>
      <c r="F731" s="21">
        <v>2.5999999999999999E-3</v>
      </c>
    </row>
    <row r="732" spans="1:6" x14ac:dyDescent="0.35">
      <c r="A732" s="22">
        <v>40247</v>
      </c>
      <c r="B732" s="51">
        <v>10.964</v>
      </c>
      <c r="C732">
        <v>10.964</v>
      </c>
      <c r="D732">
        <v>10.964</v>
      </c>
      <c r="E732">
        <v>10.964</v>
      </c>
      <c r="F732" s="21">
        <v>-8.2000000000000007E-3</v>
      </c>
    </row>
    <row r="733" spans="1:6" x14ac:dyDescent="0.35">
      <c r="A733" s="22" t="s">
        <v>1294</v>
      </c>
      <c r="B733" s="51">
        <v>11.055</v>
      </c>
      <c r="C733">
        <v>11.055</v>
      </c>
      <c r="D733">
        <v>11.055</v>
      </c>
      <c r="E733">
        <v>11.055</v>
      </c>
      <c r="F733" s="21">
        <v>2.5999999999999999E-3</v>
      </c>
    </row>
    <row r="734" spans="1:6" x14ac:dyDescent="0.35">
      <c r="A734" s="22" t="s">
        <v>1296</v>
      </c>
      <c r="B734" s="51">
        <v>11.026</v>
      </c>
      <c r="C734">
        <v>11.026</v>
      </c>
      <c r="D734">
        <v>11.026</v>
      </c>
      <c r="E734">
        <v>11.026</v>
      </c>
      <c r="F734" s="21">
        <v>1.4E-3</v>
      </c>
    </row>
    <row r="735" spans="1:6" x14ac:dyDescent="0.35">
      <c r="A735" s="22">
        <v>40521</v>
      </c>
      <c r="B735" s="51">
        <v>11.010999999999999</v>
      </c>
      <c r="C735">
        <v>11.010999999999999</v>
      </c>
      <c r="D735">
        <v>11.010999999999999</v>
      </c>
      <c r="E735">
        <v>11.010999999999999</v>
      </c>
      <c r="F735" s="21">
        <v>1.1000000000000001E-3</v>
      </c>
    </row>
    <row r="736" spans="1:6" x14ac:dyDescent="0.35">
      <c r="A736" s="22">
        <v>40307</v>
      </c>
      <c r="B736" s="51">
        <v>10.999000000000001</v>
      </c>
      <c r="C736">
        <v>10.999000000000001</v>
      </c>
      <c r="D736">
        <v>10.999000000000001</v>
      </c>
      <c r="E736">
        <v>10.999000000000001</v>
      </c>
      <c r="F736" s="21">
        <v>-1E-4</v>
      </c>
    </row>
    <row r="737" spans="1:6" x14ac:dyDescent="0.35">
      <c r="A737" s="22" t="s">
        <v>1300</v>
      </c>
      <c r="B737" s="51">
        <v>11</v>
      </c>
      <c r="C737">
        <v>11</v>
      </c>
      <c r="D737">
        <v>11</v>
      </c>
      <c r="E737">
        <v>11</v>
      </c>
      <c r="F737" s="21">
        <v>-0.01</v>
      </c>
    </row>
    <row r="738" spans="1:6" x14ac:dyDescent="0.35">
      <c r="A738" s="22" t="s">
        <v>1302</v>
      </c>
      <c r="B738" s="51">
        <v>11.111000000000001</v>
      </c>
      <c r="C738">
        <v>11.111000000000001</v>
      </c>
      <c r="D738">
        <v>11.111000000000001</v>
      </c>
      <c r="E738">
        <v>11.111000000000001</v>
      </c>
      <c r="F738" s="21">
        <v>2.5000000000000001E-3</v>
      </c>
    </row>
    <row r="739" spans="1:6" x14ac:dyDescent="0.35">
      <c r="A739" s="22" t="s">
        <v>1304</v>
      </c>
      <c r="B739" s="51">
        <v>11.083</v>
      </c>
      <c r="C739">
        <v>11.083</v>
      </c>
      <c r="D739">
        <v>11.083</v>
      </c>
      <c r="E739">
        <v>11.083</v>
      </c>
      <c r="F739" s="21">
        <v>-1.09E-2</v>
      </c>
    </row>
    <row r="740" spans="1:6" x14ac:dyDescent="0.35">
      <c r="A740" s="22">
        <v>40398</v>
      </c>
      <c r="B740" s="51">
        <v>11.205</v>
      </c>
      <c r="C740">
        <v>11.205</v>
      </c>
      <c r="D740">
        <v>11.205</v>
      </c>
      <c r="E740">
        <v>11.205</v>
      </c>
      <c r="F740" s="21">
        <v>-1.6000000000000001E-3</v>
      </c>
    </row>
    <row r="741" spans="1:6" x14ac:dyDescent="0.35">
      <c r="A741" s="22">
        <v>40186</v>
      </c>
      <c r="B741" s="51">
        <v>11.223000000000001</v>
      </c>
      <c r="C741">
        <v>11.223000000000001</v>
      </c>
      <c r="D741">
        <v>11.223000000000001</v>
      </c>
      <c r="E741">
        <v>11.223000000000001</v>
      </c>
      <c r="F741" s="21">
        <v>1.4800000000000001E-2</v>
      </c>
    </row>
    <row r="742" spans="1:6" x14ac:dyDescent="0.35">
      <c r="A742" s="22" t="s">
        <v>1308</v>
      </c>
      <c r="B742" s="51">
        <v>11.058999999999999</v>
      </c>
      <c r="C742">
        <v>11.058999999999999</v>
      </c>
      <c r="D742">
        <v>11.058999999999999</v>
      </c>
      <c r="E742">
        <v>11.058999999999999</v>
      </c>
      <c r="F742" s="21">
        <v>-5.0000000000000001E-4</v>
      </c>
    </row>
    <row r="743" spans="1:6" x14ac:dyDescent="0.35">
      <c r="A743" s="22" t="s">
        <v>1310</v>
      </c>
      <c r="B743" s="51">
        <v>11.064</v>
      </c>
      <c r="C743">
        <v>11.064</v>
      </c>
      <c r="D743">
        <v>11.064</v>
      </c>
      <c r="E743">
        <v>11.064</v>
      </c>
      <c r="F743" s="21">
        <v>-2.0500000000000001E-2</v>
      </c>
    </row>
    <row r="744" spans="1:6" x14ac:dyDescent="0.35">
      <c r="A744" s="22">
        <v>40489</v>
      </c>
      <c r="B744" s="51">
        <v>11.295999999999999</v>
      </c>
      <c r="C744">
        <v>11.295999999999999</v>
      </c>
      <c r="D744">
        <v>11.295999999999999</v>
      </c>
      <c r="E744">
        <v>11.295999999999999</v>
      </c>
      <c r="F744" s="21">
        <v>1.5299999999999999E-2</v>
      </c>
    </row>
    <row r="745" spans="1:6" x14ac:dyDescent="0.35">
      <c r="A745" s="22">
        <v>40275</v>
      </c>
      <c r="B745" s="51">
        <v>11.125999999999999</v>
      </c>
      <c r="C745">
        <v>11.125999999999999</v>
      </c>
      <c r="D745">
        <v>11.125999999999999</v>
      </c>
      <c r="E745">
        <v>11.125999999999999</v>
      </c>
      <c r="F745" s="21">
        <v>-1.03E-2</v>
      </c>
    </row>
    <row r="746" spans="1:6" x14ac:dyDescent="0.35">
      <c r="A746" s="22" t="s">
        <v>1314</v>
      </c>
      <c r="B746" s="51">
        <v>11.242000000000001</v>
      </c>
      <c r="C746">
        <v>11.242000000000001</v>
      </c>
      <c r="D746">
        <v>11.242000000000001</v>
      </c>
      <c r="E746">
        <v>11.242000000000001</v>
      </c>
      <c r="F746" s="21">
        <v>-2.4899999999999999E-2</v>
      </c>
    </row>
    <row r="747" spans="1:6" x14ac:dyDescent="0.35">
      <c r="A747" s="22" t="s">
        <v>1316</v>
      </c>
      <c r="B747" s="51">
        <v>11.529</v>
      </c>
      <c r="C747">
        <v>11.529</v>
      </c>
      <c r="D747">
        <v>11.529</v>
      </c>
      <c r="E747">
        <v>11.529</v>
      </c>
      <c r="F747" s="21">
        <v>0</v>
      </c>
    </row>
    <row r="748" spans="1:6" x14ac:dyDescent="0.35">
      <c r="A748" s="22" t="s">
        <v>1318</v>
      </c>
      <c r="B748" s="51">
        <v>11.529</v>
      </c>
      <c r="C748">
        <v>11.529</v>
      </c>
      <c r="D748">
        <v>11.529</v>
      </c>
      <c r="E748">
        <v>11.529</v>
      </c>
      <c r="F748" s="21">
        <v>4.0000000000000001E-3</v>
      </c>
    </row>
    <row r="749" spans="1:6" x14ac:dyDescent="0.35">
      <c r="A749" s="22">
        <v>40335</v>
      </c>
      <c r="B749" s="51">
        <v>11.483000000000001</v>
      </c>
      <c r="C749">
        <v>11.483000000000001</v>
      </c>
      <c r="D749">
        <v>11.483000000000001</v>
      </c>
      <c r="E749">
        <v>11.483000000000001</v>
      </c>
      <c r="F749" s="21">
        <v>-1.2800000000000001E-2</v>
      </c>
    </row>
    <row r="750" spans="1:6" x14ac:dyDescent="0.35">
      <c r="A750" s="22" t="s">
        <v>1321</v>
      </c>
      <c r="B750" s="51">
        <v>11.632</v>
      </c>
      <c r="C750">
        <v>11.632</v>
      </c>
      <c r="D750">
        <v>11.632</v>
      </c>
      <c r="E750">
        <v>11.632</v>
      </c>
      <c r="F750" s="21">
        <v>5.4000000000000003E-3</v>
      </c>
    </row>
    <row r="751" spans="1:6" x14ac:dyDescent="0.35">
      <c r="A751" s="22" t="s">
        <v>1323</v>
      </c>
      <c r="B751" s="51">
        <v>11.57</v>
      </c>
      <c r="C751">
        <v>11.57</v>
      </c>
      <c r="D751">
        <v>11.57</v>
      </c>
      <c r="E751">
        <v>11.57</v>
      </c>
      <c r="F751" s="21">
        <v>-1.37E-2</v>
      </c>
    </row>
    <row r="752" spans="1:6" x14ac:dyDescent="0.35">
      <c r="A752" s="22" t="s">
        <v>1325</v>
      </c>
      <c r="B752" s="51">
        <v>11.731</v>
      </c>
      <c r="C752">
        <v>11.731</v>
      </c>
      <c r="D752">
        <v>11.731</v>
      </c>
      <c r="E752">
        <v>11.731</v>
      </c>
      <c r="F752" s="21">
        <v>7.7000000000000002E-3</v>
      </c>
    </row>
    <row r="753" spans="1:6" x14ac:dyDescent="0.35">
      <c r="A753" s="22">
        <v>40426</v>
      </c>
      <c r="B753" s="51">
        <v>11.641</v>
      </c>
      <c r="C753">
        <v>11.641</v>
      </c>
      <c r="D753">
        <v>11.641</v>
      </c>
      <c r="E753">
        <v>11.641</v>
      </c>
      <c r="F753" s="21">
        <v>-2.0799999999999999E-2</v>
      </c>
    </row>
    <row r="754" spans="1:6" x14ac:dyDescent="0.35">
      <c r="A754" s="22">
        <v>40214</v>
      </c>
      <c r="B754" s="51">
        <v>11.888</v>
      </c>
      <c r="C754">
        <v>11.888</v>
      </c>
      <c r="D754">
        <v>11.888</v>
      </c>
      <c r="E754">
        <v>11.888</v>
      </c>
      <c r="F754" s="21">
        <v>7.7000000000000002E-3</v>
      </c>
    </row>
    <row r="755" spans="1:6" x14ac:dyDescent="0.35">
      <c r="A755" s="22" t="s">
        <v>1329</v>
      </c>
      <c r="B755" s="51">
        <v>11.797000000000001</v>
      </c>
      <c r="C755">
        <v>11.797000000000001</v>
      </c>
      <c r="D755">
        <v>11.797000000000001</v>
      </c>
      <c r="E755">
        <v>11.797000000000001</v>
      </c>
      <c r="F755" s="21">
        <v>-1.5900000000000001E-2</v>
      </c>
    </row>
    <row r="756" spans="1:6" x14ac:dyDescent="0.35">
      <c r="A756" s="22" t="s">
        <v>1331</v>
      </c>
      <c r="B756" s="51">
        <v>11.988</v>
      </c>
      <c r="C756">
        <v>11.988</v>
      </c>
      <c r="D756">
        <v>11.988</v>
      </c>
      <c r="E756">
        <v>11.988</v>
      </c>
      <c r="F756" s="21">
        <v>5.1999999999999998E-3</v>
      </c>
    </row>
    <row r="757" spans="1:6" x14ac:dyDescent="0.35">
      <c r="A757" s="22">
        <v>40486</v>
      </c>
      <c r="B757" s="51">
        <v>11.926</v>
      </c>
      <c r="C757">
        <v>11.926</v>
      </c>
      <c r="D757">
        <v>11.926</v>
      </c>
      <c r="E757">
        <v>11.926</v>
      </c>
      <c r="F757" s="21">
        <v>3.7000000000000002E-3</v>
      </c>
    </row>
    <row r="758" spans="1:6" x14ac:dyDescent="0.35">
      <c r="A758" s="22">
        <v>40272</v>
      </c>
      <c r="B758" s="51">
        <v>11.882</v>
      </c>
      <c r="C758">
        <v>11.882</v>
      </c>
      <c r="D758">
        <v>11.882</v>
      </c>
      <c r="E758">
        <v>11.882</v>
      </c>
      <c r="F758" s="21">
        <v>2.3E-3</v>
      </c>
    </row>
    <row r="759" spans="1:6" x14ac:dyDescent="0.35">
      <c r="A759" s="22" t="s">
        <v>1335</v>
      </c>
      <c r="B759" s="51">
        <v>11.855</v>
      </c>
      <c r="C759">
        <v>11.855</v>
      </c>
      <c r="D759">
        <v>11.855</v>
      </c>
      <c r="E759">
        <v>11.855</v>
      </c>
      <c r="F759" s="21">
        <v>-1.2999999999999999E-3</v>
      </c>
    </row>
    <row r="760" spans="1:6" x14ac:dyDescent="0.35">
      <c r="A760" s="22" t="s">
        <v>1337</v>
      </c>
      <c r="B760" s="51">
        <v>11.87</v>
      </c>
      <c r="C760">
        <v>11.87</v>
      </c>
      <c r="D760">
        <v>11.87</v>
      </c>
      <c r="E760">
        <v>11.87</v>
      </c>
      <c r="F760" s="21">
        <v>-1.0800000000000001E-2</v>
      </c>
    </row>
    <row r="761" spans="1:6" x14ac:dyDescent="0.35">
      <c r="A761" s="22" t="s">
        <v>1339</v>
      </c>
      <c r="B761" s="51">
        <v>12</v>
      </c>
      <c r="C761">
        <v>12</v>
      </c>
      <c r="D761">
        <v>12</v>
      </c>
      <c r="E761">
        <v>12</v>
      </c>
      <c r="F761" s="21">
        <v>2.0400000000000001E-2</v>
      </c>
    </row>
    <row r="762" spans="1:6" x14ac:dyDescent="0.35">
      <c r="A762" s="22">
        <v>40362</v>
      </c>
      <c r="B762" s="51">
        <v>11.76</v>
      </c>
      <c r="C762">
        <v>11.76</v>
      </c>
      <c r="D762">
        <v>11.76</v>
      </c>
      <c r="E762">
        <v>11.76</v>
      </c>
      <c r="F762" s="21">
        <v>1.9900000000000001E-2</v>
      </c>
    </row>
    <row r="763" spans="1:6" x14ac:dyDescent="0.35">
      <c r="A763" s="22" t="s">
        <v>1342</v>
      </c>
      <c r="B763" s="51">
        <v>11.53</v>
      </c>
      <c r="C763">
        <v>11.53</v>
      </c>
      <c r="D763">
        <v>11.53</v>
      </c>
      <c r="E763">
        <v>11.53</v>
      </c>
      <c r="F763" s="21">
        <v>-8.0000000000000004E-4</v>
      </c>
    </row>
    <row r="764" spans="1:6" x14ac:dyDescent="0.35">
      <c r="A764" s="22" t="s">
        <v>1344</v>
      </c>
      <c r="B764" s="51">
        <v>11.539</v>
      </c>
      <c r="C764">
        <v>11.539</v>
      </c>
      <c r="D764">
        <v>11.539</v>
      </c>
      <c r="E764">
        <v>11.539</v>
      </c>
      <c r="F764" s="21">
        <v>-1.09E-2</v>
      </c>
    </row>
    <row r="765" spans="1:6" x14ac:dyDescent="0.35">
      <c r="A765" s="22" t="s">
        <v>1840</v>
      </c>
      <c r="B765" s="51">
        <v>11.666</v>
      </c>
      <c r="C765">
        <v>11.666</v>
      </c>
      <c r="D765">
        <v>11.666</v>
      </c>
      <c r="E765">
        <v>11.666</v>
      </c>
      <c r="F765" s="21">
        <v>2.1700000000000001E-2</v>
      </c>
    </row>
    <row r="766" spans="1:6" x14ac:dyDescent="0.35">
      <c r="A766" s="22">
        <v>40361</v>
      </c>
      <c r="B766" s="51">
        <v>11.417999999999999</v>
      </c>
      <c r="C766">
        <v>11.417999999999999</v>
      </c>
      <c r="D766">
        <v>11.417999999999999</v>
      </c>
      <c r="E766">
        <v>11.417999999999999</v>
      </c>
      <c r="F766" s="21">
        <v>1.12E-2</v>
      </c>
    </row>
    <row r="767" spans="1:6" x14ac:dyDescent="0.35">
      <c r="A767" s="22" t="s">
        <v>1347</v>
      </c>
      <c r="B767" s="51">
        <v>11.292</v>
      </c>
      <c r="C767">
        <v>11.292</v>
      </c>
      <c r="D767">
        <v>11.292</v>
      </c>
      <c r="E767">
        <v>11.292</v>
      </c>
      <c r="F767" s="21">
        <v>-1E-3</v>
      </c>
    </row>
    <row r="768" spans="1:6" x14ac:dyDescent="0.35">
      <c r="A768" s="22" t="s">
        <v>1349</v>
      </c>
      <c r="B768" s="51">
        <v>11.303000000000001</v>
      </c>
      <c r="C768">
        <v>11.303000000000001</v>
      </c>
      <c r="D768">
        <v>11.303000000000001</v>
      </c>
      <c r="E768">
        <v>11.303000000000001</v>
      </c>
      <c r="F768" s="21">
        <v>-3.8E-3</v>
      </c>
    </row>
    <row r="769" spans="1:6" x14ac:dyDescent="0.35">
      <c r="A769" s="22" t="s">
        <v>1351</v>
      </c>
      <c r="B769" s="51">
        <v>11.346</v>
      </c>
      <c r="C769">
        <v>11.346</v>
      </c>
      <c r="D769">
        <v>11.346</v>
      </c>
      <c r="E769">
        <v>11.346</v>
      </c>
      <c r="F769" s="21">
        <v>6.6E-3</v>
      </c>
    </row>
    <row r="770" spans="1:6" x14ac:dyDescent="0.35">
      <c r="A770" s="22">
        <v>40452</v>
      </c>
      <c r="B770" s="51">
        <v>11.272</v>
      </c>
      <c r="C770">
        <v>11.272</v>
      </c>
      <c r="D770">
        <v>11.272</v>
      </c>
      <c r="E770">
        <v>11.272</v>
      </c>
      <c r="F770" s="21">
        <v>1.06E-2</v>
      </c>
    </row>
    <row r="771" spans="1:6" x14ac:dyDescent="0.35">
      <c r="A771" s="22">
        <v>40238</v>
      </c>
      <c r="B771" s="51">
        <v>11.154</v>
      </c>
      <c r="C771">
        <v>11.154</v>
      </c>
      <c r="D771">
        <v>11.154</v>
      </c>
      <c r="E771">
        <v>11.154</v>
      </c>
      <c r="F771" s="21">
        <v>1.0500000000000001E-2</v>
      </c>
    </row>
    <row r="772" spans="1:6" x14ac:dyDescent="0.35">
      <c r="A772" s="22" t="s">
        <v>1355</v>
      </c>
      <c r="B772" s="51">
        <v>11.038</v>
      </c>
      <c r="C772">
        <v>11.038</v>
      </c>
      <c r="D772">
        <v>11.038</v>
      </c>
      <c r="E772">
        <v>11.038</v>
      </c>
      <c r="F772" s="21">
        <v>-6.3E-3</v>
      </c>
    </row>
    <row r="773" spans="1:6" x14ac:dyDescent="0.35">
      <c r="A773" s="22" t="s">
        <v>1357</v>
      </c>
      <c r="B773" s="51">
        <v>11.108000000000001</v>
      </c>
      <c r="C773">
        <v>11.108000000000001</v>
      </c>
      <c r="D773">
        <v>11.108000000000001</v>
      </c>
      <c r="E773">
        <v>11.108000000000001</v>
      </c>
      <c r="F773" s="21">
        <v>4.7999999999999996E-3</v>
      </c>
    </row>
    <row r="774" spans="1:6" x14ac:dyDescent="0.35">
      <c r="A774" s="22" t="s">
        <v>1359</v>
      </c>
      <c r="B774" s="51">
        <v>11.055</v>
      </c>
      <c r="C774">
        <v>11.055</v>
      </c>
      <c r="D774">
        <v>11.055</v>
      </c>
      <c r="E774">
        <v>11.055</v>
      </c>
      <c r="F774" s="21">
        <v>3.3799999999999997E-2</v>
      </c>
    </row>
    <row r="775" spans="1:6" x14ac:dyDescent="0.35">
      <c r="A775" s="22">
        <v>39976</v>
      </c>
      <c r="B775" s="51">
        <v>10.694000000000001</v>
      </c>
      <c r="C775">
        <v>10.694000000000001</v>
      </c>
      <c r="D775">
        <v>10.694000000000001</v>
      </c>
      <c r="E775">
        <v>10.694000000000001</v>
      </c>
      <c r="F775" s="21">
        <v>2.23E-2</v>
      </c>
    </row>
    <row r="776" spans="1:6" x14ac:dyDescent="0.35">
      <c r="A776" s="22" t="s">
        <v>1362</v>
      </c>
      <c r="B776" s="51">
        <v>10.461</v>
      </c>
      <c r="C776">
        <v>10.461</v>
      </c>
      <c r="D776">
        <v>10.461</v>
      </c>
      <c r="E776">
        <v>10.461</v>
      </c>
      <c r="F776" s="21">
        <v>2.06E-2</v>
      </c>
    </row>
    <row r="777" spans="1:6" x14ac:dyDescent="0.35">
      <c r="A777" s="22" t="s">
        <v>1364</v>
      </c>
      <c r="B777" s="51">
        <v>10.25</v>
      </c>
      <c r="C777">
        <v>10.25</v>
      </c>
      <c r="D777">
        <v>10.25</v>
      </c>
      <c r="E777">
        <v>10.25</v>
      </c>
      <c r="F777" s="21">
        <v>-1.6999999999999999E-3</v>
      </c>
    </row>
    <row r="778" spans="1:6" x14ac:dyDescent="0.35">
      <c r="A778" s="22" t="s">
        <v>1366</v>
      </c>
      <c r="B778" s="51">
        <v>10.266999999999999</v>
      </c>
      <c r="C778">
        <v>10.266999999999999</v>
      </c>
      <c r="D778">
        <v>10.266999999999999</v>
      </c>
      <c r="E778">
        <v>10.266999999999999</v>
      </c>
      <c r="F778" s="21">
        <v>1.0500000000000001E-2</v>
      </c>
    </row>
    <row r="779" spans="1:6" x14ac:dyDescent="0.35">
      <c r="A779" s="22">
        <v>40036</v>
      </c>
      <c r="B779" s="51">
        <v>10.16</v>
      </c>
      <c r="C779">
        <v>10.16</v>
      </c>
      <c r="D779">
        <v>10.16</v>
      </c>
      <c r="E779">
        <v>10.16</v>
      </c>
      <c r="F779" s="21">
        <v>9.5999999999999992E-3</v>
      </c>
    </row>
    <row r="780" spans="1:6" x14ac:dyDescent="0.35">
      <c r="A780" s="22">
        <v>39824</v>
      </c>
      <c r="B780" s="51">
        <v>10.063000000000001</v>
      </c>
      <c r="C780">
        <v>10.063000000000001</v>
      </c>
      <c r="D780">
        <v>10.063000000000001</v>
      </c>
      <c r="E780">
        <v>10.063000000000001</v>
      </c>
      <c r="F780" s="21">
        <v>-7.8600000000000003E-2</v>
      </c>
    </row>
    <row r="781" spans="1:6" x14ac:dyDescent="0.35">
      <c r="A781" s="22" t="s">
        <v>1370</v>
      </c>
      <c r="B781" s="51">
        <v>10.920999999999999</v>
      </c>
      <c r="C781">
        <v>10.920999999999999</v>
      </c>
      <c r="D781">
        <v>10.920999999999999</v>
      </c>
      <c r="E781">
        <v>10.920999999999999</v>
      </c>
      <c r="F781" s="21">
        <v>1E-4</v>
      </c>
    </row>
    <row r="782" spans="1:6" x14ac:dyDescent="0.35">
      <c r="A782" s="22" t="s">
        <v>1372</v>
      </c>
      <c r="B782" s="51">
        <v>10.92</v>
      </c>
      <c r="C782">
        <v>10.92</v>
      </c>
      <c r="D782">
        <v>10.92</v>
      </c>
      <c r="E782">
        <v>10.92</v>
      </c>
      <c r="F782" s="21">
        <v>0.187</v>
      </c>
    </row>
    <row r="783" spans="1:6" x14ac:dyDescent="0.35">
      <c r="A783" s="22">
        <v>40127</v>
      </c>
      <c r="B783" s="51">
        <v>9.1999999999999993</v>
      </c>
      <c r="C783">
        <v>9.1999999999999993</v>
      </c>
      <c r="D783">
        <v>9.1999999999999993</v>
      </c>
      <c r="E783">
        <v>9.1999999999999993</v>
      </c>
      <c r="F783" s="21">
        <v>-0.08</v>
      </c>
    </row>
    <row r="784" spans="1:6" x14ac:dyDescent="0.35">
      <c r="A784" s="22">
        <v>39913</v>
      </c>
      <c r="B784" s="51">
        <v>10</v>
      </c>
      <c r="C784">
        <v>10</v>
      </c>
      <c r="D784">
        <v>10</v>
      </c>
      <c r="E784">
        <v>10</v>
      </c>
      <c r="F784" s="21">
        <v>8.6999999999999994E-2</v>
      </c>
    </row>
    <row r="785" spans="1:6" x14ac:dyDescent="0.35">
      <c r="A785" s="22" t="s">
        <v>1376</v>
      </c>
      <c r="B785" s="51">
        <v>9.1999999999999993</v>
      </c>
      <c r="C785">
        <v>9.1999999999999993</v>
      </c>
      <c r="D785">
        <v>9.1999999999999993</v>
      </c>
      <c r="E785">
        <v>9.1999999999999993</v>
      </c>
      <c r="F785" s="21">
        <v>-0.08</v>
      </c>
    </row>
    <row r="786" spans="1:6" x14ac:dyDescent="0.35">
      <c r="A786" s="22" t="s">
        <v>1378</v>
      </c>
      <c r="B786" s="51">
        <v>10</v>
      </c>
      <c r="C786">
        <v>10</v>
      </c>
      <c r="D786">
        <v>10</v>
      </c>
      <c r="E786">
        <v>10</v>
      </c>
      <c r="F786" s="21">
        <v>0</v>
      </c>
    </row>
    <row r="787" spans="1:6" x14ac:dyDescent="0.35">
      <c r="A787" s="22" t="s">
        <v>1380</v>
      </c>
      <c r="B787" s="51">
        <v>10</v>
      </c>
      <c r="C787">
        <v>10</v>
      </c>
      <c r="D787">
        <v>10</v>
      </c>
      <c r="E787">
        <v>10</v>
      </c>
      <c r="F787" s="21">
        <v>2.0400000000000001E-2</v>
      </c>
    </row>
    <row r="788" spans="1:6" x14ac:dyDescent="0.35">
      <c r="A788" s="22" t="s">
        <v>1385</v>
      </c>
      <c r="B788" s="51">
        <v>9.8000000000000007</v>
      </c>
      <c r="C788">
        <v>9.8000000000000007</v>
      </c>
      <c r="D788">
        <v>9.8000000000000007</v>
      </c>
      <c r="E788">
        <v>9.8000000000000007</v>
      </c>
      <c r="F788" s="21">
        <v>0</v>
      </c>
    </row>
    <row r="789" spans="1:6" x14ac:dyDescent="0.35">
      <c r="A789" s="22" t="s">
        <v>1387</v>
      </c>
      <c r="B789" s="51">
        <v>9.8000000000000007</v>
      </c>
      <c r="C789">
        <v>9.8000000000000007</v>
      </c>
      <c r="D789">
        <v>9.8000000000000007</v>
      </c>
      <c r="E789">
        <v>9.8000000000000007</v>
      </c>
      <c r="F789" s="21">
        <v>3.1600000000000003E-2</v>
      </c>
    </row>
    <row r="790" spans="1:6" x14ac:dyDescent="0.35">
      <c r="A790" s="22">
        <v>40064</v>
      </c>
      <c r="B790" s="51">
        <v>9.5</v>
      </c>
      <c r="C790">
        <v>9.5</v>
      </c>
      <c r="D790">
        <v>9.5</v>
      </c>
      <c r="E790">
        <v>9.5</v>
      </c>
      <c r="F790" s="21">
        <v>0</v>
      </c>
    </row>
    <row r="791" spans="1:6" x14ac:dyDescent="0.35">
      <c r="A791" s="22">
        <v>39852</v>
      </c>
      <c r="B791" s="51">
        <v>9.5</v>
      </c>
      <c r="C791">
        <v>9.5</v>
      </c>
      <c r="D791">
        <v>9.5</v>
      </c>
      <c r="E791">
        <v>9.5</v>
      </c>
      <c r="F791" s="21">
        <v>1.06E-2</v>
      </c>
    </row>
    <row r="792" spans="1:6" x14ac:dyDescent="0.35">
      <c r="A792" s="22" t="s">
        <v>1391</v>
      </c>
      <c r="B792" s="51">
        <v>9.4</v>
      </c>
      <c r="C792">
        <v>9.4</v>
      </c>
      <c r="D792">
        <v>9.4</v>
      </c>
      <c r="E792">
        <v>9.4</v>
      </c>
      <c r="F792" s="21">
        <v>-3.09E-2</v>
      </c>
    </row>
    <row r="793" spans="1:6" x14ac:dyDescent="0.35">
      <c r="A793" s="22" t="s">
        <v>1393</v>
      </c>
      <c r="B793" s="51">
        <v>9.6999999999999993</v>
      </c>
      <c r="C793">
        <v>9.6999999999999993</v>
      </c>
      <c r="D793">
        <v>9.6999999999999993</v>
      </c>
      <c r="E793">
        <v>9.6999999999999993</v>
      </c>
      <c r="F793" s="21">
        <v>3.1899999999999998E-2</v>
      </c>
    </row>
    <row r="794" spans="1:6" x14ac:dyDescent="0.35">
      <c r="A794" s="22">
        <v>40154</v>
      </c>
      <c r="B794" s="51">
        <v>9.4</v>
      </c>
      <c r="C794">
        <v>9.4</v>
      </c>
      <c r="D794">
        <v>9.4</v>
      </c>
      <c r="E794">
        <v>9.4</v>
      </c>
      <c r="F794" s="21">
        <v>0</v>
      </c>
    </row>
    <row r="795" spans="1:6" x14ac:dyDescent="0.35">
      <c r="A795" s="22">
        <v>39940</v>
      </c>
      <c r="B795" s="51">
        <v>9.4</v>
      </c>
      <c r="C795">
        <v>9.4</v>
      </c>
      <c r="D795">
        <v>9.4</v>
      </c>
      <c r="E795">
        <v>9.4</v>
      </c>
      <c r="F795" s="21">
        <v>-3.09E-2</v>
      </c>
    </row>
    <row r="796" spans="1:6" x14ac:dyDescent="0.35">
      <c r="A796" s="22" t="s">
        <v>1397</v>
      </c>
      <c r="B796" s="51">
        <v>9.6999999999999993</v>
      </c>
      <c r="C796">
        <v>9.6999999999999993</v>
      </c>
      <c r="D796">
        <v>9.6999999999999993</v>
      </c>
      <c r="E796">
        <v>9.6999999999999993</v>
      </c>
      <c r="F796" s="21">
        <v>4.2999999999999997E-2</v>
      </c>
    </row>
    <row r="797" spans="1:6" x14ac:dyDescent="0.35">
      <c r="A797" s="22" t="s">
        <v>1399</v>
      </c>
      <c r="B797" s="51">
        <v>9.3000000000000007</v>
      </c>
      <c r="C797">
        <v>9.3000000000000007</v>
      </c>
      <c r="D797">
        <v>9.3000000000000007</v>
      </c>
      <c r="E797">
        <v>9.3000000000000007</v>
      </c>
      <c r="F797" s="21">
        <v>0</v>
      </c>
    </row>
    <row r="798" spans="1:6" x14ac:dyDescent="0.35">
      <c r="A798" s="22" t="s">
        <v>1401</v>
      </c>
      <c r="B798" s="51">
        <v>9.3000000000000007</v>
      </c>
      <c r="C798">
        <v>9.3000000000000007</v>
      </c>
      <c r="D798">
        <v>9.3000000000000007</v>
      </c>
      <c r="E798">
        <v>9.3000000000000007</v>
      </c>
      <c r="F798" s="21">
        <v>-4.1200000000000001E-2</v>
      </c>
    </row>
    <row r="799" spans="1:6" x14ac:dyDescent="0.35">
      <c r="A799" s="22">
        <v>40000</v>
      </c>
      <c r="B799" s="51">
        <v>9.6999999999999993</v>
      </c>
      <c r="C799">
        <v>9.6999999999999993</v>
      </c>
      <c r="D799">
        <v>9.6999999999999993</v>
      </c>
      <c r="E799">
        <v>9.6999999999999993</v>
      </c>
      <c r="F799" s="21">
        <v>0</v>
      </c>
    </row>
    <row r="800" spans="1:6" x14ac:dyDescent="0.35">
      <c r="A800" s="22" t="s">
        <v>1404</v>
      </c>
      <c r="B800" s="51">
        <v>9.6999999999999993</v>
      </c>
      <c r="C800">
        <v>9.6999999999999993</v>
      </c>
      <c r="D800">
        <v>9.6999999999999993</v>
      </c>
      <c r="E800">
        <v>9.6999999999999993</v>
      </c>
      <c r="F800" s="21">
        <v>5.4300000000000001E-2</v>
      </c>
    </row>
    <row r="801" spans="1:6" x14ac:dyDescent="0.35">
      <c r="A801" s="22" t="s">
        <v>1406</v>
      </c>
      <c r="B801" s="51">
        <v>9.1999999999999993</v>
      </c>
      <c r="C801">
        <v>9.1999999999999993</v>
      </c>
      <c r="D801">
        <v>9.1999999999999993</v>
      </c>
      <c r="E801">
        <v>9.1999999999999993</v>
      </c>
      <c r="F801" s="21">
        <v>-5.1499999999999997E-2</v>
      </c>
    </row>
    <row r="802" spans="1:6" x14ac:dyDescent="0.35">
      <c r="A802" s="22" t="s">
        <v>1408</v>
      </c>
      <c r="B802" s="51">
        <v>9.6999999999999993</v>
      </c>
      <c r="C802">
        <v>9.6999999999999993</v>
      </c>
      <c r="D802">
        <v>9.6999999999999993</v>
      </c>
      <c r="E802">
        <v>9.6999999999999993</v>
      </c>
      <c r="F802" s="21">
        <v>0</v>
      </c>
    </row>
    <row r="803" spans="1:6" x14ac:dyDescent="0.35">
      <c r="A803" s="22">
        <v>40091</v>
      </c>
      <c r="B803" s="51">
        <v>9.6999999999999993</v>
      </c>
      <c r="C803">
        <v>9.6999999999999993</v>
      </c>
      <c r="D803">
        <v>9.6999999999999993</v>
      </c>
      <c r="E803">
        <v>9.6999999999999993</v>
      </c>
      <c r="F803" s="21">
        <v>7.7799999999999994E-2</v>
      </c>
    </row>
    <row r="804" spans="1:6" x14ac:dyDescent="0.35">
      <c r="A804" s="22">
        <v>39877</v>
      </c>
      <c r="B804" s="51">
        <v>9</v>
      </c>
      <c r="C804">
        <v>9</v>
      </c>
      <c r="D804">
        <v>9</v>
      </c>
      <c r="E804">
        <v>9</v>
      </c>
      <c r="F804" s="21">
        <v>0</v>
      </c>
    </row>
    <row r="805" spans="1:6" x14ac:dyDescent="0.35">
      <c r="A805" s="22" t="s">
        <v>1412</v>
      </c>
      <c r="B805" s="51">
        <v>9</v>
      </c>
      <c r="C805">
        <v>9</v>
      </c>
      <c r="D805">
        <v>9</v>
      </c>
      <c r="E805">
        <v>9</v>
      </c>
      <c r="F805" s="21">
        <v>-7.22E-2</v>
      </c>
    </row>
    <row r="806" spans="1:6" x14ac:dyDescent="0.35">
      <c r="A806" s="22" t="s">
        <v>1414</v>
      </c>
      <c r="B806" s="51">
        <v>9.6999999999999993</v>
      </c>
      <c r="C806">
        <v>9.6999999999999993</v>
      </c>
      <c r="D806">
        <v>9.6999999999999993</v>
      </c>
      <c r="E806">
        <v>9.6999999999999993</v>
      </c>
      <c r="F806" s="21">
        <v>7.7799999999999994E-2</v>
      </c>
    </row>
    <row r="807" spans="1:6" x14ac:dyDescent="0.35">
      <c r="A807" s="22">
        <v>40151</v>
      </c>
      <c r="B807" s="51">
        <v>9</v>
      </c>
      <c r="C807">
        <v>9</v>
      </c>
      <c r="D807">
        <v>9</v>
      </c>
      <c r="E807">
        <v>9</v>
      </c>
      <c r="F807" s="21">
        <v>-7.22E-2</v>
      </c>
    </row>
    <row r="808" spans="1:6" x14ac:dyDescent="0.35">
      <c r="A808" s="22">
        <v>39937</v>
      </c>
      <c r="B808" s="51">
        <v>9.6999999999999993</v>
      </c>
      <c r="C808">
        <v>9.6999999999999993</v>
      </c>
      <c r="D808">
        <v>9.6999999999999993</v>
      </c>
      <c r="E808">
        <v>9.6999999999999993</v>
      </c>
      <c r="F808" s="21">
        <v>6.59E-2</v>
      </c>
    </row>
    <row r="809" spans="1:6" x14ac:dyDescent="0.35">
      <c r="A809" s="22" t="s">
        <v>1418</v>
      </c>
      <c r="B809" s="51">
        <v>9.1</v>
      </c>
      <c r="C809">
        <v>9.1</v>
      </c>
      <c r="D809">
        <v>9.1</v>
      </c>
      <c r="E809">
        <v>9.1</v>
      </c>
      <c r="F809" s="21">
        <v>-6.1899999999999997E-2</v>
      </c>
    </row>
    <row r="810" spans="1:6" x14ac:dyDescent="0.35">
      <c r="A810" s="22" t="s">
        <v>1420</v>
      </c>
      <c r="B810" s="51">
        <v>9.6999999999999993</v>
      </c>
      <c r="C810">
        <v>9.6999999999999993</v>
      </c>
      <c r="D810">
        <v>9.6999999999999993</v>
      </c>
      <c r="E810">
        <v>9.6999999999999993</v>
      </c>
      <c r="F810" s="21">
        <v>6.59E-2</v>
      </c>
    </row>
    <row r="811" spans="1:6" x14ac:dyDescent="0.35">
      <c r="A811" s="22" t="s">
        <v>1422</v>
      </c>
      <c r="B811" s="51">
        <v>9.1</v>
      </c>
      <c r="C811">
        <v>9.1</v>
      </c>
      <c r="D811">
        <v>9.1</v>
      </c>
      <c r="E811">
        <v>9.1</v>
      </c>
      <c r="F811" s="21">
        <v>-1.09E-2</v>
      </c>
    </row>
    <row r="812" spans="1:6" x14ac:dyDescent="0.35">
      <c r="A812" s="22">
        <v>40028</v>
      </c>
      <c r="B812" s="51">
        <v>9.1999999999999993</v>
      </c>
      <c r="C812">
        <v>9.1999999999999993</v>
      </c>
      <c r="D812">
        <v>9.1999999999999993</v>
      </c>
      <c r="E812">
        <v>9.1999999999999993</v>
      </c>
      <c r="F812" s="21">
        <v>2.2200000000000001E-2</v>
      </c>
    </row>
    <row r="813" spans="1:6" x14ac:dyDescent="0.35">
      <c r="A813" s="22">
        <v>39816</v>
      </c>
      <c r="B813" s="51">
        <v>9</v>
      </c>
      <c r="C813">
        <v>9</v>
      </c>
      <c r="D813">
        <v>9</v>
      </c>
      <c r="E813">
        <v>9</v>
      </c>
      <c r="F813" s="21">
        <v>-8.1600000000000006E-2</v>
      </c>
    </row>
    <row r="814" spans="1:6" x14ac:dyDescent="0.35">
      <c r="A814" s="22" t="s">
        <v>1426</v>
      </c>
      <c r="B814" s="51">
        <v>9.8000000000000007</v>
      </c>
      <c r="C814">
        <v>9.8000000000000007</v>
      </c>
      <c r="D814">
        <v>9.8000000000000007</v>
      </c>
      <c r="E814">
        <v>9.8000000000000007</v>
      </c>
      <c r="F814" s="21">
        <v>0</v>
      </c>
    </row>
    <row r="815" spans="1:6" x14ac:dyDescent="0.35">
      <c r="A815" s="22" t="s">
        <v>1428</v>
      </c>
      <c r="B815" s="51">
        <v>9.8000000000000007</v>
      </c>
      <c r="C815">
        <v>9.8000000000000007</v>
      </c>
      <c r="D815">
        <v>9.8000000000000007</v>
      </c>
      <c r="E815">
        <v>9.8000000000000007</v>
      </c>
      <c r="F815" s="21">
        <v>0</v>
      </c>
    </row>
    <row r="816" spans="1:6" x14ac:dyDescent="0.35">
      <c r="A816" s="22">
        <v>40027</v>
      </c>
      <c r="B816" s="51">
        <v>9.8000000000000007</v>
      </c>
      <c r="C816">
        <v>9.8000000000000007</v>
      </c>
      <c r="D816">
        <v>9.8000000000000007</v>
      </c>
      <c r="E816">
        <v>9.8000000000000007</v>
      </c>
      <c r="F816" s="21">
        <v>0</v>
      </c>
    </row>
    <row r="817" spans="1:6" x14ac:dyDescent="0.35">
      <c r="A817" s="22">
        <v>39815</v>
      </c>
      <c r="B817" s="51">
        <v>9.8000000000000007</v>
      </c>
      <c r="C817">
        <v>9.8000000000000007</v>
      </c>
      <c r="D817">
        <v>9.8000000000000007</v>
      </c>
      <c r="E817">
        <v>9.8000000000000007</v>
      </c>
      <c r="F817" s="21">
        <v>0</v>
      </c>
    </row>
    <row r="818" spans="1:6" x14ac:dyDescent="0.35">
      <c r="A818" s="22" t="s">
        <v>1841</v>
      </c>
      <c r="B818" s="51">
        <v>9.8000000000000007</v>
      </c>
      <c r="C818">
        <v>9.8000000000000007</v>
      </c>
      <c r="D818">
        <v>9.8000000000000007</v>
      </c>
      <c r="E818">
        <v>9.8000000000000007</v>
      </c>
      <c r="F818" s="21">
        <v>0</v>
      </c>
    </row>
    <row r="819" spans="1:6" x14ac:dyDescent="0.35">
      <c r="A819" s="22" t="s">
        <v>1431</v>
      </c>
      <c r="B819" s="51">
        <v>9.8000000000000007</v>
      </c>
      <c r="C819">
        <v>9.8000000000000007</v>
      </c>
      <c r="D819">
        <v>9.8000000000000007</v>
      </c>
      <c r="E819">
        <v>9.8000000000000007</v>
      </c>
      <c r="F819" s="21">
        <v>0</v>
      </c>
    </row>
    <row r="820" spans="1:6" x14ac:dyDescent="0.35">
      <c r="A820" s="22">
        <v>40118</v>
      </c>
      <c r="B820" s="51">
        <v>9.8000000000000007</v>
      </c>
      <c r="C820">
        <v>9.8000000000000007</v>
      </c>
      <c r="D820">
        <v>9.8000000000000007</v>
      </c>
      <c r="E820">
        <v>9.8000000000000007</v>
      </c>
      <c r="F820" s="21">
        <v>0.11360000000000001</v>
      </c>
    </row>
    <row r="821" spans="1:6" x14ac:dyDescent="0.35">
      <c r="A821" s="22">
        <v>39904</v>
      </c>
      <c r="B821" s="51">
        <v>8.8000000000000007</v>
      </c>
      <c r="C821">
        <v>8.8000000000000007</v>
      </c>
      <c r="D821">
        <v>8.8000000000000007</v>
      </c>
      <c r="E821">
        <v>8.8000000000000007</v>
      </c>
      <c r="F821" s="21">
        <v>-0.10199999999999999</v>
      </c>
    </row>
    <row r="822" spans="1:6" x14ac:dyDescent="0.35">
      <c r="A822" s="22" t="s">
        <v>1435</v>
      </c>
      <c r="B822" s="51">
        <v>9.8000000000000007</v>
      </c>
      <c r="C822">
        <v>9.8000000000000007</v>
      </c>
      <c r="D822">
        <v>9.8000000000000007</v>
      </c>
      <c r="E822">
        <v>9.8000000000000007</v>
      </c>
      <c r="F822" s="21">
        <v>0</v>
      </c>
    </row>
    <row r="823" spans="1:6" x14ac:dyDescent="0.35">
      <c r="A823" s="22" t="s">
        <v>1437</v>
      </c>
      <c r="B823" s="51">
        <v>9.8000000000000007</v>
      </c>
      <c r="C823">
        <v>9.8000000000000007</v>
      </c>
      <c r="D823">
        <v>9.8000000000000007</v>
      </c>
      <c r="E823">
        <v>9.8000000000000007</v>
      </c>
      <c r="F823" s="21">
        <v>0</v>
      </c>
    </row>
    <row r="824" spans="1:6" x14ac:dyDescent="0.35">
      <c r="A824" s="22" t="s">
        <v>1439</v>
      </c>
      <c r="B824" s="51">
        <v>9.8000000000000007</v>
      </c>
      <c r="C824">
        <v>9.8000000000000007</v>
      </c>
      <c r="D824">
        <v>9.8000000000000007</v>
      </c>
      <c r="E824">
        <v>9.8000000000000007</v>
      </c>
      <c r="F824" s="21">
        <v>-0.3241</v>
      </c>
    </row>
    <row r="825" spans="1:6" x14ac:dyDescent="0.35">
      <c r="A825" s="22" t="s">
        <v>1450</v>
      </c>
      <c r="B825" s="51">
        <v>14.5</v>
      </c>
      <c r="C825">
        <v>14.5</v>
      </c>
      <c r="D825">
        <v>14.5</v>
      </c>
      <c r="E825">
        <v>14.5</v>
      </c>
      <c r="F825" s="21">
        <v>0</v>
      </c>
    </row>
    <row r="826" spans="1:6" x14ac:dyDescent="0.35">
      <c r="A826" s="22" t="s">
        <v>1452</v>
      </c>
      <c r="B826" s="51">
        <v>14.5</v>
      </c>
      <c r="C826">
        <v>14.5</v>
      </c>
      <c r="D826">
        <v>14.5</v>
      </c>
      <c r="E826">
        <v>14.5</v>
      </c>
      <c r="F826" s="21">
        <v>-3.3300000000000003E-2</v>
      </c>
    </row>
    <row r="827" spans="1:6" x14ac:dyDescent="0.35">
      <c r="A827" s="22">
        <v>39792</v>
      </c>
      <c r="B827" s="51">
        <v>15</v>
      </c>
      <c r="C827">
        <v>15</v>
      </c>
      <c r="D827">
        <v>15</v>
      </c>
      <c r="E827">
        <v>15</v>
      </c>
      <c r="F827" s="21">
        <v>0</v>
      </c>
    </row>
    <row r="828" spans="1:6" x14ac:dyDescent="0.35">
      <c r="A828" s="22">
        <v>39578</v>
      </c>
      <c r="B828" s="51">
        <v>15</v>
      </c>
      <c r="C828">
        <v>15</v>
      </c>
      <c r="D828">
        <v>15</v>
      </c>
      <c r="E828">
        <v>15</v>
      </c>
      <c r="F828" s="21">
        <v>3.4500000000000003E-2</v>
      </c>
    </row>
    <row r="829" spans="1:6" x14ac:dyDescent="0.35">
      <c r="A829" s="22" t="s">
        <v>1456</v>
      </c>
      <c r="B829" s="51">
        <v>14.5</v>
      </c>
      <c r="C829">
        <v>14.5</v>
      </c>
      <c r="D829">
        <v>14.5</v>
      </c>
      <c r="E829">
        <v>14.5</v>
      </c>
      <c r="F829" s="21">
        <v>0</v>
      </c>
    </row>
    <row r="830" spans="1:6" x14ac:dyDescent="0.35">
      <c r="A830" s="22" t="s">
        <v>1458</v>
      </c>
      <c r="B830" s="51">
        <v>14.5</v>
      </c>
      <c r="C830">
        <v>14.5</v>
      </c>
      <c r="D830">
        <v>14.5</v>
      </c>
      <c r="E830">
        <v>14.5</v>
      </c>
      <c r="F830" s="21">
        <v>0</v>
      </c>
    </row>
    <row r="831" spans="1:6" x14ac:dyDescent="0.35">
      <c r="A831" s="22" t="s">
        <v>1460</v>
      </c>
      <c r="B831" s="51">
        <v>14.5</v>
      </c>
      <c r="C831">
        <v>14.5</v>
      </c>
      <c r="D831">
        <v>14.5</v>
      </c>
      <c r="E831">
        <v>14.5</v>
      </c>
      <c r="F831" s="21">
        <v>-1.3599999999999999E-2</v>
      </c>
    </row>
    <row r="832" spans="1:6" x14ac:dyDescent="0.35">
      <c r="A832" s="22">
        <v>39638</v>
      </c>
      <c r="B832" s="51">
        <v>14.7</v>
      </c>
      <c r="C832">
        <v>14.7</v>
      </c>
      <c r="D832">
        <v>14.7</v>
      </c>
      <c r="E832">
        <v>14.7</v>
      </c>
      <c r="F832" s="21">
        <v>0</v>
      </c>
    </row>
    <row r="833" spans="1:6" x14ac:dyDescent="0.35">
      <c r="A833" s="22" t="s">
        <v>1463</v>
      </c>
      <c r="B833" s="51">
        <v>14.7</v>
      </c>
      <c r="C833">
        <v>14.7</v>
      </c>
      <c r="D833">
        <v>14.7</v>
      </c>
      <c r="E833">
        <v>14.7</v>
      </c>
      <c r="F833" s="21">
        <v>-5.16E-2</v>
      </c>
    </row>
    <row r="834" spans="1:6" x14ac:dyDescent="0.35">
      <c r="A834" s="22" t="s">
        <v>1465</v>
      </c>
      <c r="B834" s="51">
        <v>15.5</v>
      </c>
      <c r="C834">
        <v>15.5</v>
      </c>
      <c r="D834">
        <v>15.5</v>
      </c>
      <c r="E834">
        <v>15.5</v>
      </c>
      <c r="F834" s="21">
        <v>0</v>
      </c>
    </row>
    <row r="835" spans="1:6" x14ac:dyDescent="0.35">
      <c r="A835" s="22" t="s">
        <v>1467</v>
      </c>
      <c r="B835" s="51">
        <v>15.5</v>
      </c>
      <c r="C835">
        <v>15.5</v>
      </c>
      <c r="D835">
        <v>15.5</v>
      </c>
      <c r="E835">
        <v>15.5</v>
      </c>
      <c r="F835" s="21">
        <v>0</v>
      </c>
    </row>
    <row r="836" spans="1:6" x14ac:dyDescent="0.35">
      <c r="A836" s="22">
        <v>39729</v>
      </c>
      <c r="B836" s="51">
        <v>15.5</v>
      </c>
      <c r="C836">
        <v>15.5</v>
      </c>
      <c r="D836">
        <v>15.5</v>
      </c>
      <c r="E836">
        <v>15.5</v>
      </c>
      <c r="F836" s="21">
        <v>0</v>
      </c>
    </row>
    <row r="837" spans="1:6" x14ac:dyDescent="0.35">
      <c r="A837" s="22">
        <v>39515</v>
      </c>
      <c r="B837" s="51">
        <v>15.5</v>
      </c>
      <c r="C837">
        <v>15.5</v>
      </c>
      <c r="D837">
        <v>15.5</v>
      </c>
      <c r="E837">
        <v>15.5</v>
      </c>
      <c r="F837" s="21">
        <v>3.3300000000000003E-2</v>
      </c>
    </row>
    <row r="838" spans="1:6" x14ac:dyDescent="0.35">
      <c r="A838" s="22" t="s">
        <v>1471</v>
      </c>
      <c r="B838" s="51">
        <v>15</v>
      </c>
      <c r="C838">
        <v>15</v>
      </c>
      <c r="D838">
        <v>15</v>
      </c>
      <c r="E838">
        <v>15</v>
      </c>
      <c r="F838" s="21">
        <v>-3.2300000000000002E-2</v>
      </c>
    </row>
    <row r="839" spans="1:6" x14ac:dyDescent="0.35">
      <c r="A839" s="22" t="s">
        <v>1473</v>
      </c>
      <c r="B839" s="51">
        <v>15.5</v>
      </c>
      <c r="C839">
        <v>15.5</v>
      </c>
      <c r="D839">
        <v>15.5</v>
      </c>
      <c r="E839">
        <v>15.5</v>
      </c>
      <c r="F839" s="21">
        <v>6.9000000000000006E-2</v>
      </c>
    </row>
    <row r="840" spans="1:6" x14ac:dyDescent="0.35">
      <c r="A840" s="22" t="s">
        <v>1475</v>
      </c>
      <c r="B840" s="51">
        <v>14.5</v>
      </c>
      <c r="C840">
        <v>14.5</v>
      </c>
      <c r="D840">
        <v>14.5</v>
      </c>
      <c r="E840">
        <v>14.5</v>
      </c>
      <c r="F840" s="21">
        <v>-0.152</v>
      </c>
    </row>
    <row r="841" spans="1:6" x14ac:dyDescent="0.35">
      <c r="A841" s="22">
        <v>39606</v>
      </c>
      <c r="B841" s="51">
        <v>17.100000000000001</v>
      </c>
      <c r="C841">
        <v>17.100000000000001</v>
      </c>
      <c r="D841">
        <v>17.100000000000001</v>
      </c>
      <c r="E841">
        <v>17.100000000000001</v>
      </c>
      <c r="F841" s="21">
        <v>0</v>
      </c>
    </row>
    <row r="842" spans="1:6" x14ac:dyDescent="0.35">
      <c r="A842" s="22" t="s">
        <v>1478</v>
      </c>
      <c r="B842" s="51">
        <v>17.100000000000001</v>
      </c>
      <c r="C842">
        <v>17.100000000000001</v>
      </c>
      <c r="D842">
        <v>17.100000000000001</v>
      </c>
      <c r="E842">
        <v>17.100000000000001</v>
      </c>
      <c r="F842" s="21">
        <v>0.36799999999999999</v>
      </c>
    </row>
    <row r="843" spans="1:6" x14ac:dyDescent="0.35">
      <c r="A843" s="22" t="s">
        <v>1480</v>
      </c>
      <c r="B843" s="51">
        <v>12.5</v>
      </c>
      <c r="C843">
        <v>12.5</v>
      </c>
      <c r="D843">
        <v>12.5</v>
      </c>
      <c r="E843">
        <v>12.5</v>
      </c>
      <c r="F843" s="21">
        <v>4.1700000000000001E-2</v>
      </c>
    </row>
    <row r="844" spans="1:6" x14ac:dyDescent="0.35">
      <c r="A844" s="22" t="s">
        <v>1482</v>
      </c>
      <c r="B844" s="51">
        <v>12</v>
      </c>
      <c r="C844">
        <v>12</v>
      </c>
      <c r="D844">
        <v>12</v>
      </c>
      <c r="E844">
        <v>12</v>
      </c>
      <c r="F844" s="21">
        <v>0.29449999999999998</v>
      </c>
    </row>
    <row r="845" spans="1:6" x14ac:dyDescent="0.35">
      <c r="A845" s="22">
        <v>39543</v>
      </c>
      <c r="B845" s="51">
        <v>9.27</v>
      </c>
      <c r="C845">
        <v>9.27</v>
      </c>
      <c r="D845">
        <v>9.27</v>
      </c>
      <c r="E845">
        <v>9.27</v>
      </c>
      <c r="F845" s="21">
        <v>-1.1000000000000001E-3</v>
      </c>
    </row>
    <row r="846" spans="1:6" x14ac:dyDescent="0.35">
      <c r="A846" s="22" t="s">
        <v>1492</v>
      </c>
      <c r="B846" s="51">
        <v>9.2799999999999994</v>
      </c>
      <c r="C846">
        <v>9.2799999999999994</v>
      </c>
      <c r="D846">
        <v>9.2799999999999994</v>
      </c>
      <c r="E846">
        <v>9.2799999999999994</v>
      </c>
      <c r="F846" s="21">
        <v>9.7999999999999997E-3</v>
      </c>
    </row>
    <row r="847" spans="1:6" x14ac:dyDescent="0.35">
      <c r="A847" s="22" t="s">
        <v>1494</v>
      </c>
      <c r="B847" s="51">
        <v>9.19</v>
      </c>
      <c r="C847">
        <v>9.19</v>
      </c>
      <c r="D847">
        <v>9.19</v>
      </c>
      <c r="E847">
        <v>9.19</v>
      </c>
      <c r="F847" s="21">
        <v>1.21E-2</v>
      </c>
    </row>
    <row r="848" spans="1:6" x14ac:dyDescent="0.35">
      <c r="A848" s="22" t="s">
        <v>1496</v>
      </c>
      <c r="B848" s="51">
        <v>9.08</v>
      </c>
      <c r="C848">
        <v>9.08</v>
      </c>
      <c r="D848">
        <v>9.08</v>
      </c>
      <c r="E848">
        <v>9.08</v>
      </c>
      <c r="F848" s="21">
        <v>0</v>
      </c>
    </row>
    <row r="849" spans="1:6" x14ac:dyDescent="0.35">
      <c r="A849" s="22">
        <v>39603</v>
      </c>
      <c r="B849" s="51">
        <v>9.08</v>
      </c>
      <c r="C849">
        <v>9.08</v>
      </c>
      <c r="D849">
        <v>9.08</v>
      </c>
      <c r="E849">
        <v>9.08</v>
      </c>
      <c r="F849" s="21">
        <v>0</v>
      </c>
    </row>
    <row r="850" spans="1:6" x14ac:dyDescent="0.35">
      <c r="A850" s="22" t="s">
        <v>1501</v>
      </c>
      <c r="B850" s="51">
        <v>9.08</v>
      </c>
      <c r="C850">
        <v>9.08</v>
      </c>
      <c r="D850">
        <v>9.08</v>
      </c>
      <c r="E850">
        <v>9.08</v>
      </c>
      <c r="F850" s="21">
        <v>1.1000000000000001E-3</v>
      </c>
    </row>
    <row r="851" spans="1:6" x14ac:dyDescent="0.35">
      <c r="A851" s="22" t="s">
        <v>1503</v>
      </c>
      <c r="B851" s="51">
        <v>9.07</v>
      </c>
      <c r="C851">
        <v>9.07</v>
      </c>
      <c r="D851">
        <v>9.07</v>
      </c>
      <c r="E851">
        <v>9.07</v>
      </c>
      <c r="F851" s="21">
        <v>0</v>
      </c>
    </row>
    <row r="852" spans="1:6" x14ac:dyDescent="0.35">
      <c r="A852" s="22">
        <v>39694</v>
      </c>
      <c r="B852" s="51">
        <v>9.07</v>
      </c>
      <c r="C852">
        <v>9.07</v>
      </c>
      <c r="D852">
        <v>9.07</v>
      </c>
      <c r="E852">
        <v>9.07</v>
      </c>
      <c r="F852" s="21">
        <v>1.5699999999999999E-2</v>
      </c>
    </row>
    <row r="853" spans="1:6" x14ac:dyDescent="0.35">
      <c r="A853" s="22">
        <v>39481</v>
      </c>
      <c r="B853" s="51">
        <v>8.93</v>
      </c>
      <c r="C853">
        <v>8.93</v>
      </c>
      <c r="D853">
        <v>8.93</v>
      </c>
      <c r="E853">
        <v>8.93</v>
      </c>
      <c r="F853" s="21">
        <v>4.4999999999999997E-3</v>
      </c>
    </row>
    <row r="854" spans="1:6" x14ac:dyDescent="0.35">
      <c r="A854" s="22" t="s">
        <v>1507</v>
      </c>
      <c r="B854" s="51">
        <v>8.89</v>
      </c>
      <c r="C854">
        <v>8.89</v>
      </c>
      <c r="D854">
        <v>8.89</v>
      </c>
      <c r="E854">
        <v>8.89</v>
      </c>
      <c r="F854" s="21">
        <v>0</v>
      </c>
    </row>
    <row r="855" spans="1:6" x14ac:dyDescent="0.35">
      <c r="A855" s="22" t="s">
        <v>1509</v>
      </c>
      <c r="B855" s="51">
        <v>8.89</v>
      </c>
      <c r="C855">
        <v>8.89</v>
      </c>
      <c r="D855">
        <v>8.89</v>
      </c>
      <c r="E855">
        <v>8.89</v>
      </c>
      <c r="F855" s="21">
        <v>0</v>
      </c>
    </row>
    <row r="856" spans="1:6" x14ac:dyDescent="0.35">
      <c r="A856" s="22">
        <v>39723</v>
      </c>
      <c r="B856" s="51">
        <v>8.89</v>
      </c>
      <c r="C856">
        <v>8.89</v>
      </c>
      <c r="D856">
        <v>8.89</v>
      </c>
      <c r="E856">
        <v>8.89</v>
      </c>
      <c r="F856" s="21">
        <v>1.72E-2</v>
      </c>
    </row>
    <row r="857" spans="1:6" x14ac:dyDescent="0.35">
      <c r="A857" s="22" t="s">
        <v>1512</v>
      </c>
      <c r="B857" s="51">
        <v>8.74</v>
      </c>
      <c r="C857">
        <v>8.74</v>
      </c>
      <c r="D857">
        <v>8.74</v>
      </c>
      <c r="E857">
        <v>8.74</v>
      </c>
      <c r="F857" s="21">
        <v>5.7999999999999996E-3</v>
      </c>
    </row>
    <row r="858" spans="1:6" x14ac:dyDescent="0.35">
      <c r="A858" s="22" t="s">
        <v>1516</v>
      </c>
      <c r="B858" s="51">
        <v>8.69</v>
      </c>
      <c r="C858">
        <v>8.69</v>
      </c>
      <c r="D858">
        <v>8.69</v>
      </c>
      <c r="E858">
        <v>8.69</v>
      </c>
      <c r="F858" s="21">
        <v>-6.8999999999999999E-3</v>
      </c>
    </row>
    <row r="859" spans="1:6" x14ac:dyDescent="0.35">
      <c r="A859" s="22" t="s">
        <v>1521</v>
      </c>
      <c r="B859" s="51">
        <v>8.75</v>
      </c>
      <c r="C859">
        <v>8.75</v>
      </c>
      <c r="D859">
        <v>8.75</v>
      </c>
      <c r="E859">
        <v>8.75</v>
      </c>
      <c r="F859" s="21">
        <v>0</v>
      </c>
    </row>
    <row r="860" spans="1:6" x14ac:dyDescent="0.35">
      <c r="A860" s="22" t="s">
        <v>1523</v>
      </c>
      <c r="B860" s="51">
        <v>8.75</v>
      </c>
      <c r="C860">
        <v>8.75</v>
      </c>
      <c r="D860">
        <v>8.75</v>
      </c>
      <c r="E860">
        <v>8.75</v>
      </c>
      <c r="F860" s="21">
        <v>-5.7000000000000002E-3</v>
      </c>
    </row>
    <row r="861" spans="1:6" x14ac:dyDescent="0.35">
      <c r="A861" s="22">
        <v>39337</v>
      </c>
      <c r="B861" s="51">
        <v>8.8000000000000007</v>
      </c>
      <c r="C861">
        <v>8.8000000000000007</v>
      </c>
      <c r="D861">
        <v>8.8000000000000007</v>
      </c>
      <c r="E861">
        <v>8.8000000000000007</v>
      </c>
      <c r="F861" s="21">
        <v>5.7000000000000002E-3</v>
      </c>
    </row>
    <row r="862" spans="1:6" x14ac:dyDescent="0.35">
      <c r="A862" s="22">
        <v>39125</v>
      </c>
      <c r="B862" s="51">
        <v>8.75</v>
      </c>
      <c r="C862">
        <v>8.75</v>
      </c>
      <c r="D862">
        <v>8.75</v>
      </c>
      <c r="E862">
        <v>8.75</v>
      </c>
      <c r="F862" s="21">
        <v>5.7000000000000002E-3</v>
      </c>
    </row>
    <row r="863" spans="1:6" x14ac:dyDescent="0.35">
      <c r="A863" s="22" t="s">
        <v>1544</v>
      </c>
      <c r="B863" s="51">
        <v>8.6999999999999993</v>
      </c>
      <c r="C863">
        <v>8.6999999999999993</v>
      </c>
      <c r="D863">
        <v>8.6999999999999993</v>
      </c>
      <c r="E863">
        <v>8.6999999999999993</v>
      </c>
      <c r="F863" s="21">
        <v>5.7999999999999996E-3</v>
      </c>
    </row>
    <row r="864" spans="1:6" x14ac:dyDescent="0.35">
      <c r="A864" s="22">
        <v>39334</v>
      </c>
      <c r="B864" s="51">
        <v>8.65</v>
      </c>
      <c r="C864">
        <v>8.65</v>
      </c>
      <c r="D864">
        <v>8.65</v>
      </c>
      <c r="E864">
        <v>8.65</v>
      </c>
      <c r="F864" s="21">
        <v>-5.7000000000000002E-3</v>
      </c>
    </row>
    <row r="865" spans="1:6" x14ac:dyDescent="0.35">
      <c r="A865" s="22">
        <v>39122</v>
      </c>
      <c r="B865" s="51">
        <v>8.6999999999999993</v>
      </c>
      <c r="C865">
        <v>8.6999999999999993</v>
      </c>
      <c r="D865">
        <v>8.6999999999999993</v>
      </c>
      <c r="E865">
        <v>8.6999999999999993</v>
      </c>
      <c r="F865" s="21">
        <v>5.7999999999999996E-3</v>
      </c>
    </row>
    <row r="866" spans="1:6" x14ac:dyDescent="0.35">
      <c r="A866" s="22" t="s">
        <v>1550</v>
      </c>
      <c r="B866" s="51">
        <v>8.65</v>
      </c>
      <c r="C866">
        <v>8.65</v>
      </c>
      <c r="D866">
        <v>8.65</v>
      </c>
      <c r="E866">
        <v>8.65</v>
      </c>
      <c r="F866" s="21">
        <v>5.7999999999999996E-3</v>
      </c>
    </row>
    <row r="867" spans="1:6" x14ac:dyDescent="0.35">
      <c r="A867" s="22">
        <v>39424</v>
      </c>
      <c r="B867" s="51">
        <v>8.6</v>
      </c>
      <c r="C867">
        <v>8.6</v>
      </c>
      <c r="D867">
        <v>8.6</v>
      </c>
      <c r="E867">
        <v>8.6</v>
      </c>
      <c r="F867" s="21">
        <v>5.7999999999999996E-3</v>
      </c>
    </row>
    <row r="868" spans="1:6" x14ac:dyDescent="0.35">
      <c r="A868" s="22" t="s">
        <v>1554</v>
      </c>
      <c r="B868" s="51">
        <v>8.5500000000000007</v>
      </c>
      <c r="C868">
        <v>8.5500000000000007</v>
      </c>
      <c r="D868">
        <v>8.5500000000000007</v>
      </c>
      <c r="E868">
        <v>8.5500000000000007</v>
      </c>
      <c r="F868" s="21">
        <v>0</v>
      </c>
    </row>
    <row r="869" spans="1:6" x14ac:dyDescent="0.35">
      <c r="A869" s="22" t="s">
        <v>1557</v>
      </c>
      <c r="B869" s="51">
        <v>8.5500000000000007</v>
      </c>
      <c r="C869">
        <v>8.5500000000000007</v>
      </c>
      <c r="D869">
        <v>8.5500000000000007</v>
      </c>
      <c r="E869">
        <v>8.5500000000000007</v>
      </c>
      <c r="F869" s="21">
        <v>-4.48E-2</v>
      </c>
    </row>
    <row r="870" spans="1:6" x14ac:dyDescent="0.35">
      <c r="A870" s="22">
        <v>39301</v>
      </c>
      <c r="B870" s="51">
        <v>8.9510000000000005</v>
      </c>
      <c r="C870">
        <v>8.9510000000000005</v>
      </c>
      <c r="D870">
        <v>8.9510000000000005</v>
      </c>
      <c r="E870">
        <v>8.9510000000000005</v>
      </c>
      <c r="F870" s="21">
        <v>0.1119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A578-15A4-4E85-9429-F612A87642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1F6B-18C9-4DCF-BE46-80208BF30248}">
  <sheetPr>
    <tabColor theme="5"/>
  </sheetPr>
  <dimension ref="B2:J21"/>
  <sheetViews>
    <sheetView tabSelected="1" topLeftCell="A7" workbookViewId="0">
      <selection activeCell="E12" sqref="E12"/>
    </sheetView>
  </sheetViews>
  <sheetFormatPr defaultRowHeight="14.5" x14ac:dyDescent="0.35"/>
  <cols>
    <col min="2" max="2" width="33.6328125" bestFit="1" customWidth="1"/>
    <col min="3" max="3" width="27.54296875" customWidth="1"/>
    <col min="4" max="11" width="20.36328125" customWidth="1"/>
  </cols>
  <sheetData>
    <row r="2" spans="2:10" x14ac:dyDescent="0.35">
      <c r="B2" s="27" t="s">
        <v>1957</v>
      </c>
      <c r="C2" s="85" t="s">
        <v>1956</v>
      </c>
    </row>
    <row r="3" spans="2:10" x14ac:dyDescent="0.35">
      <c r="B3" s="86" t="s">
        <v>1870</v>
      </c>
      <c r="C3" s="27" t="s">
        <v>1862</v>
      </c>
      <c r="D3" s="27"/>
      <c r="E3" s="27"/>
      <c r="F3" s="27"/>
      <c r="G3" s="27" t="s">
        <v>1866</v>
      </c>
      <c r="H3" s="27"/>
      <c r="I3" s="27"/>
      <c r="J3" s="27"/>
    </row>
    <row r="4" spans="2:10" x14ac:dyDescent="0.35">
      <c r="B4" s="86" t="s">
        <v>1842</v>
      </c>
      <c r="C4" s="27">
        <v>2020</v>
      </c>
      <c r="D4" s="27">
        <v>2021</v>
      </c>
      <c r="E4" s="27">
        <v>2022</v>
      </c>
      <c r="F4" s="27">
        <v>2023</v>
      </c>
      <c r="G4" s="27" t="s">
        <v>1863</v>
      </c>
      <c r="H4" s="27" t="s">
        <v>1864</v>
      </c>
      <c r="I4" s="27" t="s">
        <v>1865</v>
      </c>
      <c r="J4" s="27" t="s">
        <v>1935</v>
      </c>
    </row>
    <row r="5" spans="2:10" x14ac:dyDescent="0.35">
      <c r="B5" s="86" t="s">
        <v>1870</v>
      </c>
      <c r="C5" s="87"/>
      <c r="D5" s="90">
        <f>FCFF!D16</f>
        <v>-594896235679</v>
      </c>
      <c r="E5" s="90">
        <f>FCFF!E16</f>
        <v>568238148819</v>
      </c>
      <c r="F5" s="90">
        <f>FCFF!F16</f>
        <v>507374426793</v>
      </c>
      <c r="G5" s="90">
        <f>FCFF!G16</f>
        <v>4672486180866.4844</v>
      </c>
      <c r="H5" s="90">
        <f>FCFF!H16</f>
        <v>717992235719.31311</v>
      </c>
      <c r="I5" s="90">
        <f>FCFF!I16</f>
        <v>871913881617.15869</v>
      </c>
      <c r="J5" s="91">
        <v>2E-3</v>
      </c>
    </row>
    <row r="6" spans="2:10" x14ac:dyDescent="0.35">
      <c r="B6" s="86" t="s">
        <v>1917</v>
      </c>
      <c r="C6" s="87"/>
      <c r="D6" s="87"/>
      <c r="E6" s="87"/>
      <c r="F6" s="87"/>
      <c r="G6" s="87">
        <v>1</v>
      </c>
      <c r="H6" s="87">
        <v>2</v>
      </c>
      <c r="I6" s="87">
        <v>3</v>
      </c>
      <c r="J6" s="87"/>
    </row>
    <row r="7" spans="2:10" x14ac:dyDescent="0.35">
      <c r="B7" s="86" t="s">
        <v>1918</v>
      </c>
      <c r="C7" s="87"/>
      <c r="D7" s="87"/>
      <c r="E7" s="87"/>
      <c r="F7" s="87"/>
      <c r="G7" s="87"/>
      <c r="H7" s="87"/>
      <c r="I7" s="87"/>
      <c r="J7" s="87"/>
    </row>
    <row r="8" spans="2:10" x14ac:dyDescent="0.35">
      <c r="B8" s="30"/>
      <c r="C8" s="30"/>
      <c r="D8" s="30"/>
    </row>
    <row r="9" spans="2:10" x14ac:dyDescent="0.35">
      <c r="B9" s="86" t="s">
        <v>1919</v>
      </c>
      <c r="C9" s="87"/>
      <c r="D9" s="78" t="s">
        <v>1931</v>
      </c>
      <c r="E9" s="78"/>
      <c r="F9" s="78"/>
      <c r="G9" s="78"/>
      <c r="H9" s="78"/>
      <c r="I9" s="78"/>
      <c r="J9" s="78"/>
    </row>
    <row r="10" spans="2:10" x14ac:dyDescent="0.35">
      <c r="B10" s="86" t="s">
        <v>1920</v>
      </c>
      <c r="C10" s="88">
        <f>SUM(G5:I5)</f>
        <v>6262392298202.957</v>
      </c>
      <c r="D10" s="30"/>
      <c r="E10" s="30"/>
      <c r="F10" s="30"/>
      <c r="G10" s="30"/>
      <c r="H10" s="30"/>
      <c r="I10" s="30"/>
      <c r="J10" s="30"/>
    </row>
    <row r="11" spans="2:10" x14ac:dyDescent="0.35">
      <c r="B11" s="86" t="s">
        <v>1921</v>
      </c>
      <c r="C11" s="89">
        <v>3.5000000000000003E-2</v>
      </c>
      <c r="D11" s="60" t="s">
        <v>1932</v>
      </c>
      <c r="E11" s="30"/>
      <c r="F11" s="30"/>
      <c r="G11" s="30"/>
      <c r="H11" s="30"/>
      <c r="I11" s="30"/>
      <c r="J11" s="30"/>
    </row>
    <row r="12" spans="2:10" x14ac:dyDescent="0.35">
      <c r="B12" s="86" t="s">
        <v>1910</v>
      </c>
      <c r="C12" s="89">
        <f>WACC!C18</f>
        <v>0.11401336033250734</v>
      </c>
      <c r="D12" s="67" t="s">
        <v>1933</v>
      </c>
      <c r="E12" s="61"/>
      <c r="F12" s="78" t="s">
        <v>1934</v>
      </c>
      <c r="G12" s="78"/>
      <c r="H12" s="78"/>
      <c r="I12" s="78"/>
      <c r="J12" s="78"/>
    </row>
    <row r="13" spans="2:10" x14ac:dyDescent="0.35">
      <c r="B13" s="86" t="s">
        <v>1922</v>
      </c>
      <c r="C13" s="88">
        <f>I5*(1+C11)/(C12-C11)</f>
        <v>11421243998180.963</v>
      </c>
      <c r="D13" s="30"/>
      <c r="E13" s="62"/>
      <c r="F13" s="63">
        <f>G13-$J$5</f>
        <v>3.3000000000000002E-2</v>
      </c>
      <c r="G13" s="63">
        <f>H13-$J$5</f>
        <v>3.5000000000000003E-2</v>
      </c>
      <c r="H13" s="63">
        <f>$C$11+$J$5</f>
        <v>3.7000000000000005E-2</v>
      </c>
      <c r="I13" s="63">
        <f>H13+$J$5</f>
        <v>3.9000000000000007E-2</v>
      </c>
      <c r="J13" s="63">
        <f>I13+$J$5</f>
        <v>4.1000000000000009E-2</v>
      </c>
    </row>
    <row r="14" spans="2:10" x14ac:dyDescent="0.35">
      <c r="B14" s="86" t="s">
        <v>1923</v>
      </c>
      <c r="C14" s="88">
        <f>C13/((1+C12)^I6)</f>
        <v>8261182409878.4844</v>
      </c>
      <c r="D14" s="79" t="s">
        <v>1910</v>
      </c>
      <c r="E14" s="64">
        <f>E15-$J$5</f>
        <v>0.11001336033250733</v>
      </c>
      <c r="F14" s="65"/>
      <c r="G14" s="65"/>
      <c r="H14" s="65"/>
      <c r="I14" s="65"/>
      <c r="J14" s="65"/>
    </row>
    <row r="15" spans="2:10" x14ac:dyDescent="0.35">
      <c r="B15" s="86" t="s">
        <v>1924</v>
      </c>
      <c r="C15" s="88">
        <f>C14+C10</f>
        <v>14523574708081.441</v>
      </c>
      <c r="D15" s="80"/>
      <c r="E15" s="64">
        <f>E16-$J$5</f>
        <v>0.11201336033250733</v>
      </c>
      <c r="F15" s="65"/>
      <c r="G15" s="66"/>
      <c r="H15" s="66"/>
      <c r="I15" s="66"/>
      <c r="J15" s="65"/>
    </row>
    <row r="16" spans="2:10" x14ac:dyDescent="0.35">
      <c r="B16" s="86" t="s">
        <v>1925</v>
      </c>
      <c r="C16" s="88">
        <f>balance_sheet_annual_filter!D6</f>
        <v>4005735990</v>
      </c>
      <c r="D16" s="80"/>
      <c r="E16" s="64">
        <f>C12</f>
        <v>0.11401336033250734</v>
      </c>
      <c r="F16" s="65"/>
      <c r="G16" s="66"/>
      <c r="H16" s="68"/>
      <c r="I16" s="66"/>
      <c r="J16" s="65"/>
    </row>
    <row r="17" spans="2:10" x14ac:dyDescent="0.35">
      <c r="B17" s="86" t="s">
        <v>1926</v>
      </c>
      <c r="C17" s="88">
        <f>balance_sheet_annual_filter!D70</f>
        <v>3070762127471</v>
      </c>
      <c r="D17" s="80"/>
      <c r="E17" s="64">
        <f>E16+$J$5</f>
        <v>0.11601336033250734</v>
      </c>
      <c r="F17" s="65"/>
      <c r="G17" s="66"/>
      <c r="H17" s="66"/>
      <c r="I17" s="66"/>
      <c r="J17" s="65"/>
    </row>
    <row r="18" spans="2:10" x14ac:dyDescent="0.35">
      <c r="B18" s="86" t="s">
        <v>1927</v>
      </c>
      <c r="C18" s="88"/>
      <c r="D18" s="81"/>
      <c r="E18" s="64">
        <f>E17+$J$5</f>
        <v>0.11801336033250734</v>
      </c>
      <c r="F18" s="65"/>
      <c r="G18" s="65"/>
      <c r="H18" s="65"/>
      <c r="I18" s="65"/>
      <c r="J18" s="65"/>
    </row>
    <row r="19" spans="2:10" x14ac:dyDescent="0.35">
      <c r="B19" s="86" t="s">
        <v>1928</v>
      </c>
      <c r="C19" s="88">
        <f>C15+C16-C17-C18</f>
        <v>11456818316600.441</v>
      </c>
      <c r="D19" s="30"/>
      <c r="E19" s="30"/>
      <c r="F19" s="30"/>
      <c r="G19" s="30"/>
      <c r="H19" s="30"/>
      <c r="I19" s="30"/>
      <c r="J19" s="30"/>
    </row>
    <row r="20" spans="2:10" x14ac:dyDescent="0.35">
      <c r="B20" s="86" t="s">
        <v>1929</v>
      </c>
      <c r="C20" s="88">
        <v>170057593</v>
      </c>
      <c r="D20" s="30"/>
      <c r="E20" s="30"/>
      <c r="F20" s="30"/>
      <c r="G20" s="30"/>
      <c r="H20" s="30"/>
      <c r="I20" s="30"/>
      <c r="J20" s="30"/>
    </row>
    <row r="21" spans="2:10" x14ac:dyDescent="0.35">
      <c r="B21" s="86" t="s">
        <v>1930</v>
      </c>
      <c r="C21" s="88">
        <f>C19/10/(C20)</f>
        <v>6737.0225077809037</v>
      </c>
      <c r="D21" s="30"/>
      <c r="E21" s="30"/>
      <c r="F21" s="30"/>
      <c r="G21" s="30"/>
      <c r="H21" s="30"/>
      <c r="I21" s="30"/>
      <c r="J21" s="3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7D5AD9-9298-488B-84FE-9D189220329D}">
          <x14:formula1>
            <xm:f>'Data Validattion'!$C$3:$C$12</xm:f>
          </x14:formula1>
          <xm:sqref>C2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694F-7724-46D7-B02C-1A8426CDF100}">
  <dimension ref="B1:Z33"/>
  <sheetViews>
    <sheetView workbookViewId="0">
      <pane xSplit="2" topLeftCell="C1" activePane="topRight" state="frozen"/>
      <selection pane="topRight" activeCell="W7" sqref="W7"/>
    </sheetView>
  </sheetViews>
  <sheetFormatPr defaultRowHeight="14.5" x14ac:dyDescent="0.35"/>
  <cols>
    <col min="2" max="2" width="36.36328125" customWidth="1"/>
    <col min="3" max="3" width="36.08984375" bestFit="1" customWidth="1"/>
    <col min="4" max="6" width="19.7265625" bestFit="1" customWidth="1"/>
    <col min="7" max="9" width="19.36328125" bestFit="1" customWidth="1"/>
    <col min="10" max="10" width="8.7265625" style="24"/>
    <col min="11" max="11" width="34.90625" bestFit="1" customWidth="1"/>
    <col min="12" max="22" width="19.36328125" bestFit="1" customWidth="1"/>
    <col min="23" max="26" width="20.36328125" bestFit="1" customWidth="1"/>
  </cols>
  <sheetData>
    <row r="1" spans="2:26" x14ac:dyDescent="0.35">
      <c r="C1" s="30"/>
      <c r="D1" s="30"/>
      <c r="E1" s="30"/>
      <c r="F1" s="30"/>
      <c r="G1" s="30"/>
      <c r="H1" s="30"/>
      <c r="I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2:26" ht="18.5" x14ac:dyDescent="0.45">
      <c r="C2" s="29" t="s">
        <v>1861</v>
      </c>
      <c r="D2" s="29"/>
      <c r="E2" s="29"/>
      <c r="F2" s="29"/>
      <c r="G2" s="30"/>
      <c r="H2" s="30"/>
      <c r="I2" s="30"/>
      <c r="K2" s="29" t="s">
        <v>1869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2:26" x14ac:dyDescent="0.35">
      <c r="B3" s="27"/>
      <c r="C3" s="27"/>
      <c r="D3" s="27" t="s">
        <v>1862</v>
      </c>
      <c r="E3" s="27"/>
      <c r="F3" s="27"/>
      <c r="G3" s="27"/>
      <c r="H3" s="27" t="s">
        <v>1866</v>
      </c>
      <c r="I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 t="s">
        <v>1866</v>
      </c>
      <c r="Z3" s="27"/>
    </row>
    <row r="4" spans="2:26" x14ac:dyDescent="0.35">
      <c r="B4" s="27" t="s">
        <v>1842</v>
      </c>
      <c r="C4" s="28">
        <v>2020</v>
      </c>
      <c r="D4" s="28">
        <v>2021</v>
      </c>
      <c r="E4" s="28">
        <v>2022</v>
      </c>
      <c r="F4" s="28">
        <v>2023</v>
      </c>
      <c r="G4" s="28" t="s">
        <v>1863</v>
      </c>
      <c r="H4" s="28" t="s">
        <v>1864</v>
      </c>
      <c r="I4" s="28" t="s">
        <v>1865</v>
      </c>
      <c r="K4" s="27" t="s">
        <v>140</v>
      </c>
      <c r="L4" s="27" t="s">
        <v>141</v>
      </c>
      <c r="M4" s="27" t="s">
        <v>142</v>
      </c>
      <c r="N4" s="27" t="s">
        <v>143</v>
      </c>
      <c r="O4" s="27" t="s">
        <v>144</v>
      </c>
      <c r="P4" s="27" t="s">
        <v>145</v>
      </c>
      <c r="Q4" s="27" t="s">
        <v>146</v>
      </c>
      <c r="R4" s="27" t="s">
        <v>147</v>
      </c>
      <c r="S4" s="27" t="s">
        <v>148</v>
      </c>
      <c r="T4" s="27" t="s">
        <v>149</v>
      </c>
      <c r="U4" s="27" t="s">
        <v>150</v>
      </c>
      <c r="V4" s="27" t="s">
        <v>151</v>
      </c>
      <c r="W4" s="27" t="s">
        <v>199</v>
      </c>
      <c r="X4" s="27" t="s">
        <v>200</v>
      </c>
      <c r="Y4" s="27" t="s">
        <v>201</v>
      </c>
      <c r="Z4" s="27" t="s">
        <v>202</v>
      </c>
    </row>
    <row r="5" spans="2:26" x14ac:dyDescent="0.35">
      <c r="B5" s="35" t="s">
        <v>1843</v>
      </c>
      <c r="C5" s="25">
        <f>balance_sheet_annual_filter!D13</f>
        <v>91510299816</v>
      </c>
      <c r="D5" s="25">
        <f>balance_sheet_annual_filter!E13</f>
        <v>117524036190</v>
      </c>
      <c r="E5" s="25">
        <f>balance_sheet_annual_filter!F13</f>
        <v>118863070794</v>
      </c>
      <c r="F5" s="25">
        <f>balance_sheet_annual_filter!G13</f>
        <v>192335164438</v>
      </c>
      <c r="G5" s="32">
        <f>G24/365*G21*2-F5</f>
        <v>77708314457.86441</v>
      </c>
      <c r="H5" s="32">
        <f t="shared" ref="H5:I5" si="0">H24/365*H21*2-G5</f>
        <v>230939627649.46109</v>
      </c>
      <c r="I5" s="32">
        <f t="shared" si="0"/>
        <v>122423938089.04416</v>
      </c>
      <c r="K5" s="25">
        <f>balance_sheet_quarter_filter!D13</f>
        <v>219252157562</v>
      </c>
      <c r="L5" s="25">
        <f>balance_sheet_quarter_filter!E13</f>
        <v>95706837884</v>
      </c>
      <c r="M5" s="25">
        <f>balance_sheet_quarter_filter!F13</f>
        <v>91028640390</v>
      </c>
      <c r="N5" s="25">
        <f>balance_sheet_quarter_filter!G13</f>
        <v>130368174078</v>
      </c>
      <c r="O5" s="25">
        <f>balance_sheet_quarter_filter!H13</f>
        <v>126316429796</v>
      </c>
      <c r="P5" s="25">
        <f>balance_sheet_quarter_filter!I13</f>
        <v>119052979825</v>
      </c>
      <c r="Q5" s="25">
        <f>balance_sheet_quarter_filter!J13</f>
        <v>180760993125</v>
      </c>
      <c r="R5" s="25">
        <f>balance_sheet_quarter_filter!K13</f>
        <v>159533274512</v>
      </c>
      <c r="S5" s="25">
        <f>balance_sheet_quarter_filter!L13</f>
        <v>150711074906</v>
      </c>
      <c r="T5" s="25">
        <f>balance_sheet_quarter_filter!M13</f>
        <v>117771976181</v>
      </c>
      <c r="U5" s="25">
        <f>balance_sheet_quarter_filter!N13</f>
        <v>171287758217</v>
      </c>
      <c r="V5" s="25">
        <f>balance_sheet_quarter_filter!O13</f>
        <v>169407272743</v>
      </c>
      <c r="W5" s="25">
        <f>balance_sheet_quarter_filter!P13</f>
        <v>176825022061</v>
      </c>
      <c r="X5" s="32">
        <f>X24/365*X21*2-W5</f>
        <v>-106443489357.3739</v>
      </c>
      <c r="Y5" s="32">
        <f t="shared" ref="Y5:Z5" si="1">Y24/365*Y21*2-X5</f>
        <v>177353873296.58081</v>
      </c>
      <c r="Z5" s="32">
        <f t="shared" si="1"/>
        <v>-105910664300.55571</v>
      </c>
    </row>
    <row r="6" spans="2:26" x14ac:dyDescent="0.35">
      <c r="B6" s="35" t="s">
        <v>1844</v>
      </c>
      <c r="C6" s="26">
        <f>balance_sheet_annual_filter!D22</f>
        <v>0</v>
      </c>
      <c r="D6" s="26">
        <f>balance_sheet_annual_filter!E22</f>
        <v>0</v>
      </c>
      <c r="E6" s="26">
        <f>balance_sheet_annual_filter!F22</f>
        <v>0</v>
      </c>
      <c r="F6" s="26">
        <f>balance_sheet_annual_filter!G22</f>
        <v>0</v>
      </c>
      <c r="G6" s="33">
        <f>G25/365*G22*2-F6</f>
        <v>0</v>
      </c>
      <c r="H6" s="33">
        <f t="shared" ref="H6:I6" si="2">H25/365*H22*2-G6</f>
        <v>0</v>
      </c>
      <c r="I6" s="33">
        <f t="shared" si="2"/>
        <v>0</v>
      </c>
      <c r="K6" s="25">
        <f>balance_sheet_quarter_filter!D22</f>
        <v>394547272</v>
      </c>
      <c r="L6" s="25">
        <f>balance_sheet_quarter_filter!E22</f>
        <v>0</v>
      </c>
      <c r="M6" s="25">
        <f>balance_sheet_quarter_filter!F22</f>
        <v>0</v>
      </c>
      <c r="N6" s="25">
        <f>balance_sheet_quarter_filter!G22</f>
        <v>0</v>
      </c>
      <c r="O6" s="25">
        <f>balance_sheet_quarter_filter!H22</f>
        <v>0</v>
      </c>
      <c r="P6" s="25">
        <f>balance_sheet_quarter_filter!I22</f>
        <v>0</v>
      </c>
      <c r="Q6" s="25">
        <f>balance_sheet_quarter_filter!J22</f>
        <v>0</v>
      </c>
      <c r="R6" s="25">
        <f>balance_sheet_quarter_filter!K22</f>
        <v>0</v>
      </c>
      <c r="S6" s="25">
        <f>balance_sheet_quarter_filter!L22</f>
        <v>0</v>
      </c>
      <c r="T6" s="25">
        <f>balance_sheet_quarter_filter!M22</f>
        <v>0</v>
      </c>
      <c r="U6" s="25">
        <f>balance_sheet_quarter_filter!N22</f>
        <v>0</v>
      </c>
      <c r="V6" s="25">
        <f>balance_sheet_quarter_filter!O22</f>
        <v>0</v>
      </c>
      <c r="W6" s="25">
        <f>balance_sheet_quarter_filter!P22</f>
        <v>0</v>
      </c>
      <c r="X6" s="32">
        <f>X25/365*X22*2-W6</f>
        <v>9724259.465616893</v>
      </c>
      <c r="Y6" s="32">
        <f t="shared" ref="Y6:Z6" si="3">Y25/365*Y22*2-X6</f>
        <v>73068.693390859291</v>
      </c>
      <c r="Z6" s="32">
        <f t="shared" si="3"/>
        <v>9797877.2017366868</v>
      </c>
    </row>
    <row r="7" spans="2:26" x14ac:dyDescent="0.35">
      <c r="B7" s="35" t="s">
        <v>1845</v>
      </c>
      <c r="C7" s="26">
        <f>balance_sheet_annual_filter!D9</f>
        <v>0</v>
      </c>
      <c r="D7" s="26">
        <f>balance_sheet_annual_filter!E9</f>
        <v>0</v>
      </c>
      <c r="E7" s="26">
        <f>balance_sheet_annual_filter!F9</f>
        <v>0</v>
      </c>
      <c r="F7" s="26">
        <f>balance_sheet_annual_filter!G9</f>
        <v>0</v>
      </c>
      <c r="G7" s="33">
        <f>G21*G29</f>
        <v>0</v>
      </c>
      <c r="H7" s="33">
        <f t="shared" ref="H7:I7" si="4">H21*H29</f>
        <v>0</v>
      </c>
      <c r="I7" s="33">
        <f t="shared" si="4"/>
        <v>0</v>
      </c>
      <c r="K7" s="25">
        <f>balance_sheet_quarter_filter!D9</f>
        <v>0</v>
      </c>
      <c r="L7" s="25">
        <f>balance_sheet_quarter_filter!E9</f>
        <v>0</v>
      </c>
      <c r="M7" s="25">
        <f>balance_sheet_quarter_filter!F9</f>
        <v>0</v>
      </c>
      <c r="N7" s="25">
        <f>balance_sheet_quarter_filter!G9</f>
        <v>0</v>
      </c>
      <c r="O7" s="25">
        <f>balance_sheet_quarter_filter!H9</f>
        <v>0</v>
      </c>
      <c r="P7" s="25">
        <f>balance_sheet_quarter_filter!I9</f>
        <v>0</v>
      </c>
      <c r="Q7" s="25">
        <f>balance_sheet_quarter_filter!J9</f>
        <v>0</v>
      </c>
      <c r="R7" s="25">
        <f>balance_sheet_quarter_filter!K9</f>
        <v>0</v>
      </c>
      <c r="S7" s="25">
        <f>balance_sheet_quarter_filter!L9</f>
        <v>0</v>
      </c>
      <c r="T7" s="25">
        <f>balance_sheet_quarter_filter!M9</f>
        <v>0</v>
      </c>
      <c r="U7" s="25">
        <f>balance_sheet_quarter_filter!N9</f>
        <v>0</v>
      </c>
      <c r="V7" s="25">
        <f>balance_sheet_quarter_filter!O9</f>
        <v>0</v>
      </c>
      <c r="W7" s="25">
        <f>balance_sheet_quarter_filter!P9</f>
        <v>0</v>
      </c>
      <c r="X7" s="32">
        <f>X29*X21</f>
        <v>0</v>
      </c>
      <c r="Y7" s="32">
        <f t="shared" ref="Y7:Z7" si="5">Y29*Y21</f>
        <v>0</v>
      </c>
      <c r="Z7" s="32">
        <f t="shared" si="5"/>
        <v>0</v>
      </c>
    </row>
    <row r="8" spans="2:26" x14ac:dyDescent="0.35">
      <c r="B8" s="35" t="s">
        <v>1846</v>
      </c>
      <c r="C8" s="26">
        <f>balance_sheet_annual_filter!D25</f>
        <v>4505159752</v>
      </c>
      <c r="D8" s="26">
        <f>balance_sheet_annual_filter!E25</f>
        <v>18265441367</v>
      </c>
      <c r="E8" s="26">
        <f>balance_sheet_annual_filter!F25</f>
        <v>1668391837</v>
      </c>
      <c r="F8" s="26">
        <f>balance_sheet_annual_filter!G25</f>
        <v>305710001</v>
      </c>
      <c r="G8" s="33">
        <f>G21*G30</f>
        <v>7336157930.8293104</v>
      </c>
      <c r="H8" s="33">
        <f t="shared" ref="H8:I8" si="6">H21*H30</f>
        <v>8384909191.5971394</v>
      </c>
      <c r="I8" s="33">
        <f t="shared" si="6"/>
        <v>9599679784.3740101</v>
      </c>
      <c r="K8" s="25">
        <f>balance_sheet_quarter_filter!D25</f>
        <v>53230240515</v>
      </c>
      <c r="L8" s="25">
        <f>balance_sheet_quarter_filter!E25</f>
        <v>4505159752</v>
      </c>
      <c r="M8" s="25">
        <f>balance_sheet_quarter_filter!F25</f>
        <v>120228567</v>
      </c>
      <c r="N8" s="25">
        <f>balance_sheet_quarter_filter!G25</f>
        <v>66994124</v>
      </c>
      <c r="O8" s="25">
        <f>balance_sheet_quarter_filter!H25</f>
        <v>422434257</v>
      </c>
      <c r="P8" s="25">
        <f>balance_sheet_quarter_filter!I25</f>
        <v>16935441367</v>
      </c>
      <c r="Q8" s="25">
        <f>balance_sheet_quarter_filter!J25</f>
        <v>8870787382</v>
      </c>
      <c r="R8" s="25">
        <f>balance_sheet_quarter_filter!K25</f>
        <v>4264421967</v>
      </c>
      <c r="S8" s="25">
        <f>balance_sheet_quarter_filter!L25</f>
        <v>6542062388</v>
      </c>
      <c r="T8" s="25">
        <f>balance_sheet_quarter_filter!M25</f>
        <v>2371760809</v>
      </c>
      <c r="U8" s="25">
        <f>balance_sheet_quarter_filter!N25</f>
        <v>773107993</v>
      </c>
      <c r="V8" s="25">
        <f>balance_sheet_quarter_filter!O25</f>
        <v>59775379</v>
      </c>
      <c r="W8" s="25">
        <f>balance_sheet_quarter_filter!P25</f>
        <v>412856967</v>
      </c>
      <c r="X8" s="32">
        <f>X30*X21</f>
        <v>8326265748.0360174</v>
      </c>
      <c r="Y8" s="32">
        <f t="shared" ref="Y8:Z8" si="7">Y30*Y21</f>
        <v>8388829829.2583675</v>
      </c>
      <c r="Z8" s="32">
        <f t="shared" si="7"/>
        <v>8451864020.8972769</v>
      </c>
    </row>
    <row r="9" spans="2:26" x14ac:dyDescent="0.35">
      <c r="B9" s="40" t="s">
        <v>1847</v>
      </c>
      <c r="C9" s="38">
        <f>SUM(C5:C8)</f>
        <v>96015459568</v>
      </c>
      <c r="D9" s="38">
        <f>SUM(D5:D8)</f>
        <v>135789477557</v>
      </c>
      <c r="E9" s="38">
        <f>SUM(E5:E8)</f>
        <v>120531462631</v>
      </c>
      <c r="F9" s="38">
        <f>SUM(F5:F8)</f>
        <v>192640874439</v>
      </c>
      <c r="G9" s="39">
        <f t="shared" ref="G9:I9" si="8">SUM(G5:G8)</f>
        <v>85044472388.693726</v>
      </c>
      <c r="H9" s="39">
        <f t="shared" si="8"/>
        <v>239324536841.05823</v>
      </c>
      <c r="I9" s="39">
        <f t="shared" si="8"/>
        <v>132023617873.41817</v>
      </c>
      <c r="K9" s="82">
        <f>SUM(K5:K8)</f>
        <v>272876945349</v>
      </c>
      <c r="L9" s="82">
        <f t="shared" ref="L9:W9" si="9">SUM(L5:L8)</f>
        <v>100211997636</v>
      </c>
      <c r="M9" s="82">
        <f t="shared" si="9"/>
        <v>91148868957</v>
      </c>
      <c r="N9" s="82">
        <f t="shared" si="9"/>
        <v>130435168202</v>
      </c>
      <c r="O9" s="82">
        <f t="shared" si="9"/>
        <v>126738864053</v>
      </c>
      <c r="P9" s="82">
        <f t="shared" si="9"/>
        <v>135988421192</v>
      </c>
      <c r="Q9" s="82">
        <f t="shared" si="9"/>
        <v>189631780507</v>
      </c>
      <c r="R9" s="82">
        <f t="shared" si="9"/>
        <v>163797696479</v>
      </c>
      <c r="S9" s="82">
        <f t="shared" si="9"/>
        <v>157253137294</v>
      </c>
      <c r="T9" s="82">
        <f t="shared" si="9"/>
        <v>120143736990</v>
      </c>
      <c r="U9" s="82">
        <f t="shared" si="9"/>
        <v>172060866210</v>
      </c>
      <c r="V9" s="82">
        <f t="shared" si="9"/>
        <v>169467048122</v>
      </c>
      <c r="W9" s="82">
        <f t="shared" si="9"/>
        <v>177237879028</v>
      </c>
      <c r="X9" s="83">
        <f>X5+X6+X7+X8</f>
        <v>-98107499349.872269</v>
      </c>
      <c r="Y9" s="83">
        <f t="shared" ref="Y9:Z9" si="10">Y5+Y6+Y7+Y8</f>
        <v>185742776194.53256</v>
      </c>
      <c r="Z9" s="83">
        <f t="shared" si="10"/>
        <v>-97449002402.456696</v>
      </c>
    </row>
    <row r="10" spans="2:26" x14ac:dyDescent="0.35">
      <c r="B10" s="35"/>
      <c r="C10" s="26"/>
      <c r="D10" s="26"/>
      <c r="E10" s="26"/>
      <c r="F10" s="26"/>
      <c r="G10" s="33"/>
      <c r="H10" s="33"/>
      <c r="I10" s="33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34"/>
      <c r="Y10" s="34"/>
      <c r="Z10" s="34"/>
    </row>
    <row r="11" spans="2:26" x14ac:dyDescent="0.35">
      <c r="B11" s="35" t="s">
        <v>1848</v>
      </c>
      <c r="C11" s="26">
        <f>balance_sheet_annual_filter!D71</f>
        <v>410533567409</v>
      </c>
      <c r="D11" s="26">
        <f>balance_sheet_annual_filter!E71</f>
        <v>426140968558</v>
      </c>
      <c r="E11" s="26">
        <f>balance_sheet_annual_filter!F71</f>
        <v>404805731851</v>
      </c>
      <c r="F11" s="26">
        <f>balance_sheet_annual_filter!G71</f>
        <v>411430445361</v>
      </c>
      <c r="G11" s="33">
        <f>G26/365*G22*2-F11</f>
        <v>755353561406.35986</v>
      </c>
      <c r="H11" s="33">
        <f>H26/365*H22*2-G11</f>
        <v>930824886099.42188</v>
      </c>
      <c r="I11" s="33">
        <f t="shared" ref="I11" si="11">I26/365*I22*2-H11</f>
        <v>1516836334473.166</v>
      </c>
      <c r="K11" s="25">
        <f>balance_sheet_quarter_filter!D72</f>
        <v>61682070946</v>
      </c>
      <c r="L11" s="25">
        <f>balance_sheet_quarter_filter!E72</f>
        <v>77768371231</v>
      </c>
      <c r="M11" s="25">
        <f>balance_sheet_quarter_filter!F72</f>
        <v>72113153233</v>
      </c>
      <c r="N11" s="25">
        <f>balance_sheet_quarter_filter!G72</f>
        <v>59480494448</v>
      </c>
      <c r="O11" s="25">
        <f>balance_sheet_quarter_filter!H72</f>
        <v>50033891697</v>
      </c>
      <c r="P11" s="25">
        <f>balance_sheet_quarter_filter!I72</f>
        <v>10815865361</v>
      </c>
      <c r="Q11" s="25">
        <f>balance_sheet_quarter_filter!J72</f>
        <v>10448845321</v>
      </c>
      <c r="R11" s="25">
        <f>balance_sheet_quarter_filter!K72</f>
        <v>10444201321</v>
      </c>
      <c r="S11" s="25">
        <f>balance_sheet_quarter_filter!L72</f>
        <v>5721284502</v>
      </c>
      <c r="T11" s="25">
        <f>balance_sheet_quarter_filter!M72</f>
        <v>2165020924</v>
      </c>
      <c r="U11" s="25">
        <f>balance_sheet_quarter_filter!N72</f>
        <v>2193816924</v>
      </c>
      <c r="V11" s="25">
        <f>balance_sheet_quarter_filter!O72</f>
        <v>4772818672</v>
      </c>
      <c r="W11" s="25">
        <f>balance_sheet_quarter_filter!P72</f>
        <v>4895484500</v>
      </c>
      <c r="X11" s="32">
        <f>X26/365*X22*2-W11</f>
        <v>9492999831.3643532</v>
      </c>
      <c r="Y11" s="32">
        <f t="shared" ref="Y11:Z11" si="12">Y26/365*Y22*2-X11</f>
        <v>5003600470.5461388</v>
      </c>
      <c r="Z11" s="32">
        <f t="shared" si="12"/>
        <v>9601928192.070425</v>
      </c>
    </row>
    <row r="12" spans="2:26" x14ac:dyDescent="0.35">
      <c r="B12" s="35" t="s">
        <v>1867</v>
      </c>
      <c r="C12" s="26">
        <f>balance_sheet_annual_filter!D82</f>
        <v>0</v>
      </c>
      <c r="D12" s="26">
        <f>balance_sheet_annual_filter!E82</f>
        <v>0</v>
      </c>
      <c r="E12" s="26">
        <f>balance_sheet_annual_filter!F82</f>
        <v>0</v>
      </c>
      <c r="F12" s="26">
        <f>balance_sheet_annual_filter!G82</f>
        <v>0</v>
      </c>
      <c r="G12" s="33"/>
      <c r="H12" s="33"/>
      <c r="I12" s="33"/>
      <c r="K12" s="25">
        <f>balance_sheet_quarter_filter!D82</f>
        <v>0</v>
      </c>
      <c r="L12" s="25">
        <f>balance_sheet_quarter_filter!E82</f>
        <v>0</v>
      </c>
      <c r="M12" s="25">
        <f>balance_sheet_quarter_filter!F82</f>
        <v>0</v>
      </c>
      <c r="N12" s="25">
        <f>balance_sheet_quarter_filter!G82</f>
        <v>0</v>
      </c>
      <c r="O12" s="25">
        <f>balance_sheet_quarter_filter!H82</f>
        <v>0</v>
      </c>
      <c r="P12" s="25">
        <f>balance_sheet_quarter_filter!I82</f>
        <v>0</v>
      </c>
      <c r="Q12" s="25">
        <f>balance_sheet_quarter_filter!J82</f>
        <v>0</v>
      </c>
      <c r="R12" s="25">
        <f>balance_sheet_quarter_filter!K82</f>
        <v>0</v>
      </c>
      <c r="S12" s="25">
        <f>balance_sheet_quarter_filter!L82</f>
        <v>0</v>
      </c>
      <c r="T12" s="25">
        <f>balance_sheet_quarter_filter!M82</f>
        <v>0</v>
      </c>
      <c r="U12" s="25">
        <f>balance_sheet_quarter_filter!N82</f>
        <v>0</v>
      </c>
      <c r="V12" s="25">
        <f>balance_sheet_quarter_filter!O82</f>
        <v>0</v>
      </c>
      <c r="W12" s="25">
        <f>balance_sheet_quarter_filter!P82</f>
        <v>0</v>
      </c>
      <c r="X12" s="32"/>
      <c r="Y12" s="32"/>
      <c r="Z12" s="32"/>
    </row>
    <row r="13" spans="2:26" x14ac:dyDescent="0.35">
      <c r="B13" s="35" t="s">
        <v>1868</v>
      </c>
      <c r="C13" s="26">
        <f>balance_sheet_annual_filter!D83</f>
        <v>0</v>
      </c>
      <c r="D13" s="26">
        <f>balance_sheet_annual_filter!E83</f>
        <v>7337077812</v>
      </c>
      <c r="E13" s="26">
        <f>balance_sheet_annual_filter!F83</f>
        <v>13218431330</v>
      </c>
      <c r="F13" s="26">
        <f>balance_sheet_annual_filter!G83</f>
        <v>20430320352</v>
      </c>
      <c r="G13" s="33"/>
      <c r="H13" s="33"/>
      <c r="I13" s="33"/>
      <c r="K13" s="25">
        <f>balance_sheet_quarter_filter!D83</f>
        <v>0</v>
      </c>
      <c r="L13" s="25">
        <f>balance_sheet_quarter_filter!E83</f>
        <v>0</v>
      </c>
      <c r="M13" s="25">
        <f>balance_sheet_quarter_filter!F83</f>
        <v>0</v>
      </c>
      <c r="N13" s="25">
        <f>balance_sheet_quarter_filter!G83</f>
        <v>7337077812</v>
      </c>
      <c r="O13" s="25">
        <f>balance_sheet_quarter_filter!H83</f>
        <v>7337077812</v>
      </c>
      <c r="P13" s="25">
        <f>balance_sheet_quarter_filter!I83</f>
        <v>7337077812</v>
      </c>
      <c r="Q13" s="25">
        <f>balance_sheet_quarter_filter!J83</f>
        <v>5341785612</v>
      </c>
      <c r="R13" s="25">
        <f>balance_sheet_quarter_filter!K83</f>
        <v>13218431330</v>
      </c>
      <c r="S13" s="25">
        <f>balance_sheet_quarter_filter!L83</f>
        <v>13218431330</v>
      </c>
      <c r="T13" s="25">
        <f>balance_sheet_quarter_filter!M83</f>
        <v>13218431330</v>
      </c>
      <c r="U13" s="25">
        <f>balance_sheet_quarter_filter!N83</f>
        <v>13218431330</v>
      </c>
      <c r="V13" s="25">
        <f>balance_sheet_quarter_filter!O83</f>
        <v>24016736352</v>
      </c>
      <c r="W13" s="25">
        <f>balance_sheet_quarter_filter!P83</f>
        <v>24016736352</v>
      </c>
      <c r="X13" s="32"/>
      <c r="Y13" s="32"/>
      <c r="Z13" s="32"/>
    </row>
    <row r="14" spans="2:26" x14ac:dyDescent="0.35">
      <c r="B14" s="35" t="s">
        <v>1849</v>
      </c>
      <c r="C14" s="26">
        <f>balance_sheet_annual_filter!D81</f>
        <v>273562000000</v>
      </c>
      <c r="D14" s="26">
        <f>balance_sheet_annual_filter!E81</f>
        <v>346189634000</v>
      </c>
      <c r="E14" s="26">
        <f>balance_sheet_annual_filter!F81</f>
        <v>292905477598</v>
      </c>
      <c r="F14" s="26">
        <f>balance_sheet_annual_filter!G81</f>
        <v>302308360620</v>
      </c>
      <c r="G14" s="33">
        <f>G21*G31</f>
        <v>355003656401.34003</v>
      </c>
      <c r="H14" s="33">
        <f t="shared" ref="H14:I14" si="13">H21*H31</f>
        <v>405753726906.70697</v>
      </c>
      <c r="I14" s="33">
        <f t="shared" si="13"/>
        <v>464537630714.49512</v>
      </c>
      <c r="K14" s="25">
        <f>balance_sheet_quarter_filter!D81</f>
        <v>246693454716</v>
      </c>
      <c r="L14" s="25">
        <f>balance_sheet_quarter_filter!E81</f>
        <v>273562000000</v>
      </c>
      <c r="M14" s="25">
        <f>balance_sheet_quarter_filter!F81</f>
        <v>218297000000</v>
      </c>
      <c r="N14" s="25">
        <f>balance_sheet_quarter_filter!G81</f>
        <v>357423153951</v>
      </c>
      <c r="O14" s="25">
        <f>balance_sheet_quarter_filter!H81</f>
        <v>377090756593</v>
      </c>
      <c r="P14" s="25">
        <f>balance_sheet_quarter_filter!I81</f>
        <v>346189634000</v>
      </c>
      <c r="Q14" s="25">
        <f>balance_sheet_quarter_filter!J81</f>
        <v>358692524443</v>
      </c>
      <c r="R14" s="25">
        <f>balance_sheet_quarter_filter!K81</f>
        <v>346879245068</v>
      </c>
      <c r="S14" s="25">
        <f>balance_sheet_quarter_filter!L81</f>
        <v>320528751729</v>
      </c>
      <c r="T14" s="25">
        <f>balance_sheet_quarter_filter!M81</f>
        <v>292905477598</v>
      </c>
      <c r="U14" s="25">
        <f>balance_sheet_quarter_filter!N81</f>
        <v>312932194724</v>
      </c>
      <c r="V14" s="25">
        <f>balance_sheet_quarter_filter!O81</f>
        <v>288277290431</v>
      </c>
      <c r="W14" s="25">
        <f>balance_sheet_quarter_filter!P81</f>
        <v>301597037538</v>
      </c>
      <c r="X14" s="32">
        <f>X31*X21</f>
        <v>315729069719.73108</v>
      </c>
      <c r="Y14" s="32">
        <f t="shared" ref="Y14:Z14" si="14">Y31*Y21</f>
        <v>318101477682.67194</v>
      </c>
      <c r="Z14" s="32">
        <f t="shared" si="14"/>
        <v>320491712067.32184</v>
      </c>
    </row>
    <row r="15" spans="2:26" x14ac:dyDescent="0.35">
      <c r="B15" s="40" t="s">
        <v>1850</v>
      </c>
      <c r="C15" s="38">
        <f>SUM(C11:C14)</f>
        <v>684095567409</v>
      </c>
      <c r="D15" s="38">
        <f>SUM(D11:D14)</f>
        <v>779667680370</v>
      </c>
      <c r="E15" s="38">
        <f>SUM(E11:E14)</f>
        <v>710929640779</v>
      </c>
      <c r="F15" s="38">
        <f>SUM(F11:F14)</f>
        <v>734169126333</v>
      </c>
      <c r="G15" s="39">
        <f t="shared" ref="G15:I15" si="15">SUM(G11:G14)</f>
        <v>1110357217807.7</v>
      </c>
      <c r="H15" s="39">
        <f t="shared" si="15"/>
        <v>1336578613006.1289</v>
      </c>
      <c r="I15" s="39">
        <f t="shared" si="15"/>
        <v>1981373965187.6611</v>
      </c>
      <c r="K15" s="82">
        <f>SUM(K11:K14)</f>
        <v>308375525662</v>
      </c>
      <c r="L15" s="82">
        <f t="shared" ref="L15:V15" si="16">SUM(L11:L14)</f>
        <v>351330371231</v>
      </c>
      <c r="M15" s="82">
        <f t="shared" si="16"/>
        <v>290410153233</v>
      </c>
      <c r="N15" s="82">
        <f t="shared" si="16"/>
        <v>424240726211</v>
      </c>
      <c r="O15" s="82">
        <f t="shared" si="16"/>
        <v>434461726102</v>
      </c>
      <c r="P15" s="82">
        <f t="shared" si="16"/>
        <v>364342577173</v>
      </c>
      <c r="Q15" s="82">
        <f t="shared" si="16"/>
        <v>374483155376</v>
      </c>
      <c r="R15" s="82">
        <f t="shared" si="16"/>
        <v>370541877719</v>
      </c>
      <c r="S15" s="82">
        <f t="shared" si="16"/>
        <v>339468467561</v>
      </c>
      <c r="T15" s="82">
        <f t="shared" si="16"/>
        <v>308288929852</v>
      </c>
      <c r="U15" s="82">
        <f t="shared" si="16"/>
        <v>328344442978</v>
      </c>
      <c r="V15" s="82">
        <f t="shared" si="16"/>
        <v>317066845455</v>
      </c>
      <c r="W15" s="82">
        <f>SUM(W11:W14)</f>
        <v>330509258390</v>
      </c>
      <c r="X15" s="83">
        <f>SUM(X11:X14)</f>
        <v>325222069551.09546</v>
      </c>
      <c r="Y15" s="83">
        <f t="shared" ref="Y15:Z15" si="17">SUM(Y11:Y14)</f>
        <v>323105078153.21808</v>
      </c>
      <c r="Z15" s="83">
        <f t="shared" si="17"/>
        <v>330093640259.39227</v>
      </c>
    </row>
    <row r="16" spans="2:26" x14ac:dyDescent="0.35">
      <c r="B16" s="35"/>
      <c r="C16" s="26"/>
      <c r="D16" s="26"/>
      <c r="E16" s="26"/>
      <c r="F16" s="26"/>
      <c r="G16" s="33"/>
      <c r="H16" s="33"/>
      <c r="I16" s="33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34"/>
      <c r="Y16" s="34"/>
      <c r="Z16" s="34"/>
    </row>
    <row r="17" spans="2:26" x14ac:dyDescent="0.35">
      <c r="B17" s="40" t="s">
        <v>1851</v>
      </c>
      <c r="C17" s="38">
        <f>C9-C15</f>
        <v>-588080107841</v>
      </c>
      <c r="D17" s="38">
        <f>D9-D15</f>
        <v>-643878202813</v>
      </c>
      <c r="E17" s="38">
        <f>E9-E15</f>
        <v>-590398178148</v>
      </c>
      <c r="F17" s="38">
        <f>F9-F15</f>
        <v>-541528251894</v>
      </c>
      <c r="G17" s="39">
        <f t="shared" ref="G17:I17" si="18">G9-G15</f>
        <v>-1025312745419.0062</v>
      </c>
      <c r="H17" s="39">
        <f t="shared" si="18"/>
        <v>-1097254076165.0707</v>
      </c>
      <c r="I17" s="39">
        <f t="shared" si="18"/>
        <v>-1849350347314.2429</v>
      </c>
      <c r="K17" s="82">
        <f>K9-K15</f>
        <v>-35498580313</v>
      </c>
      <c r="L17" s="82">
        <f>L9-L15</f>
        <v>-251118373595</v>
      </c>
      <c r="M17" s="82">
        <f>M9-M15</f>
        <v>-199261284276</v>
      </c>
      <c r="N17" s="82">
        <f t="shared" ref="N17:Z17" si="19">N9-N15</f>
        <v>-293805558009</v>
      </c>
      <c r="O17" s="82">
        <f t="shared" si="19"/>
        <v>-307722862049</v>
      </c>
      <c r="P17" s="82">
        <f t="shared" si="19"/>
        <v>-228354155981</v>
      </c>
      <c r="Q17" s="82">
        <f t="shared" si="19"/>
        <v>-184851374869</v>
      </c>
      <c r="R17" s="82">
        <f t="shared" si="19"/>
        <v>-206744181240</v>
      </c>
      <c r="S17" s="82">
        <f t="shared" si="19"/>
        <v>-182215330267</v>
      </c>
      <c r="T17" s="82">
        <f t="shared" si="19"/>
        <v>-188145192862</v>
      </c>
      <c r="U17" s="82">
        <f t="shared" si="19"/>
        <v>-156283576768</v>
      </c>
      <c r="V17" s="82">
        <f t="shared" si="19"/>
        <v>-147599797333</v>
      </c>
      <c r="W17" s="82">
        <f t="shared" si="19"/>
        <v>-153271379362</v>
      </c>
      <c r="X17" s="83">
        <f>X9-X15</f>
        <v>-423329568900.96771</v>
      </c>
      <c r="Y17" s="83">
        <f t="shared" si="19"/>
        <v>-137362301958.68552</v>
      </c>
      <c r="Z17" s="83">
        <f t="shared" si="19"/>
        <v>-427542642661.849</v>
      </c>
    </row>
    <row r="18" spans="2:26" x14ac:dyDescent="0.35">
      <c r="B18" s="35"/>
      <c r="C18" s="30"/>
      <c r="D18" s="30"/>
      <c r="E18" s="30"/>
      <c r="F18" s="30"/>
      <c r="G18" s="34"/>
      <c r="H18" s="34"/>
      <c r="I18" s="34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4"/>
      <c r="Y18" s="34"/>
      <c r="Z18" s="34"/>
    </row>
    <row r="19" spans="2:26" x14ac:dyDescent="0.35">
      <c r="B19" s="27"/>
      <c r="C19" s="27"/>
      <c r="D19" s="27" t="s">
        <v>1862</v>
      </c>
      <c r="E19" s="27"/>
      <c r="F19" s="27"/>
      <c r="G19" s="27"/>
      <c r="H19" s="27" t="s">
        <v>1866</v>
      </c>
      <c r="I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 t="s">
        <v>1866</v>
      </c>
      <c r="Z19" s="27"/>
    </row>
    <row r="20" spans="2:26" x14ac:dyDescent="0.35">
      <c r="B20" s="27" t="s">
        <v>1842</v>
      </c>
      <c r="C20" s="28">
        <f>C4</f>
        <v>2020</v>
      </c>
      <c r="D20" s="28">
        <f t="shared" ref="D20:F20" si="20">D4</f>
        <v>2021</v>
      </c>
      <c r="E20" s="28">
        <f t="shared" si="20"/>
        <v>2022</v>
      </c>
      <c r="F20" s="28">
        <f t="shared" si="20"/>
        <v>2023</v>
      </c>
      <c r="G20" s="28" t="s">
        <v>1863</v>
      </c>
      <c r="H20" s="28" t="s">
        <v>1864</v>
      </c>
      <c r="I20" s="28" t="s">
        <v>1865</v>
      </c>
      <c r="K20" s="27" t="str">
        <f>K4</f>
        <v>2020_q3</v>
      </c>
      <c r="L20" s="27" t="str">
        <f t="shared" ref="L20:W20" si="21">L4</f>
        <v>2020_q4</v>
      </c>
      <c r="M20" s="27" t="str">
        <f t="shared" si="21"/>
        <v>2021_q1</v>
      </c>
      <c r="N20" s="27" t="str">
        <f t="shared" si="21"/>
        <v>2021_q2</v>
      </c>
      <c r="O20" s="27" t="str">
        <f t="shared" si="21"/>
        <v>2021_q3</v>
      </c>
      <c r="P20" s="27" t="str">
        <f t="shared" si="21"/>
        <v>2021_q4</v>
      </c>
      <c r="Q20" s="27" t="str">
        <f t="shared" si="21"/>
        <v>2022_q1</v>
      </c>
      <c r="R20" s="27" t="str">
        <f t="shared" si="21"/>
        <v>2022_q2</v>
      </c>
      <c r="S20" s="27" t="str">
        <f t="shared" si="21"/>
        <v>2022_q3</v>
      </c>
      <c r="T20" s="27" t="str">
        <f t="shared" si="21"/>
        <v>2022_q4</v>
      </c>
      <c r="U20" s="27" t="str">
        <f t="shared" si="21"/>
        <v>2023_q1</v>
      </c>
      <c r="V20" s="27" t="str">
        <f t="shared" si="21"/>
        <v>2023_q2</v>
      </c>
      <c r="W20" s="27" t="str">
        <f t="shared" si="21"/>
        <v>2023_q3</v>
      </c>
      <c r="X20" s="27" t="s">
        <v>200</v>
      </c>
      <c r="Y20" s="27" t="s">
        <v>201</v>
      </c>
      <c r="Z20" s="27" t="s">
        <v>202</v>
      </c>
    </row>
    <row r="21" spans="2:26" x14ac:dyDescent="0.35">
      <c r="B21" s="35" t="s">
        <v>1852</v>
      </c>
      <c r="C21" s="26">
        <f>income_statement_annual_filter!D6</f>
        <v>495852606563</v>
      </c>
      <c r="D21" s="26">
        <f>income_statement_annual_filter!E6</f>
        <v>661346377050</v>
      </c>
      <c r="E21" s="26">
        <f>income_statement_annual_filter!F6</f>
        <v>808703629721</v>
      </c>
      <c r="F21" s="26">
        <f>income_statement_annual_filter!G6</f>
        <v>655479232628</v>
      </c>
      <c r="G21" s="33">
        <f>FCFF!G5</f>
        <v>736891361549.23425</v>
      </c>
      <c r="H21" s="33">
        <f>FCFF!H5</f>
        <v>829787932354.64124</v>
      </c>
      <c r="I21" s="33">
        <f>FCFF!I5</f>
        <v>935964669245.86279</v>
      </c>
      <c r="K21" s="25">
        <f>income_statement_quarter_filter!D6</f>
        <v>145646463123</v>
      </c>
      <c r="L21" s="25">
        <f>income_statement_quarter_filter!E6</f>
        <v>148894026784</v>
      </c>
      <c r="M21" s="25">
        <f>income_statement_quarter_filter!F6</f>
        <v>156938670589</v>
      </c>
      <c r="N21" s="25">
        <f>income_statement_quarter_filter!G6</f>
        <v>174116862184</v>
      </c>
      <c r="O21" s="25">
        <f>income_statement_quarter_filter!H6</f>
        <v>157732796054</v>
      </c>
      <c r="P21" s="25">
        <f>income_statement_quarter_filter!I6</f>
        <v>172558048223</v>
      </c>
      <c r="Q21" s="25">
        <f>income_statement_quarter_filter!J6</f>
        <v>186021761861</v>
      </c>
      <c r="R21" s="25">
        <f>income_statement_quarter_filter!K6</f>
        <v>237414229568</v>
      </c>
      <c r="S21" s="25">
        <f>income_statement_quarter_filter!L6</f>
        <v>203437074113</v>
      </c>
      <c r="T21" s="25">
        <f>income_statement_quarter_filter!M6</f>
        <v>181830564179</v>
      </c>
      <c r="U21" s="25">
        <f>income_statement_quarter_filter!N6</f>
        <v>155326855474</v>
      </c>
      <c r="V21" s="25">
        <f>income_statement_quarter_filter!O6</f>
        <v>168567076257</v>
      </c>
      <c r="W21" s="25">
        <f>income_statement_quarter_filter!P6</f>
        <v>178034786564</v>
      </c>
      <c r="X21" s="32">
        <f>AVERAGE(K21:W21)*(1+$J$30)</f>
        <v>175001435540.70374</v>
      </c>
      <c r="Y21" s="32">
        <f>X21*(1+$J$30)</f>
        <v>175657690923.98135</v>
      </c>
      <c r="Z21" s="32">
        <f>Y21*(1+$J$30)</f>
        <v>176316407264.94626</v>
      </c>
    </row>
    <row r="22" spans="2:26" x14ac:dyDescent="0.35">
      <c r="B22" s="35" t="s">
        <v>1853</v>
      </c>
      <c r="C22" s="26">
        <f>income_statement_annual_filter!D7</f>
        <v>171612750911</v>
      </c>
      <c r="D22" s="26">
        <f>income_statement_annual_filter!E7</f>
        <v>286078193456</v>
      </c>
      <c r="E22" s="26">
        <f>income_statement_annual_filter!F7</f>
        <v>308271173619</v>
      </c>
      <c r="F22" s="26">
        <f>income_statement_annual_filter!G7</f>
        <v>287644373035</v>
      </c>
      <c r="G22" s="33">
        <f>FCFF!G6</f>
        <v>407744700843.8905</v>
      </c>
      <c r="H22" s="33">
        <f>FCFF!H6</f>
        <v>580544278992.24036</v>
      </c>
      <c r="I22" s="33">
        <f>FCFF!I6</f>
        <v>830265669345.45398</v>
      </c>
      <c r="K22" s="25">
        <f>income_statement_quarter_filter!D7</f>
        <v>27278216454</v>
      </c>
      <c r="L22" s="25">
        <f>income_statement_quarter_filter!E7</f>
        <v>57753667204</v>
      </c>
      <c r="M22" s="25">
        <f>income_statement_quarter_filter!F7</f>
        <v>64448745381</v>
      </c>
      <c r="N22" s="25">
        <f>income_statement_quarter_filter!G7</f>
        <v>67184602599</v>
      </c>
      <c r="O22" s="25">
        <f>income_statement_quarter_filter!H7</f>
        <v>72379523042</v>
      </c>
      <c r="P22" s="25">
        <f>income_statement_quarter_filter!I7</f>
        <v>84231677255</v>
      </c>
      <c r="Q22" s="25">
        <f>income_statement_quarter_filter!J7</f>
        <v>65696541583</v>
      </c>
      <c r="R22" s="25">
        <f>income_statement_quarter_filter!K7</f>
        <v>80544717278</v>
      </c>
      <c r="S22" s="25">
        <f>income_statement_quarter_filter!L7</f>
        <v>78834538097</v>
      </c>
      <c r="T22" s="25">
        <f>income_statement_quarter_filter!M7</f>
        <v>82933134471</v>
      </c>
      <c r="U22" s="25">
        <f>income_statement_quarter_filter!N7</f>
        <v>64375542079</v>
      </c>
      <c r="V22" s="25">
        <f>income_statement_quarter_filter!O7</f>
        <v>68539599662</v>
      </c>
      <c r="W22" s="25">
        <f>income_statement_quarter_filter!P7</f>
        <v>79641780297</v>
      </c>
      <c r="X22" s="32">
        <f t="shared" ref="X22:X31" si="22">AVERAGE(K22:W22)*(1+$J$30)</f>
        <v>69014937997.865952</v>
      </c>
      <c r="Y22" s="32">
        <f t="shared" ref="Y22:Z22" si="23">X22*(1+$J$30)</f>
        <v>69273744015.357941</v>
      </c>
      <c r="Z22" s="32">
        <f t="shared" si="23"/>
        <v>69533520555.415527</v>
      </c>
    </row>
    <row r="23" spans="2:26" x14ac:dyDescent="0.35">
      <c r="B23" s="35"/>
      <c r="C23" s="30"/>
      <c r="D23" s="30"/>
      <c r="E23" s="30"/>
      <c r="F23" s="30"/>
      <c r="G23" s="34"/>
      <c r="H23" s="34"/>
      <c r="I23" s="34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34"/>
      <c r="Y23" s="34"/>
      <c r="Z23" s="34"/>
    </row>
    <row r="24" spans="2:26" x14ac:dyDescent="0.35">
      <c r="B24" s="35" t="s">
        <v>1854</v>
      </c>
      <c r="C24" s="30"/>
      <c r="D24" s="30">
        <f>AVERAGE(C5:D5)/D21*365</f>
        <v>57.683488781266618</v>
      </c>
      <c r="E24" s="30">
        <f>AVERAGE(D5:E5)/E21*365</f>
        <v>53.345435137299155</v>
      </c>
      <c r="F24" s="30">
        <f>AVERAGE(E5:F5)/F21*365</f>
        <v>86.644511531110183</v>
      </c>
      <c r="G24" s="77">
        <f>AVERAGE(C24:F24)*(1+$J$31)</f>
        <v>66.879512327140361</v>
      </c>
      <c r="H24" s="77">
        <f>G24*(1+$J$31)</f>
        <v>67.882705012047467</v>
      </c>
      <c r="I24" s="77">
        <f>H24*(1+$J$31)</f>
        <v>68.900945587228179</v>
      </c>
      <c r="K24" s="25"/>
      <c r="L24" s="25">
        <f>IFERROR(AVERAGE(K5:L5)/L21*90,0)</f>
        <v>95.189545888438772</v>
      </c>
      <c r="M24" s="25">
        <f t="shared" ref="M24:V24" si="24">IFERROR(AVERAGE(L5:M5)/M21*90,0)</f>
        <v>53.543823780287468</v>
      </c>
      <c r="N24" s="25">
        <f t="shared" si="24"/>
        <v>57.219367073888776</v>
      </c>
      <c r="O24" s="25">
        <f t="shared" si="24"/>
        <v>73.230218846659938</v>
      </c>
      <c r="P24" s="25">
        <f t="shared" si="24"/>
        <v>63.987878552472402</v>
      </c>
      <c r="Q24" s="25">
        <f t="shared" si="24"/>
        <v>72.527152994235564</v>
      </c>
      <c r="R24" s="25">
        <f t="shared" si="24"/>
        <v>64.500102085410148</v>
      </c>
      <c r="S24" s="25">
        <f t="shared" si="24"/>
        <v>68.625621876842885</v>
      </c>
      <c r="T24" s="25">
        <f t="shared" si="24"/>
        <v>66.445030039181631</v>
      </c>
      <c r="U24" s="25">
        <f t="shared" si="24"/>
        <v>83.74397336645589</v>
      </c>
      <c r="V24" s="25">
        <f t="shared" si="24"/>
        <v>90.950598026780128</v>
      </c>
      <c r="W24" s="25">
        <f>IFERROR(AVERAGE(V5:W5)/W21*90,0)</f>
        <v>87.513533545193624</v>
      </c>
      <c r="X24" s="34">
        <f>AVERAGE(K24:W24)*(1+$J$30)</f>
        <v>73.397282020719302</v>
      </c>
      <c r="Y24" s="34">
        <f>X24*(1+$J$30)</f>
        <v>73.672521828296993</v>
      </c>
      <c r="Z24" s="34">
        <f t="shared" ref="Y24:Z24" si="25">Y24*(1+$J$30)</f>
        <v>73.9487937851531</v>
      </c>
    </row>
    <row r="25" spans="2:26" x14ac:dyDescent="0.35">
      <c r="B25" s="35" t="s">
        <v>1855</v>
      </c>
      <c r="C25" s="30"/>
      <c r="D25" s="30">
        <f>AVERAGE(C6,D6)/D22*365</f>
        <v>0</v>
      </c>
      <c r="E25" s="30">
        <f>AVERAGE(D6,E6)/E22*365</f>
        <v>0</v>
      </c>
      <c r="F25" s="30">
        <f>AVERAGE(E6,F6)/F22*365</f>
        <v>0</v>
      </c>
      <c r="G25" s="77">
        <f t="shared" ref="G25:G27" si="26">AVERAGE(C25:F25)*(1+$J$31)</f>
        <v>0</v>
      </c>
      <c r="H25" s="77">
        <f t="shared" ref="H25:I25" si="27">G25*(1+$J$31)</f>
        <v>0</v>
      </c>
      <c r="I25" s="77">
        <f t="shared" si="27"/>
        <v>0</v>
      </c>
      <c r="K25" s="25"/>
      <c r="L25" s="25">
        <f>IFERROR(AVERAGE(K6:L6)/L22*90,0)</f>
        <v>0.30741991114237538</v>
      </c>
      <c r="M25" s="25">
        <f t="shared" ref="M25:U25" si="28">IFERROR(AVERAGE(L6:M6)/M22*90,0)</f>
        <v>0</v>
      </c>
      <c r="N25" s="25">
        <f t="shared" si="28"/>
        <v>0</v>
      </c>
      <c r="O25" s="25">
        <f t="shared" si="28"/>
        <v>0</v>
      </c>
      <c r="P25" s="25">
        <f t="shared" si="28"/>
        <v>0</v>
      </c>
      <c r="Q25" s="25">
        <f t="shared" si="28"/>
        <v>0</v>
      </c>
      <c r="R25" s="25">
        <f t="shared" si="28"/>
        <v>0</v>
      </c>
      <c r="S25" s="25">
        <f t="shared" si="28"/>
        <v>0</v>
      </c>
      <c r="T25" s="25">
        <f t="shared" si="28"/>
        <v>0</v>
      </c>
      <c r="U25" s="25">
        <f t="shared" si="28"/>
        <v>0</v>
      </c>
      <c r="V25" s="25">
        <f>IFERROR(AVERAGE(U6:V6)/V22*90,0)</f>
        <v>0</v>
      </c>
      <c r="W25" s="25">
        <f>IFERROR(AVERAGE(V6:W6)/W22*90,0)</f>
        <v>0</v>
      </c>
      <c r="X25" s="34">
        <f t="shared" si="22"/>
        <v>2.5714394650763271E-2</v>
      </c>
      <c r="Y25" s="34">
        <f t="shared" ref="Y25:Z25" si="29">X25*(1+$J$30)</f>
        <v>2.5810823630703632E-2</v>
      </c>
      <c r="Z25" s="34">
        <f t="shared" si="29"/>
        <v>2.5907614219318767E-2</v>
      </c>
    </row>
    <row r="26" spans="2:26" x14ac:dyDescent="0.35">
      <c r="B26" s="35" t="s">
        <v>1856</v>
      </c>
      <c r="C26" s="30"/>
      <c r="D26" s="30">
        <f>AVERAGE(C11:D11)/D22*365</f>
        <v>533.74603974301988</v>
      </c>
      <c r="E26" s="30">
        <f t="shared" ref="E26" si="30">AVERAGE(D11:E11)/E22*365</f>
        <v>491.92978715573241</v>
      </c>
      <c r="F26" s="30">
        <f>AVERAGE(E11:F11)/F22*365</f>
        <v>517.87247137653708</v>
      </c>
      <c r="G26" s="77">
        <f t="shared" si="26"/>
        <v>522.2338409164729</v>
      </c>
      <c r="H26" s="77">
        <f t="shared" ref="H26:I26" si="31">G26*(1+$J$31)</f>
        <v>530.06734853021999</v>
      </c>
      <c r="I26" s="77">
        <f t="shared" si="31"/>
        <v>538.01835875817324</v>
      </c>
      <c r="K26" s="25"/>
      <c r="L26" s="25">
        <f>IFERROR(AVERAGE(K11:L11)/L22*90,0)</f>
        <v>108.65578242502282</v>
      </c>
      <c r="M26" s="25">
        <f t="shared" ref="M26:W26" si="32">IFERROR(AVERAGE(L11:M11)/M22*90,0)</f>
        <v>104.65166639021001</v>
      </c>
      <c r="N26" s="25">
        <f t="shared" si="32"/>
        <v>88.140941771874694</v>
      </c>
      <c r="O26" s="25">
        <f t="shared" si="32"/>
        <v>68.087591205392727</v>
      </c>
      <c r="P26" s="25">
        <f t="shared" si="32"/>
        <v>32.508423871465268</v>
      </c>
      <c r="Q26" s="25">
        <f t="shared" si="32"/>
        <v>14.565637058399066</v>
      </c>
      <c r="R26" s="25">
        <f t="shared" si="32"/>
        <v>11.672858638822275</v>
      </c>
      <c r="S26" s="25">
        <f t="shared" si="32"/>
        <v>9.2275147364969783</v>
      </c>
      <c r="T26" s="25">
        <f t="shared" si="32"/>
        <v>4.2791550860060097</v>
      </c>
      <c r="U26" s="25">
        <f t="shared" si="32"/>
        <v>3.0469289550881391</v>
      </c>
      <c r="V26" s="25">
        <f t="shared" si="32"/>
        <v>4.57397772041279</v>
      </c>
      <c r="W26" s="25">
        <f t="shared" si="32"/>
        <v>5.4628819335469911</v>
      </c>
      <c r="X26" s="34">
        <f>AVERAGE(K26:W26)*(1+$J$30)</f>
        <v>38.048261240996716</v>
      </c>
      <c r="Y26" s="34">
        <f t="shared" ref="Y26:Z26" si="33">X26*(1+$J$30)</f>
        <v>38.190942220650449</v>
      </c>
      <c r="Z26" s="34">
        <f t="shared" si="33"/>
        <v>38.334158253977883</v>
      </c>
    </row>
    <row r="27" spans="2:26" x14ac:dyDescent="0.35">
      <c r="B27" s="35" t="s">
        <v>1857</v>
      </c>
      <c r="C27" s="30"/>
      <c r="D27" s="30">
        <f>D24+D25-D26</f>
        <v>-476.06255096175323</v>
      </c>
      <c r="E27" s="30">
        <f t="shared" ref="E27" si="34">E24+E25-E26</f>
        <v>-438.58435201843326</v>
      </c>
      <c r="F27" s="30">
        <f>F24+F25-F26</f>
        <v>-431.22795984542688</v>
      </c>
      <c r="G27" s="77">
        <f t="shared" si="26"/>
        <v>-455.35432858933257</v>
      </c>
      <c r="H27" s="77">
        <f t="shared" ref="H27:I27" si="35">G27*(1+$J$31)</f>
        <v>-462.18464351817249</v>
      </c>
      <c r="I27" s="77">
        <f t="shared" si="35"/>
        <v>-469.11741317094504</v>
      </c>
      <c r="K27" s="25"/>
      <c r="L27" s="25">
        <f>L24+L25-L26</f>
        <v>-13.158816625441673</v>
      </c>
      <c r="M27" s="25">
        <f t="shared" ref="M27:V27" si="36">M24+M25-M26</f>
        <v>-51.107842609922542</v>
      </c>
      <c r="N27" s="25">
        <f t="shared" si="36"/>
        <v>-30.921574697985918</v>
      </c>
      <c r="O27" s="25">
        <f t="shared" si="36"/>
        <v>5.1426276412672109</v>
      </c>
      <c r="P27" s="25">
        <f t="shared" si="36"/>
        <v>31.479454681007134</v>
      </c>
      <c r="Q27" s="25">
        <f t="shared" si="36"/>
        <v>57.961515935836502</v>
      </c>
      <c r="R27" s="25">
        <f t="shared" si="36"/>
        <v>52.827243446587872</v>
      </c>
      <c r="S27" s="25">
        <f t="shared" si="36"/>
        <v>59.398107140345907</v>
      </c>
      <c r="T27" s="25">
        <f t="shared" si="36"/>
        <v>62.165874953175624</v>
      </c>
      <c r="U27" s="25">
        <f t="shared" si="36"/>
        <v>80.697044411367756</v>
      </c>
      <c r="V27" s="25">
        <f t="shared" si="36"/>
        <v>86.376620306367343</v>
      </c>
      <c r="W27" s="25">
        <f>W24+W25-W26</f>
        <v>82.050651611646629</v>
      </c>
      <c r="X27" s="34">
        <f t="shared" si="22"/>
        <v>35.374735174373349</v>
      </c>
      <c r="Y27" s="34">
        <f t="shared" ref="Y27:Z27" si="37">X27*(1+$J$30)</f>
        <v>35.507390431277244</v>
      </c>
      <c r="Z27" s="34">
        <f t="shared" si="37"/>
        <v>35.640543145394531</v>
      </c>
    </row>
    <row r="28" spans="2:26" x14ac:dyDescent="0.35">
      <c r="B28" s="35"/>
      <c r="C28" s="30"/>
      <c r="D28" s="30"/>
      <c r="E28" s="30"/>
      <c r="F28" s="30"/>
      <c r="G28" s="36"/>
      <c r="H28" s="77"/>
      <c r="I28" s="77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4"/>
      <c r="Y28" s="34"/>
      <c r="Z28" s="34"/>
    </row>
    <row r="29" spans="2:26" x14ac:dyDescent="0.35">
      <c r="B29" s="35" t="s">
        <v>1858</v>
      </c>
      <c r="C29" s="31">
        <f>C7/C21</f>
        <v>0</v>
      </c>
      <c r="D29" s="31">
        <f>D7/D21</f>
        <v>0</v>
      </c>
      <c r="E29" s="31">
        <f>E7/E21</f>
        <v>0</v>
      </c>
      <c r="F29" s="31">
        <f>F7/F21</f>
        <v>0</v>
      </c>
      <c r="G29" s="36">
        <f>AVERAGE(C29:F29)*(1+$J$31)</f>
        <v>0</v>
      </c>
      <c r="H29" s="43">
        <f>G29*(1+$J$31)</f>
        <v>0</v>
      </c>
      <c r="I29" s="43">
        <f t="shared" ref="H29:I29" si="38">H29*(1+$J$31)</f>
        <v>0</v>
      </c>
      <c r="J29" s="24" t="s">
        <v>1935</v>
      </c>
      <c r="K29" s="37">
        <f>K7/K21</f>
        <v>0</v>
      </c>
      <c r="L29" s="37">
        <f t="shared" ref="L29:W29" si="39">L7/L21</f>
        <v>0</v>
      </c>
      <c r="M29" s="37">
        <f t="shared" si="39"/>
        <v>0</v>
      </c>
      <c r="N29" s="37">
        <f t="shared" si="39"/>
        <v>0</v>
      </c>
      <c r="O29" s="37">
        <f t="shared" si="39"/>
        <v>0</v>
      </c>
      <c r="P29" s="37">
        <f t="shared" si="39"/>
        <v>0</v>
      </c>
      <c r="Q29" s="37">
        <f t="shared" si="39"/>
        <v>0</v>
      </c>
      <c r="R29" s="37">
        <f t="shared" si="39"/>
        <v>0</v>
      </c>
      <c r="S29" s="37">
        <f t="shared" si="39"/>
        <v>0</v>
      </c>
      <c r="T29" s="37">
        <f t="shared" si="39"/>
        <v>0</v>
      </c>
      <c r="U29" s="37">
        <f t="shared" si="39"/>
        <v>0</v>
      </c>
      <c r="V29" s="37">
        <f t="shared" si="39"/>
        <v>0</v>
      </c>
      <c r="W29" s="37">
        <f>W7/W21</f>
        <v>0</v>
      </c>
      <c r="X29" s="36">
        <f>AVERAGE(K29:W29)*(1+$J$30)</f>
        <v>0</v>
      </c>
      <c r="Y29" s="36">
        <f>X29*(1+$J$30)</f>
        <v>0</v>
      </c>
      <c r="Z29" s="36">
        <f>Y29*(1+$J$30)</f>
        <v>0</v>
      </c>
    </row>
    <row r="30" spans="2:26" x14ac:dyDescent="0.35">
      <c r="B30" s="35" t="s">
        <v>1859</v>
      </c>
      <c r="C30" s="31">
        <f>C8/C21</f>
        <v>9.0856833106666389E-3</v>
      </c>
      <c r="D30" s="31">
        <f>D8/D21</f>
        <v>2.7618570239206244E-2</v>
      </c>
      <c r="E30" s="31">
        <f>E8/E21</f>
        <v>2.0630448234485971E-3</v>
      </c>
      <c r="F30" s="31">
        <f>F8/F21</f>
        <v>4.6639158921072586E-4</v>
      </c>
      <c r="G30" s="36">
        <f t="shared" ref="G30" si="40">AVERAGE(C30:F30)*(1+$J$31)</f>
        <v>9.9555488279925459E-3</v>
      </c>
      <c r="H30" s="43">
        <f t="shared" ref="H30:I30" si="41">G30*(1+$J$31)</f>
        <v>1.0104882060412433E-2</v>
      </c>
      <c r="I30" s="43">
        <f t="shared" si="41"/>
        <v>1.0256455291318618E-2</v>
      </c>
      <c r="J30" s="76">
        <f>J31/4</f>
        <v>3.7499999999999999E-3</v>
      </c>
      <c r="K30" s="37">
        <f>K8/K21</f>
        <v>0.36547568250968437</v>
      </c>
      <c r="L30" s="37">
        <f>L8/L21</f>
        <v>3.0257491514657054E-2</v>
      </c>
      <c r="M30" s="37">
        <f t="shared" ref="L30:W30" si="42">M8/M21</f>
        <v>7.6608630969521513E-4</v>
      </c>
      <c r="N30" s="37">
        <f t="shared" si="42"/>
        <v>3.8476528441687164E-4</v>
      </c>
      <c r="O30" s="37">
        <f t="shared" si="42"/>
        <v>2.678163752675627E-3</v>
      </c>
      <c r="P30" s="37">
        <f t="shared" si="42"/>
        <v>9.8143445300876445E-2</v>
      </c>
      <c r="Q30" s="37">
        <f t="shared" si="42"/>
        <v>4.7686825956569902E-2</v>
      </c>
      <c r="R30" s="37">
        <f t="shared" si="42"/>
        <v>1.796194766741472E-2</v>
      </c>
      <c r="S30" s="37">
        <f t="shared" si="42"/>
        <v>3.215767045669455E-2</v>
      </c>
      <c r="T30" s="37">
        <f t="shared" si="42"/>
        <v>1.304379612805447E-2</v>
      </c>
      <c r="U30" s="37">
        <f t="shared" si="42"/>
        <v>4.9772976517213387E-3</v>
      </c>
      <c r="V30" s="37">
        <f t="shared" si="42"/>
        <v>3.5460886151258579E-4</v>
      </c>
      <c r="W30" s="37">
        <f t="shared" si="42"/>
        <v>2.3189679666989465E-3</v>
      </c>
      <c r="X30" s="36">
        <f>AVERAGE(K30:W30)*(1+$J$30)</f>
        <v>4.7578271128521137E-2</v>
      </c>
      <c r="Y30" s="36">
        <f>X30*(1+$J$30)</f>
        <v>4.7756689645253085E-2</v>
      </c>
      <c r="Z30" s="36">
        <f>Y30*(1+$J$30)</f>
        <v>4.7935777231422783E-2</v>
      </c>
    </row>
    <row r="31" spans="2:26" x14ac:dyDescent="0.35">
      <c r="B31" s="35" t="s">
        <v>1860</v>
      </c>
      <c r="C31" s="31">
        <f>C14/C21</f>
        <v>0.55170023587491801</v>
      </c>
      <c r="D31" s="31">
        <f t="shared" ref="D31:E31" si="43">D14/D21</f>
        <v>0.5234619044020663</v>
      </c>
      <c r="E31" s="31">
        <f t="shared" si="43"/>
        <v>0.36219137250447531</v>
      </c>
      <c r="F31" s="31">
        <f>F14/F21</f>
        <v>0.46120204206617049</v>
      </c>
      <c r="G31" s="36">
        <f>AVERAGE(C31:F31)*(1+$J$31)</f>
        <v>0.48175847204258615</v>
      </c>
      <c r="H31" s="43">
        <f t="shared" ref="H31:I31" si="44">G31*(1+$J$31)</f>
        <v>0.48898484912322487</v>
      </c>
      <c r="I31" s="43">
        <f t="shared" si="44"/>
        <v>0.49631962186007322</v>
      </c>
      <c r="J31" s="75">
        <v>1.4999999999999999E-2</v>
      </c>
      <c r="K31" s="37">
        <f>K14/K21</f>
        <v>1.6937826667830906</v>
      </c>
      <c r="L31" s="37">
        <f t="shared" ref="L31:W31" si="45">L14/L21</f>
        <v>1.8372933146395145</v>
      </c>
      <c r="M31" s="37">
        <f t="shared" si="45"/>
        <v>1.3909701106853944</v>
      </c>
      <c r="N31" s="37">
        <f t="shared" si="45"/>
        <v>2.0527773672677894</v>
      </c>
      <c r="O31" s="37">
        <f t="shared" si="45"/>
        <v>2.3906934133336644</v>
      </c>
      <c r="P31" s="37">
        <f t="shared" si="45"/>
        <v>2.0062213125673085</v>
      </c>
      <c r="Q31" s="37">
        <f t="shared" si="45"/>
        <v>1.9282288311569902</v>
      </c>
      <c r="R31" s="37">
        <f t="shared" si="45"/>
        <v>1.461071839287742</v>
      </c>
      <c r="S31" s="37">
        <f t="shared" si="45"/>
        <v>1.5755670549555827</v>
      </c>
      <c r="T31" s="37">
        <f t="shared" si="45"/>
        <v>1.6108704217056391</v>
      </c>
      <c r="U31" s="37">
        <f t="shared" si="45"/>
        <v>2.0146689622283724</v>
      </c>
      <c r="V31" s="37">
        <f t="shared" si="45"/>
        <v>1.7101636739044339</v>
      </c>
      <c r="W31" s="37">
        <f t="shared" si="45"/>
        <v>1.694034314072558</v>
      </c>
      <c r="X31" s="36">
        <f>AVERAGE(K31:W31)*(1+$J$30)</f>
        <v>1.8041513130690598</v>
      </c>
      <c r="Y31" s="36">
        <f>X31*(1+$J$30)</f>
        <v>1.8109168804930686</v>
      </c>
      <c r="Z31" s="36">
        <f>Y31*(1+$J$30)</f>
        <v>1.8177078187949176</v>
      </c>
    </row>
    <row r="32" spans="2:26" x14ac:dyDescent="0.35">
      <c r="B32" s="35" t="s">
        <v>1979</v>
      </c>
      <c r="C32" s="41">
        <f>C12/C21</f>
        <v>0</v>
      </c>
      <c r="D32" s="41">
        <f t="shared" ref="D32:F32" si="46">D12/D21</f>
        <v>0</v>
      </c>
      <c r="E32" s="41">
        <f t="shared" si="46"/>
        <v>0</v>
      </c>
      <c r="F32" s="41">
        <f t="shared" si="46"/>
        <v>0</v>
      </c>
      <c r="G32" s="36">
        <f>AVERAGE(C32:F32)*(1+$J$31)</f>
        <v>0</v>
      </c>
      <c r="H32" s="43">
        <f t="shared" ref="H32:I32" si="47">G32*(1+$J$31)</f>
        <v>0</v>
      </c>
      <c r="I32" s="43">
        <f>H32*(1+$J$31)</f>
        <v>0</v>
      </c>
      <c r="K32" s="31">
        <f>K12/K21</f>
        <v>0</v>
      </c>
      <c r="L32" s="31">
        <f t="shared" ref="L32:W32" si="48">L12/L21</f>
        <v>0</v>
      </c>
      <c r="M32" s="31">
        <f t="shared" si="48"/>
        <v>0</v>
      </c>
      <c r="N32" s="31">
        <f t="shared" si="48"/>
        <v>0</v>
      </c>
      <c r="O32" s="31">
        <f t="shared" si="48"/>
        <v>0</v>
      </c>
      <c r="P32" s="31">
        <f t="shared" si="48"/>
        <v>0</v>
      </c>
      <c r="Q32" s="31">
        <f t="shared" si="48"/>
        <v>0</v>
      </c>
      <c r="R32" s="31">
        <f t="shared" si="48"/>
        <v>0</v>
      </c>
      <c r="S32" s="31">
        <f t="shared" si="48"/>
        <v>0</v>
      </c>
      <c r="T32" s="31">
        <f t="shared" si="48"/>
        <v>0</v>
      </c>
      <c r="U32" s="31">
        <f t="shared" si="48"/>
        <v>0</v>
      </c>
      <c r="V32" s="31">
        <f t="shared" si="48"/>
        <v>0</v>
      </c>
      <c r="W32" s="31">
        <f t="shared" si="48"/>
        <v>0</v>
      </c>
      <c r="X32" s="36">
        <f t="shared" ref="X32:X33" si="49">AVERAGE(K32:W32)*(1+$J$30)</f>
        <v>0</v>
      </c>
      <c r="Y32" s="36">
        <f t="shared" ref="Y32:Z32" si="50">X32*(1+$J$30)</f>
        <v>0</v>
      </c>
      <c r="Z32" s="36">
        <f t="shared" si="50"/>
        <v>0</v>
      </c>
    </row>
    <row r="33" spans="2:26" x14ac:dyDescent="0.35">
      <c r="B33" s="35" t="s">
        <v>1980</v>
      </c>
      <c r="C33" s="41">
        <f>C13/C21</f>
        <v>0</v>
      </c>
      <c r="D33" s="41">
        <f t="shared" ref="D33:F33" si="51">D13/D21</f>
        <v>1.1094152877540134E-2</v>
      </c>
      <c r="E33" s="41">
        <f t="shared" si="51"/>
        <v>1.6345210833986629E-2</v>
      </c>
      <c r="F33" s="41">
        <f t="shared" si="51"/>
        <v>3.1168524241552427E-2</v>
      </c>
      <c r="G33" s="36">
        <f t="shared" ref="G33" si="52">AVERAGE(C33:F33)*(1+$J$31)</f>
        <v>1.4871751568093844E-2</v>
      </c>
      <c r="H33" s="43">
        <f t="shared" ref="H33:I33" si="53">G33*(1+$J$31)</f>
        <v>1.509482784161525E-2</v>
      </c>
      <c r="I33" s="43">
        <f t="shared" si="53"/>
        <v>1.5321250259239477E-2</v>
      </c>
      <c r="K33" s="31">
        <f>K14/K21</f>
        <v>1.6937826667830906</v>
      </c>
      <c r="L33" s="31">
        <f t="shared" ref="L33:W33" si="54">L14/L21</f>
        <v>1.8372933146395145</v>
      </c>
      <c r="M33" s="31">
        <f t="shared" si="54"/>
        <v>1.3909701106853944</v>
      </c>
      <c r="N33" s="31">
        <f t="shared" si="54"/>
        <v>2.0527773672677894</v>
      </c>
      <c r="O33" s="31">
        <f t="shared" si="54"/>
        <v>2.3906934133336644</v>
      </c>
      <c r="P33" s="31">
        <f t="shared" si="54"/>
        <v>2.0062213125673085</v>
      </c>
      <c r="Q33" s="31">
        <f t="shared" si="54"/>
        <v>1.9282288311569902</v>
      </c>
      <c r="R33" s="31">
        <f t="shared" si="54"/>
        <v>1.461071839287742</v>
      </c>
      <c r="S33" s="31">
        <f t="shared" si="54"/>
        <v>1.5755670549555827</v>
      </c>
      <c r="T33" s="31">
        <f t="shared" si="54"/>
        <v>1.6108704217056391</v>
      </c>
      <c r="U33" s="31">
        <f t="shared" si="54"/>
        <v>2.0146689622283724</v>
      </c>
      <c r="V33" s="31">
        <f t="shared" si="54"/>
        <v>1.7101636739044339</v>
      </c>
      <c r="W33" s="31">
        <f t="shared" si="54"/>
        <v>1.694034314072558</v>
      </c>
      <c r="X33" s="36">
        <f>AVERAGE(K33:W33)*(1+$J$30)</f>
        <v>1.8041513130690598</v>
      </c>
      <c r="Y33" s="36">
        <f>X33*(1+$J$30)</f>
        <v>1.8109168804930686</v>
      </c>
      <c r="Z33" s="36">
        <f t="shared" ref="Y33:Z33" si="55">Y33*(1+$J$30)</f>
        <v>1.8177078187949176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ED64-15CF-47F4-B954-191C1B9D0327}">
  <dimension ref="B1:Z29"/>
  <sheetViews>
    <sheetView workbookViewId="0">
      <pane xSplit="2" topLeftCell="C1" activePane="topRight" state="frozen"/>
      <selection pane="topRight" activeCell="T10" sqref="T10"/>
    </sheetView>
  </sheetViews>
  <sheetFormatPr defaultRowHeight="14.5" x14ac:dyDescent="0.35"/>
  <cols>
    <col min="2" max="2" width="35.81640625" bestFit="1" customWidth="1"/>
    <col min="3" max="3" width="17.36328125" bestFit="1" customWidth="1"/>
    <col min="4" max="6" width="18.36328125" bestFit="1" customWidth="1"/>
    <col min="7" max="9" width="21.7265625" bestFit="1" customWidth="1"/>
    <col min="10" max="10" width="14.7265625" customWidth="1"/>
    <col min="11" max="11" width="18.453125" customWidth="1"/>
    <col min="12" max="13" width="19.36328125" bestFit="1" customWidth="1"/>
    <col min="14" max="15" width="18.36328125" bestFit="1" customWidth="1"/>
    <col min="16" max="17" width="19.36328125" bestFit="1" customWidth="1"/>
    <col min="18" max="19" width="18.36328125" bestFit="1" customWidth="1"/>
    <col min="20" max="20" width="16.81640625" bestFit="1" customWidth="1"/>
    <col min="21" max="22" width="19.36328125" bestFit="1" customWidth="1"/>
    <col min="23" max="25" width="20.36328125" bestFit="1" customWidth="1"/>
    <col min="26" max="26" width="19.36328125" bestFit="1" customWidth="1"/>
  </cols>
  <sheetData>
    <row r="1" spans="2:26" x14ac:dyDescent="0.35">
      <c r="J1" s="24"/>
    </row>
    <row r="2" spans="2:26" ht="18.5" x14ac:dyDescent="0.45">
      <c r="C2" s="29" t="s">
        <v>1887</v>
      </c>
      <c r="D2" s="29"/>
      <c r="E2" s="29"/>
      <c r="F2" s="29"/>
      <c r="G2" s="30"/>
      <c r="H2" s="30"/>
      <c r="I2" s="30"/>
      <c r="J2" s="24"/>
      <c r="K2" s="29" t="s">
        <v>1888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2:26" x14ac:dyDescent="0.35">
      <c r="B3" s="27" t="s">
        <v>1870</v>
      </c>
      <c r="C3" s="27"/>
      <c r="D3" s="27" t="s">
        <v>1862</v>
      </c>
      <c r="E3" s="27"/>
      <c r="F3" s="27"/>
      <c r="G3" s="27"/>
      <c r="H3" s="27" t="s">
        <v>1866</v>
      </c>
      <c r="I3" s="27"/>
      <c r="J3" s="24"/>
      <c r="K3" s="27" t="s">
        <v>1862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 t="s">
        <v>1866</v>
      </c>
      <c r="Z3" s="27"/>
    </row>
    <row r="4" spans="2:26" x14ac:dyDescent="0.35">
      <c r="B4" s="27" t="s">
        <v>1842</v>
      </c>
      <c r="C4" s="28">
        <v>2020</v>
      </c>
      <c r="D4" s="28">
        <v>2021</v>
      </c>
      <c r="E4" s="28">
        <v>2022</v>
      </c>
      <c r="F4" s="28">
        <v>2023</v>
      </c>
      <c r="G4" s="28" t="s">
        <v>1863</v>
      </c>
      <c r="H4" s="28" t="s">
        <v>1864</v>
      </c>
      <c r="I4" s="28" t="s">
        <v>1865</v>
      </c>
      <c r="J4" s="24"/>
      <c r="K4" s="27" t="s">
        <v>140</v>
      </c>
      <c r="L4" s="27" t="s">
        <v>141</v>
      </c>
      <c r="M4" s="27" t="s">
        <v>142</v>
      </c>
      <c r="N4" s="27" t="s">
        <v>143</v>
      </c>
      <c r="O4" s="27" t="s">
        <v>144</v>
      </c>
      <c r="P4" s="27" t="s">
        <v>145</v>
      </c>
      <c r="Q4" s="27" t="s">
        <v>146</v>
      </c>
      <c r="R4" s="27" t="s">
        <v>147</v>
      </c>
      <c r="S4" s="27" t="s">
        <v>148</v>
      </c>
      <c r="T4" s="27" t="s">
        <v>149</v>
      </c>
      <c r="U4" s="27" t="s">
        <v>150</v>
      </c>
      <c r="V4" s="27" t="s">
        <v>151</v>
      </c>
      <c r="W4" s="27" t="s">
        <v>199</v>
      </c>
      <c r="X4" s="27" t="s">
        <v>200</v>
      </c>
      <c r="Y4" s="27" t="s">
        <v>201</v>
      </c>
      <c r="Z4" s="27" t="s">
        <v>201</v>
      </c>
    </row>
    <row r="5" spans="2:26" x14ac:dyDescent="0.35">
      <c r="B5" s="34" t="s">
        <v>1852</v>
      </c>
      <c r="C5" s="25">
        <f>income_statement_annual_filter!D6</f>
        <v>495852606563</v>
      </c>
      <c r="D5" s="25">
        <f>income_statement_annual_filter!E6</f>
        <v>661346377050</v>
      </c>
      <c r="E5" s="25">
        <f>income_statement_annual_filter!F6</f>
        <v>808703629721</v>
      </c>
      <c r="F5" s="25">
        <f>income_statement_annual_filter!G6</f>
        <v>655479232628</v>
      </c>
      <c r="G5" s="32">
        <f>F5*(1+G21)</f>
        <v>736891361549.23425</v>
      </c>
      <c r="H5" s="32">
        <f>G5*(1+H21)</f>
        <v>829787932354.64124</v>
      </c>
      <c r="I5" s="32">
        <f t="shared" ref="I5" si="0">H5*(1+I21)</f>
        <v>935964669245.86279</v>
      </c>
      <c r="J5" s="24"/>
      <c r="K5" s="25">
        <f>income_statement_quarter_filter!D6</f>
        <v>145646463123</v>
      </c>
      <c r="L5" s="25">
        <f>income_statement_quarter_filter!E6</f>
        <v>148894026784</v>
      </c>
      <c r="M5" s="25">
        <f>income_statement_quarter_filter!F6</f>
        <v>156938670589</v>
      </c>
      <c r="N5" s="25">
        <f>income_statement_quarter_filter!G6</f>
        <v>174116862184</v>
      </c>
      <c r="O5" s="25">
        <f>income_statement_quarter_filter!H6</f>
        <v>157732796054</v>
      </c>
      <c r="P5" s="25">
        <f>income_statement_quarter_filter!I6</f>
        <v>172558048223</v>
      </c>
      <c r="Q5" s="25">
        <f>income_statement_quarter_filter!J6</f>
        <v>186021761861</v>
      </c>
      <c r="R5" s="25">
        <f>income_statement_quarter_filter!K6</f>
        <v>237414229568</v>
      </c>
      <c r="S5" s="25">
        <f>income_statement_quarter_filter!L6</f>
        <v>203437074113</v>
      </c>
      <c r="T5" s="25">
        <f>income_statement_quarter_filter!M6</f>
        <v>181830564179</v>
      </c>
      <c r="U5" s="25">
        <f>income_statement_quarter_filter!N6</f>
        <v>155326855474</v>
      </c>
      <c r="V5" s="25">
        <f>income_statement_quarter_filter!O6</f>
        <v>168567076257</v>
      </c>
      <c r="W5" s="25">
        <f>income_statement_quarter_filter!P6</f>
        <v>178034786564</v>
      </c>
      <c r="X5" s="32">
        <f>W5*(1+X21)</f>
        <v>179790038847.37769</v>
      </c>
      <c r="Y5" s="32">
        <f t="shared" ref="Y5:Z5" si="1">X5*(1+Y21)</f>
        <v>181569243325.4158</v>
      </c>
      <c r="Z5" s="32">
        <f t="shared" si="1"/>
        <v>183372792876.42474</v>
      </c>
    </row>
    <row r="6" spans="2:26" x14ac:dyDescent="0.35">
      <c r="B6" s="34" t="s">
        <v>1853</v>
      </c>
      <c r="C6" s="25">
        <f>income_statement_annual_filter!D7</f>
        <v>171612750911</v>
      </c>
      <c r="D6" s="25">
        <f>income_statement_annual_filter!E7</f>
        <v>286078193456</v>
      </c>
      <c r="E6" s="25">
        <f>income_statement_annual_filter!F7</f>
        <v>308271173619</v>
      </c>
      <c r="F6" s="25">
        <f>income_statement_annual_filter!G7</f>
        <v>287644373035</v>
      </c>
      <c r="G6" s="32">
        <f>F6*(1+G23)</f>
        <v>407744700843.8905</v>
      </c>
      <c r="H6" s="32">
        <f t="shared" ref="H6:I6" si="2">G6*(1+H23)</f>
        <v>580544278992.24036</v>
      </c>
      <c r="I6" s="32">
        <f t="shared" si="2"/>
        <v>830265669345.45398</v>
      </c>
      <c r="J6" s="24"/>
      <c r="K6" s="25">
        <f>income_statement_quarter_filter!D7</f>
        <v>27278216454</v>
      </c>
      <c r="L6" s="25">
        <f>income_statement_quarter_filter!E7</f>
        <v>57753667204</v>
      </c>
      <c r="M6" s="25">
        <f>income_statement_quarter_filter!F7</f>
        <v>64448745381</v>
      </c>
      <c r="N6" s="25">
        <f>income_statement_quarter_filter!G7</f>
        <v>67184602599</v>
      </c>
      <c r="O6" s="25">
        <f>income_statement_quarter_filter!H7</f>
        <v>72379523042</v>
      </c>
      <c r="P6" s="25">
        <f>income_statement_quarter_filter!I7</f>
        <v>84231677255</v>
      </c>
      <c r="Q6" s="25">
        <f>income_statement_quarter_filter!J7</f>
        <v>65696541583</v>
      </c>
      <c r="R6" s="25">
        <f>income_statement_quarter_filter!K7</f>
        <v>80544717278</v>
      </c>
      <c r="S6" s="25">
        <f>income_statement_quarter_filter!L7</f>
        <v>78834538097</v>
      </c>
      <c r="T6" s="25">
        <f>income_statement_quarter_filter!M7</f>
        <v>82933134471</v>
      </c>
      <c r="U6" s="25">
        <f>income_statement_quarter_filter!N7</f>
        <v>64375542079</v>
      </c>
      <c r="V6" s="25">
        <f>income_statement_quarter_filter!O7</f>
        <v>68539599662</v>
      </c>
      <c r="W6" s="25">
        <f>income_statement_quarter_filter!P7</f>
        <v>79641780297</v>
      </c>
      <c r="X6" s="32">
        <f>W6*X23</f>
        <v>31503517490.35611</v>
      </c>
      <c r="Y6" s="32">
        <f t="shared" ref="Y6:Z6" si="3">X6*Y23</f>
        <v>12508426847.11046</v>
      </c>
      <c r="Z6" s="32">
        <f t="shared" si="3"/>
        <v>4985077301.9488993</v>
      </c>
    </row>
    <row r="7" spans="2:26" x14ac:dyDescent="0.35">
      <c r="B7" s="34" t="s">
        <v>1871</v>
      </c>
      <c r="C7" s="25">
        <f>income_statement_annual_filter!D8</f>
        <v>324239855652</v>
      </c>
      <c r="D7" s="25">
        <f>income_statement_annual_filter!E8</f>
        <v>375268183594</v>
      </c>
      <c r="E7" s="25">
        <f>income_statement_annual_filter!F8</f>
        <v>500432456102</v>
      </c>
      <c r="F7" s="25">
        <f>income_statement_annual_filter!G8</f>
        <v>367834859593</v>
      </c>
      <c r="G7" s="32">
        <f>G5-G6</f>
        <v>329146660705.34375</v>
      </c>
      <c r="H7" s="32">
        <f t="shared" ref="H7:I7" si="4">H5-H6</f>
        <v>249243653362.40088</v>
      </c>
      <c r="I7" s="32">
        <f t="shared" si="4"/>
        <v>105698999900.40881</v>
      </c>
      <c r="J7" s="24"/>
      <c r="K7" s="25">
        <f>income_statement_quarter_filter!D8</f>
        <v>118368246669</v>
      </c>
      <c r="L7" s="25">
        <f>income_statement_quarter_filter!E8</f>
        <v>91140359580</v>
      </c>
      <c r="M7" s="25">
        <f>income_statement_quarter_filter!F8</f>
        <v>92489925208</v>
      </c>
      <c r="N7" s="25">
        <f>income_statement_quarter_filter!G8</f>
        <v>106932259585</v>
      </c>
      <c r="O7" s="25">
        <f>income_statement_quarter_filter!H8</f>
        <v>85353273012</v>
      </c>
      <c r="P7" s="25">
        <f>income_statement_quarter_filter!I8</f>
        <v>88326370968</v>
      </c>
      <c r="Q7" s="25">
        <f>income_statement_quarter_filter!J8</f>
        <v>120325220278</v>
      </c>
      <c r="R7" s="25">
        <f>income_statement_quarter_filter!K8</f>
        <v>156869512290</v>
      </c>
      <c r="S7" s="25">
        <f>income_statement_quarter_filter!L8</f>
        <v>124602536016</v>
      </c>
      <c r="T7" s="25">
        <f>income_statement_quarter_filter!M8</f>
        <v>98897429708</v>
      </c>
      <c r="U7" s="25">
        <f>income_statement_quarter_filter!N8</f>
        <v>90951313395</v>
      </c>
      <c r="V7" s="25">
        <f>income_statement_quarter_filter!O8</f>
        <v>100027476595</v>
      </c>
      <c r="W7" s="25">
        <f>income_statement_quarter_filter!P8</f>
        <v>98393006267</v>
      </c>
      <c r="X7" s="32">
        <f>X5-X6</f>
        <v>148286521357.02158</v>
      </c>
      <c r="Y7" s="32">
        <f>Y5-Y6</f>
        <v>169060816478.30533</v>
      </c>
      <c r="Z7" s="32">
        <f t="shared" ref="Z7" si="5">Z5-Z6</f>
        <v>178387715574.47583</v>
      </c>
    </row>
    <row r="8" spans="2:26" x14ac:dyDescent="0.35">
      <c r="B8" s="34" t="s">
        <v>1872</v>
      </c>
      <c r="C8" s="25">
        <f>SUM(income_statement_annual_filter!D13:D14)</f>
        <v>17220227532</v>
      </c>
      <c r="D8" s="25">
        <f>SUM(income_statement_annual_filter!E13:E14)</f>
        <v>21036048837</v>
      </c>
      <c r="E8" s="25">
        <f>SUM(income_statement_annual_filter!F13:F14)</f>
        <v>20890644019</v>
      </c>
      <c r="F8" s="25">
        <f>SUM(income_statement_annual_filter!G13:G14)</f>
        <v>20025613615</v>
      </c>
      <c r="G8" s="32">
        <f>F8*(1+G24)</f>
        <v>20614308442.809666</v>
      </c>
      <c r="H8" s="32">
        <f t="shared" ref="H8:I8" si="6">G8*(1+H24)</f>
        <v>21229399198.446545</v>
      </c>
      <c r="I8" s="32">
        <f t="shared" si="6"/>
        <v>21872344720.455204</v>
      </c>
      <c r="J8" s="24"/>
      <c r="K8" s="25">
        <f>SUM(income_statement_quarter_filter!D13:D14)</f>
        <v>5149739269</v>
      </c>
      <c r="L8" s="25">
        <f>SUM(income_statement_quarter_filter!E13:E14)</f>
        <v>6409988593</v>
      </c>
      <c r="M8" s="25">
        <f>SUM(income_statement_quarter_filter!F13:F14)</f>
        <v>3756802721</v>
      </c>
      <c r="N8" s="25">
        <f>SUM(income_statement_quarter_filter!G13:G14)</f>
        <v>5697684785</v>
      </c>
      <c r="O8" s="25">
        <f>SUM(income_statement_quarter_filter!H13:H14)</f>
        <v>3979418288</v>
      </c>
      <c r="P8" s="25">
        <f>SUM(income_statement_quarter_filter!I13:I14)</f>
        <v>7594821195</v>
      </c>
      <c r="Q8" s="25">
        <f>SUM(income_statement_quarter_filter!J13:J14)</f>
        <v>4403720998</v>
      </c>
      <c r="R8" s="25">
        <f>SUM(income_statement_quarter_filter!K13:K14)</f>
        <v>4879053915</v>
      </c>
      <c r="S8" s="25">
        <f>SUM(income_statement_quarter_filter!L13:L14)</f>
        <v>5309705093</v>
      </c>
      <c r="T8" s="25">
        <f>SUM(income_statement_quarter_filter!M13:M14)</f>
        <v>6312747483</v>
      </c>
      <c r="U8" s="25">
        <f>SUM(income_statement_quarter_filter!N13:N14)</f>
        <v>4352414607</v>
      </c>
      <c r="V8" s="25">
        <f>SUM(income_statement_quarter_filter!O13:O14)</f>
        <v>4219922281</v>
      </c>
      <c r="W8" s="25">
        <f>SUM(income_statement_quarter_filter!P13:P14)</f>
        <v>4863979554</v>
      </c>
      <c r="X8" s="32">
        <f>W8*(1+X24)</f>
        <v>4864526371.4862614</v>
      </c>
      <c r="Y8" s="32">
        <f t="shared" ref="Y8:Z8" si="7">X8*(1+Y24)</f>
        <v>4865075301.2428474</v>
      </c>
      <c r="Z8" s="32">
        <f t="shared" si="7"/>
        <v>4865626351.6614141</v>
      </c>
    </row>
    <row r="9" spans="2:26" x14ac:dyDescent="0.35">
      <c r="B9" s="34" t="s">
        <v>1873</v>
      </c>
      <c r="C9" s="25">
        <f>C7-C8</f>
        <v>307019628120</v>
      </c>
      <c r="D9" s="25">
        <f t="shared" ref="D9:E9" si="8">D7-D8</f>
        <v>354232134757</v>
      </c>
      <c r="E9" s="25">
        <f t="shared" si="8"/>
        <v>479541812083</v>
      </c>
      <c r="F9" s="25">
        <f>F7-F8</f>
        <v>347809245978</v>
      </c>
      <c r="G9" s="32">
        <f>G7-G8</f>
        <v>308532352262.53406</v>
      </c>
      <c r="H9" s="32">
        <f t="shared" ref="H9:I9" si="9">H7-H8</f>
        <v>228014254163.95435</v>
      </c>
      <c r="I9" s="32">
        <f t="shared" si="9"/>
        <v>83826655179.953613</v>
      </c>
      <c r="J9" s="24"/>
      <c r="K9" s="25">
        <f>K7-K8</f>
        <v>113218507400</v>
      </c>
      <c r="L9" s="25">
        <f t="shared" ref="L9:W9" si="10">L7-L8</f>
        <v>84730370987</v>
      </c>
      <c r="M9" s="25">
        <f t="shared" si="10"/>
        <v>88733122487</v>
      </c>
      <c r="N9" s="25">
        <f t="shared" si="10"/>
        <v>101234574800</v>
      </c>
      <c r="O9" s="25">
        <f t="shared" si="10"/>
        <v>81373854724</v>
      </c>
      <c r="P9" s="25">
        <f t="shared" si="10"/>
        <v>80731549773</v>
      </c>
      <c r="Q9" s="25">
        <f t="shared" si="10"/>
        <v>115921499280</v>
      </c>
      <c r="R9" s="25">
        <f t="shared" si="10"/>
        <v>151990458375</v>
      </c>
      <c r="S9" s="25">
        <f t="shared" si="10"/>
        <v>119292830923</v>
      </c>
      <c r="T9" s="25">
        <f t="shared" si="10"/>
        <v>92584682225</v>
      </c>
      <c r="U9" s="25">
        <f t="shared" si="10"/>
        <v>86598898788</v>
      </c>
      <c r="V9" s="25">
        <f t="shared" si="10"/>
        <v>95807554314</v>
      </c>
      <c r="W9" s="25">
        <f t="shared" si="10"/>
        <v>93529026713</v>
      </c>
      <c r="X9" s="32">
        <f>X7-X8</f>
        <v>143421994985.53531</v>
      </c>
      <c r="Y9" s="32">
        <f>Y7-Y8</f>
        <v>164195741177.06247</v>
      </c>
      <c r="Z9" s="32">
        <f t="shared" ref="Z9" si="11">Z7-Z8</f>
        <v>173522089222.81442</v>
      </c>
    </row>
    <row r="10" spans="2:26" x14ac:dyDescent="0.35">
      <c r="B10" s="34" t="s">
        <v>1874</v>
      </c>
      <c r="C10" s="25">
        <f>income_statement_annual_filter!D20</f>
        <v>13767285379</v>
      </c>
      <c r="D10" s="25">
        <f>income_statement_annual_filter!E20</f>
        <v>8754731008</v>
      </c>
      <c r="E10" s="25">
        <f>income_statement_annual_filter!F20</f>
        <v>14822505336</v>
      </c>
      <c r="F10" s="25">
        <f>income_statement_annual_filter!G20</f>
        <v>11651735731</v>
      </c>
      <c r="G10" s="32">
        <f>F10*(1+G25)</f>
        <v>11843377137.042927</v>
      </c>
      <c r="H10" s="32">
        <f t="shared" ref="H10:I10" si="12">G10*(1+H25)</f>
        <v>12041092457.895336</v>
      </c>
      <c r="I10" s="32">
        <f t="shared" si="12"/>
        <v>12245123711.620195</v>
      </c>
      <c r="J10" s="24"/>
      <c r="K10" s="25">
        <f>income_statement_quarter_filter!D20</f>
        <v>1604865545</v>
      </c>
      <c r="L10" s="25">
        <f>income_statement_quarter_filter!E20</f>
        <v>9906951162</v>
      </c>
      <c r="M10" s="25">
        <f>income_statement_quarter_filter!F20</f>
        <v>2891888619</v>
      </c>
      <c r="N10" s="25">
        <f>income_statement_quarter_filter!G20</f>
        <v>1807734429</v>
      </c>
      <c r="O10" s="25">
        <f>income_statement_quarter_filter!H20</f>
        <v>1260679045</v>
      </c>
      <c r="P10" s="25">
        <f>income_statement_quarter_filter!I20</f>
        <v>2785664721</v>
      </c>
      <c r="Q10" s="25">
        <f>income_statement_quarter_filter!J20</f>
        <v>3590625990</v>
      </c>
      <c r="R10" s="25">
        <f>income_statement_quarter_filter!K20</f>
        <v>5164493223</v>
      </c>
      <c r="S10" s="25">
        <f>income_statement_quarter_filter!L20</f>
        <v>3775536104</v>
      </c>
      <c r="T10" s="25">
        <f>income_statement_quarter_filter!M20</f>
        <v>3223340546</v>
      </c>
      <c r="U10" s="25">
        <f>income_statement_quarter_filter!N20</f>
        <v>2822772030</v>
      </c>
      <c r="V10" s="25">
        <f>income_statement_quarter_filter!O20</f>
        <v>3234242506</v>
      </c>
      <c r="W10" s="25">
        <f>income_statement_quarter_filter!P20</f>
        <v>2986239825</v>
      </c>
      <c r="X10" s="32">
        <f>W10*(1+X25)</f>
        <v>2987142502.7594571</v>
      </c>
      <c r="Y10" s="32">
        <f t="shared" ref="Y10:Z10" si="13">X10*(1+Y25)</f>
        <v>2988048839.4443221</v>
      </c>
      <c r="Z10" s="32">
        <f t="shared" si="13"/>
        <v>2988958850.9169559</v>
      </c>
    </row>
    <row r="11" spans="2:26" x14ac:dyDescent="0.35">
      <c r="B11" s="34" t="s">
        <v>1875</v>
      </c>
      <c r="C11" s="25">
        <f>C9-C10</f>
        <v>293252342741</v>
      </c>
      <c r="D11" s="25">
        <f t="shared" ref="D11:F11" si="14">D9-D10</f>
        <v>345477403749</v>
      </c>
      <c r="E11" s="25">
        <f t="shared" si="14"/>
        <v>464719306747</v>
      </c>
      <c r="F11" s="25">
        <f t="shared" si="14"/>
        <v>336157510247</v>
      </c>
      <c r="G11" s="32">
        <f>G9-G10</f>
        <v>296688975125.49115</v>
      </c>
      <c r="H11" s="32">
        <f t="shared" ref="H11:I11" si="15">H9-H10</f>
        <v>215973161706.05902</v>
      </c>
      <c r="I11" s="32">
        <f t="shared" si="15"/>
        <v>71581531468.33342</v>
      </c>
      <c r="J11" s="24"/>
      <c r="K11" s="25">
        <f>K9-K10</f>
        <v>111613641855</v>
      </c>
      <c r="L11" s="25">
        <f t="shared" ref="L11:W11" si="16">L9-L10</f>
        <v>74823419825</v>
      </c>
      <c r="M11" s="25">
        <f t="shared" si="16"/>
        <v>85841233868</v>
      </c>
      <c r="N11" s="25">
        <f t="shared" si="16"/>
        <v>99426840371</v>
      </c>
      <c r="O11" s="25">
        <f t="shared" si="16"/>
        <v>80113175679</v>
      </c>
      <c r="P11" s="25">
        <f t="shared" si="16"/>
        <v>77945885052</v>
      </c>
      <c r="Q11" s="25">
        <f t="shared" si="16"/>
        <v>112330873290</v>
      </c>
      <c r="R11" s="25">
        <f t="shared" si="16"/>
        <v>146825965152</v>
      </c>
      <c r="S11" s="25">
        <f t="shared" si="16"/>
        <v>115517294819</v>
      </c>
      <c r="T11" s="25">
        <f t="shared" si="16"/>
        <v>89361341679</v>
      </c>
      <c r="U11" s="25">
        <f t="shared" si="16"/>
        <v>83776126758</v>
      </c>
      <c r="V11" s="25">
        <f t="shared" si="16"/>
        <v>92573311808</v>
      </c>
      <c r="W11" s="25">
        <f t="shared" si="16"/>
        <v>90542786888</v>
      </c>
      <c r="X11" s="32">
        <f>X9-X10</f>
        <v>140434852482.77585</v>
      </c>
      <c r="Y11" s="32">
        <f t="shared" ref="Y11:Z11" si="17">Y9-Y10</f>
        <v>161207692337.61813</v>
      </c>
      <c r="Z11" s="32">
        <f t="shared" si="17"/>
        <v>170533130371.89746</v>
      </c>
    </row>
    <row r="12" spans="2:26" x14ac:dyDescent="0.35">
      <c r="B12" s="34" t="s">
        <v>1876</v>
      </c>
      <c r="C12" s="25">
        <f>FAS!C6</f>
        <v>114468091603</v>
      </c>
      <c r="D12" s="25">
        <f>FAS!D6</f>
        <v>206365591731</v>
      </c>
      <c r="E12" s="25">
        <f>FAS!E6</f>
        <v>205959572045</v>
      </c>
      <c r="F12" s="25">
        <f>FAS!F6</f>
        <v>205742815269</v>
      </c>
      <c r="G12" s="32">
        <f>FAS!G6</f>
        <v>208626769192.54684</v>
      </c>
      <c r="H12" s="32">
        <f>FAS!H6</f>
        <v>23096942884.037483</v>
      </c>
      <c r="I12" s="32">
        <f>FAS!I6</f>
        <v>2595404243.8704505</v>
      </c>
      <c r="J12" s="24"/>
      <c r="K12" s="25"/>
      <c r="L12" s="25">
        <f>FAS!L6</f>
        <v>114968091604</v>
      </c>
      <c r="M12" s="25">
        <f>FAS!M6</f>
        <v>51793423457</v>
      </c>
      <c r="N12" s="25">
        <f>FAS!N6</f>
        <v>103586846916</v>
      </c>
      <c r="O12" s="25">
        <f>FAS!O6</f>
        <v>155380270374</v>
      </c>
      <c r="P12" s="25">
        <f>FAS!P6</f>
        <v>207226446552</v>
      </c>
      <c r="Q12" s="25">
        <f>FAS!Q6</f>
        <v>51738655648</v>
      </c>
      <c r="R12" s="25">
        <f>FAS!R6</f>
        <v>103477311296</v>
      </c>
      <c r="S12" s="25">
        <f>FAS!S6</f>
        <v>155591086930</v>
      </c>
      <c r="T12" s="25">
        <f>FAS!T6</f>
        <v>205959572045</v>
      </c>
      <c r="U12" s="25">
        <f>FAS!U6</f>
        <v>51436251166</v>
      </c>
      <c r="V12" s="25">
        <f>FAS!V6</f>
        <v>102872502332</v>
      </c>
      <c r="W12" s="25">
        <f>FAS!W6</f>
        <v>0</v>
      </c>
      <c r="X12" s="32">
        <f>FAS!X6</f>
        <v>103188252180.86615</v>
      </c>
      <c r="Y12" s="32">
        <f>FAS!Y6</f>
        <v>2005018339.8974581</v>
      </c>
      <c r="Z12" s="32">
        <f>FAS!Z6</f>
        <v>39104973.944028638</v>
      </c>
    </row>
    <row r="13" spans="2:26" x14ac:dyDescent="0.35">
      <c r="B13" s="34" t="s">
        <v>1877</v>
      </c>
      <c r="C13" s="25"/>
      <c r="D13" s="25">
        <f>FAS!D7</f>
        <v>1202537326131</v>
      </c>
      <c r="E13" s="25">
        <f>FAS!E7</f>
        <v>48960705308</v>
      </c>
      <c r="F13" s="25">
        <f>FAS!F7</f>
        <v>-14344027531</v>
      </c>
      <c r="G13" s="32">
        <f>FAS!G7</f>
        <v>-3683385943023.4404</v>
      </c>
      <c r="H13" s="32">
        <f>FAS!H7</f>
        <v>-406980800383.15216</v>
      </c>
      <c r="I13" s="32">
        <f>FAS!I7</f>
        <v>-45640674755.782539</v>
      </c>
      <c r="J13" s="24"/>
      <c r="K13" s="25"/>
      <c r="L13" s="25">
        <f>FAS!L7</f>
        <v>169853973620</v>
      </c>
      <c r="M13" s="25">
        <f>FAS!M7</f>
        <v>51233120360</v>
      </c>
      <c r="N13" s="25">
        <f>FAS!N7</f>
        <v>124486644658</v>
      </c>
      <c r="O13" s="25">
        <f>FAS!O7</f>
        <v>117586070430</v>
      </c>
      <c r="P13" s="25">
        <f>FAS!P7</f>
        <v>254262896812</v>
      </c>
      <c r="Q13" s="25">
        <f>FAS!Q7</f>
        <v>50276147387</v>
      </c>
      <c r="R13" s="25">
        <f>FAS!R7</f>
        <v>64511224355</v>
      </c>
      <c r="S13" s="25">
        <f>FAS!S7</f>
        <v>112916776212</v>
      </c>
      <c r="T13" s="25">
        <f>FAS!T7</f>
        <v>147726134587</v>
      </c>
      <c r="U13" s="25">
        <f>FAS!U7</f>
        <v>-10716561740</v>
      </c>
      <c r="V13" s="25">
        <f>FAS!V7</f>
        <v>21070974457</v>
      </c>
      <c r="W13" s="25">
        <f>FAS!W7</f>
        <v>-11024111437</v>
      </c>
      <c r="X13" s="32">
        <f>FAS!X7</f>
        <v>-4260886873154.7729</v>
      </c>
      <c r="Y13" s="32">
        <f>FAS!Y7</f>
        <v>-82785646014.69899</v>
      </c>
      <c r="Z13" s="32">
        <f>FAS!Z7</f>
        <v>-1614490568.3477538</v>
      </c>
    </row>
    <row r="14" spans="2:26" x14ac:dyDescent="0.35">
      <c r="B14" s="34" t="s">
        <v>1878</v>
      </c>
      <c r="C14" s="25"/>
      <c r="D14" s="25">
        <f>D15-C15</f>
        <v>-55798094972</v>
      </c>
      <c r="E14" s="25">
        <f t="shared" ref="E14:F14" si="18">E15-D15</f>
        <v>53480024665</v>
      </c>
      <c r="F14" s="25">
        <f t="shared" si="18"/>
        <v>48869926254</v>
      </c>
      <c r="G14" s="32">
        <f t="shared" ref="G14" si="19">G15-F15</f>
        <v>-483784493525.00623</v>
      </c>
      <c r="H14" s="32">
        <f>H15-G15</f>
        <v>-71941330746.064453</v>
      </c>
      <c r="I14" s="32">
        <f t="shared" ref="I14" si="20">I15-H15</f>
        <v>-752096271149.17224</v>
      </c>
      <c r="J14" s="24"/>
      <c r="K14" s="23"/>
      <c r="L14" s="23">
        <f>L15-K15</f>
        <v>-215619793282</v>
      </c>
      <c r="M14" s="23">
        <f t="shared" ref="M14:V14" si="21">M15-L15</f>
        <v>51857089319</v>
      </c>
      <c r="N14" s="23">
        <f t="shared" si="21"/>
        <v>-94544273733</v>
      </c>
      <c r="O14" s="23">
        <f t="shared" si="21"/>
        <v>-13917304040</v>
      </c>
      <c r="P14" s="23">
        <f t="shared" si="21"/>
        <v>79368706068</v>
      </c>
      <c r="Q14" s="23">
        <f t="shared" si="21"/>
        <v>43502781112</v>
      </c>
      <c r="R14" s="23">
        <f t="shared" si="21"/>
        <v>-21892806371</v>
      </c>
      <c r="S14" s="23">
        <f t="shared" si="21"/>
        <v>24528850973</v>
      </c>
      <c r="T14" s="23">
        <f t="shared" si="21"/>
        <v>-5929862595</v>
      </c>
      <c r="U14" s="23">
        <f t="shared" si="21"/>
        <v>31861616094</v>
      </c>
      <c r="V14" s="23">
        <f t="shared" si="21"/>
        <v>8683779435</v>
      </c>
      <c r="W14" s="23">
        <f>W15-V15</f>
        <v>-5671582029</v>
      </c>
      <c r="X14" s="32">
        <f t="shared" ref="X14:Z14" si="22">X15-W15</f>
        <v>-270058189538.96771</v>
      </c>
      <c r="Y14" s="32">
        <f t="shared" si="22"/>
        <v>285967266942.28223</v>
      </c>
      <c r="Z14" s="32">
        <f t="shared" si="22"/>
        <v>-290180340703.16345</v>
      </c>
    </row>
    <row r="15" spans="2:26" x14ac:dyDescent="0.35">
      <c r="B15" s="34" t="s">
        <v>1879</v>
      </c>
      <c r="C15" s="25">
        <f>'NET WORKING ASSET'!C17</f>
        <v>-588080107841</v>
      </c>
      <c r="D15" s="25">
        <f>'NET WORKING ASSET'!D17</f>
        <v>-643878202813</v>
      </c>
      <c r="E15" s="25">
        <f>'NET WORKING ASSET'!E17</f>
        <v>-590398178148</v>
      </c>
      <c r="F15" s="25">
        <f>'NET WORKING ASSET'!F17</f>
        <v>-541528251894</v>
      </c>
      <c r="G15" s="32">
        <f>'NET WORKING ASSET'!G17</f>
        <v>-1025312745419.0062</v>
      </c>
      <c r="H15" s="32">
        <f>'NET WORKING ASSET'!H17</f>
        <v>-1097254076165.0707</v>
      </c>
      <c r="I15" s="32">
        <f>'NET WORKING ASSET'!I17</f>
        <v>-1849350347314.2429</v>
      </c>
      <c r="J15" s="24"/>
      <c r="K15" s="25">
        <f>'NET WORKING ASSET'!K17</f>
        <v>-35498580313</v>
      </c>
      <c r="L15" s="25">
        <f>'NET WORKING ASSET'!L17</f>
        <v>-251118373595</v>
      </c>
      <c r="M15" s="25">
        <f>'NET WORKING ASSET'!M17</f>
        <v>-199261284276</v>
      </c>
      <c r="N15" s="25">
        <f>'NET WORKING ASSET'!N17</f>
        <v>-293805558009</v>
      </c>
      <c r="O15" s="25">
        <f>'NET WORKING ASSET'!O17</f>
        <v>-307722862049</v>
      </c>
      <c r="P15" s="25">
        <f>'NET WORKING ASSET'!P17</f>
        <v>-228354155981</v>
      </c>
      <c r="Q15" s="25">
        <f>'NET WORKING ASSET'!Q17</f>
        <v>-184851374869</v>
      </c>
      <c r="R15" s="25">
        <f>'NET WORKING ASSET'!R17</f>
        <v>-206744181240</v>
      </c>
      <c r="S15" s="25">
        <f>'NET WORKING ASSET'!S17</f>
        <v>-182215330267</v>
      </c>
      <c r="T15" s="25">
        <f>'NET WORKING ASSET'!T17</f>
        <v>-188145192862</v>
      </c>
      <c r="U15" s="25">
        <f>'NET WORKING ASSET'!U17</f>
        <v>-156283576768</v>
      </c>
      <c r="V15" s="25">
        <f>'NET WORKING ASSET'!V17</f>
        <v>-147599797333</v>
      </c>
      <c r="W15" s="25">
        <f>'NET WORKING ASSET'!W17</f>
        <v>-153271379362</v>
      </c>
      <c r="X15" s="32">
        <f>'NET WORKING ASSET'!X17</f>
        <v>-423329568900.96771</v>
      </c>
      <c r="Y15" s="32">
        <f>'NET WORKING ASSET'!Y17</f>
        <v>-137362301958.68552</v>
      </c>
      <c r="Z15" s="32">
        <f>'NET WORKING ASSET'!Z17</f>
        <v>-427542642661.849</v>
      </c>
    </row>
    <row r="16" spans="2:26" x14ac:dyDescent="0.35">
      <c r="B16" s="84" t="s">
        <v>1870</v>
      </c>
      <c r="C16" s="82"/>
      <c r="D16" s="82">
        <f>D11+D12-D13-D14</f>
        <v>-594896235679</v>
      </c>
      <c r="E16" s="82">
        <f>E11+E12-E13-E14</f>
        <v>568238148819</v>
      </c>
      <c r="F16" s="82">
        <f t="shared" ref="F16" si="23">F11+F12-F13-F14</f>
        <v>507374426793</v>
      </c>
      <c r="G16" s="83">
        <f t="shared" ref="G16:I16" si="24">G11+G12-G13-G14</f>
        <v>4672486180866.4844</v>
      </c>
      <c r="H16" s="83">
        <f t="shared" si="24"/>
        <v>717992235719.31311</v>
      </c>
      <c r="I16" s="83">
        <f t="shared" si="24"/>
        <v>871913881617.15869</v>
      </c>
      <c r="J16" s="24"/>
      <c r="K16" s="82"/>
      <c r="L16" s="82">
        <f>L11+L12-L13-L14</f>
        <v>235557331091</v>
      </c>
      <c r="M16" s="82">
        <f t="shared" ref="M16:V16" si="25">M11+M12-M13-M14</f>
        <v>34544447646</v>
      </c>
      <c r="N16" s="82">
        <f t="shared" si="25"/>
        <v>173071316362</v>
      </c>
      <c r="O16" s="82">
        <f t="shared" si="25"/>
        <v>131824679663</v>
      </c>
      <c r="P16" s="82">
        <f t="shared" si="25"/>
        <v>-48459271276</v>
      </c>
      <c r="Q16" s="82">
        <f t="shared" si="25"/>
        <v>70290600439</v>
      </c>
      <c r="R16" s="82">
        <f t="shared" si="25"/>
        <v>207684858464</v>
      </c>
      <c r="S16" s="82">
        <f t="shared" si="25"/>
        <v>133662754564</v>
      </c>
      <c r="T16" s="82">
        <f t="shared" si="25"/>
        <v>153524641732</v>
      </c>
      <c r="U16" s="82">
        <f t="shared" si="25"/>
        <v>114067323570</v>
      </c>
      <c r="V16" s="82">
        <f t="shared" si="25"/>
        <v>165691060248</v>
      </c>
      <c r="W16" s="82">
        <f>W11+W12-W13-W14</f>
        <v>107238480354</v>
      </c>
      <c r="X16" s="83">
        <f>X11+X12-X13-X14</f>
        <v>4774568167357.3828</v>
      </c>
      <c r="Y16" s="83">
        <f t="shared" ref="Y16:Z16" si="26">Y11+Y12-Y13-Y14</f>
        <v>-39968910250.067627</v>
      </c>
      <c r="Z16" s="83">
        <f t="shared" si="26"/>
        <v>462367066617.35266</v>
      </c>
    </row>
    <row r="17" spans="2:26" x14ac:dyDescent="0.35">
      <c r="B17" s="34"/>
      <c r="C17" s="25"/>
      <c r="D17" s="25"/>
      <c r="E17" s="25"/>
      <c r="F17" s="25"/>
      <c r="G17" s="32"/>
      <c r="H17" s="32"/>
      <c r="I17" s="32"/>
      <c r="J17" s="24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4"/>
      <c r="Y17" s="34"/>
      <c r="Z17" s="34"/>
    </row>
    <row r="18" spans="2:26" x14ac:dyDescent="0.35">
      <c r="B18" s="34"/>
      <c r="C18" s="25"/>
      <c r="D18" s="25"/>
      <c r="E18" s="25"/>
      <c r="F18" s="25"/>
      <c r="G18" s="32"/>
      <c r="H18" s="32"/>
      <c r="I18" s="32"/>
      <c r="J18" s="24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4"/>
      <c r="Y18" s="34"/>
      <c r="Z18" s="34"/>
    </row>
    <row r="19" spans="2:26" ht="15.5" x14ac:dyDescent="0.35">
      <c r="B19" s="27" t="s">
        <v>1880</v>
      </c>
      <c r="C19" s="27"/>
      <c r="D19" s="27" t="s">
        <v>1862</v>
      </c>
      <c r="E19" s="27"/>
      <c r="F19" s="27"/>
      <c r="G19" s="27"/>
      <c r="H19" s="27" t="s">
        <v>1866</v>
      </c>
      <c r="I19" s="27"/>
      <c r="J19" s="74" t="s">
        <v>1935</v>
      </c>
      <c r="K19" s="27" t="s">
        <v>1862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 t="s">
        <v>1866</v>
      </c>
      <c r="Z19" s="27"/>
    </row>
    <row r="20" spans="2:26" x14ac:dyDescent="0.35">
      <c r="B20" s="27" t="s">
        <v>1842</v>
      </c>
      <c r="C20" s="28">
        <f>C4</f>
        <v>2020</v>
      </c>
      <c r="D20" s="28">
        <f t="shared" ref="D20:I20" si="27">D4</f>
        <v>2021</v>
      </c>
      <c r="E20" s="28">
        <f t="shared" si="27"/>
        <v>2022</v>
      </c>
      <c r="F20" s="28">
        <f t="shared" si="27"/>
        <v>2023</v>
      </c>
      <c r="G20" s="28" t="str">
        <f t="shared" si="27"/>
        <v>2024F</v>
      </c>
      <c r="H20" s="28" t="str">
        <f t="shared" si="27"/>
        <v>2025F</v>
      </c>
      <c r="I20" s="28" t="str">
        <f t="shared" si="27"/>
        <v>2026F</v>
      </c>
      <c r="J20" s="76">
        <f>J21/4</f>
        <v>3.7499999999999999E-3</v>
      </c>
      <c r="K20" s="27" t="s">
        <v>140</v>
      </c>
      <c r="L20" s="27" t="s">
        <v>141</v>
      </c>
      <c r="M20" s="27" t="s">
        <v>142</v>
      </c>
      <c r="N20" s="27" t="s">
        <v>143</v>
      </c>
      <c r="O20" s="27" t="s">
        <v>144</v>
      </c>
      <c r="P20" s="27" t="s">
        <v>145</v>
      </c>
      <c r="Q20" s="27" t="s">
        <v>146</v>
      </c>
      <c r="R20" s="27" t="s">
        <v>147</v>
      </c>
      <c r="S20" s="27" t="s">
        <v>148</v>
      </c>
      <c r="T20" s="27" t="s">
        <v>149</v>
      </c>
      <c r="U20" s="27" t="s">
        <v>150</v>
      </c>
      <c r="V20" s="27" t="s">
        <v>151</v>
      </c>
      <c r="W20" s="27" t="s">
        <v>199</v>
      </c>
      <c r="X20" s="27" t="s">
        <v>200</v>
      </c>
      <c r="Y20" s="27" t="s">
        <v>201</v>
      </c>
      <c r="Z20" s="27" t="s">
        <v>201</v>
      </c>
    </row>
    <row r="21" spans="2:26" x14ac:dyDescent="0.35">
      <c r="B21" s="34" t="s">
        <v>1881</v>
      </c>
      <c r="C21" s="30"/>
      <c r="D21" s="31">
        <f>(D5-C5)/C5</f>
        <v>0.33375597566002385</v>
      </c>
      <c r="E21" s="31">
        <f t="shared" ref="E21" si="28">(E5-D5)/D5</f>
        <v>0.22281403177605871</v>
      </c>
      <c r="F21" s="31">
        <f>(F5-E5)/E5</f>
        <v>-0.18946915960530794</v>
      </c>
      <c r="G21" s="71">
        <f>AVERAGE(D21:F21)*(1+J21)</f>
        <v>0.12420245351607873</v>
      </c>
      <c r="H21" s="71">
        <f>G21*(1+$J$21)</f>
        <v>0.12606549031881989</v>
      </c>
      <c r="I21" s="71">
        <f>H21*(1+$J$21)</f>
        <v>0.12795647267360216</v>
      </c>
      <c r="J21" s="75">
        <v>1.4999999999999999E-2</v>
      </c>
      <c r="K21" s="30"/>
      <c r="L21" s="37">
        <f>(L5-K5)/L5</f>
        <v>2.1811242070249252E-2</v>
      </c>
      <c r="M21" s="37">
        <f>(M5-L5)/M5</f>
        <v>5.1259793235204437E-2</v>
      </c>
      <c r="N21" s="37">
        <f t="shared" ref="N21:W21" si="29">(N5-M5)/N5</f>
        <v>9.865897753686112E-2</v>
      </c>
      <c r="O21" s="37">
        <f t="shared" si="29"/>
        <v>-0.1038722861692688</v>
      </c>
      <c r="P21" s="37">
        <f t="shared" si="29"/>
        <v>8.5914579596084964E-2</v>
      </c>
      <c r="Q21" s="37">
        <f t="shared" si="29"/>
        <v>7.2377089128208644E-2</v>
      </c>
      <c r="R21" s="37">
        <f t="shared" si="29"/>
        <v>0.21646751250131033</v>
      </c>
      <c r="S21" s="37">
        <f t="shared" si="29"/>
        <v>-0.16701555310477598</v>
      </c>
      <c r="T21" s="37">
        <f t="shared" si="29"/>
        <v>-0.11882771211516364</v>
      </c>
      <c r="U21" s="37">
        <f t="shared" si="29"/>
        <v>-0.17063185000507802</v>
      </c>
      <c r="V21" s="37">
        <f t="shared" si="29"/>
        <v>7.8545710568140553E-2</v>
      </c>
      <c r="W21" s="37">
        <f t="shared" si="29"/>
        <v>5.3178990969815577E-2</v>
      </c>
      <c r="X21" s="42">
        <f>AVERAGE(L21:W21)*(1+$J$20)</f>
        <v>9.8590411304068214E-3</v>
      </c>
      <c r="Y21" s="42">
        <f>X21*(1+$J$20)</f>
        <v>9.8960125346458459E-3</v>
      </c>
      <c r="Z21" s="42">
        <f>Y21*(1+$J$20)</f>
        <v>9.9331225816507666E-3</v>
      </c>
    </row>
    <row r="22" spans="2:26" x14ac:dyDescent="0.35">
      <c r="B22" s="34"/>
      <c r="C22" s="30"/>
      <c r="D22" s="30"/>
      <c r="E22" s="30"/>
      <c r="F22" s="30"/>
      <c r="G22" s="71"/>
      <c r="H22" s="71"/>
      <c r="I22" s="71"/>
      <c r="J22" s="24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4"/>
      <c r="Y22" s="34"/>
      <c r="Z22" s="34"/>
    </row>
    <row r="23" spans="2:26" x14ac:dyDescent="0.35">
      <c r="B23" s="34" t="s">
        <v>1882</v>
      </c>
      <c r="C23" s="41">
        <f>C6/C5</f>
        <v>0.34609629684218657</v>
      </c>
      <c r="D23" s="41">
        <f>D6/D5</f>
        <v>0.43256938176947407</v>
      </c>
      <c r="E23" s="41">
        <f>E6/E5</f>
        <v>0.38119177692494405</v>
      </c>
      <c r="F23" s="41">
        <f>F6/F5</f>
        <v>0.43883064285919948</v>
      </c>
      <c r="G23" s="71">
        <f t="shared" ref="G23" si="30">AVERAGE(D23:F23)*(1+J23)</f>
        <v>0.4175306005178725</v>
      </c>
      <c r="H23" s="71">
        <f t="shared" ref="H23:I23" si="31">G23*(1+$J$21)</f>
        <v>0.42379355952564052</v>
      </c>
      <c r="I23" s="71">
        <f t="shared" si="31"/>
        <v>0.4301504629185251</v>
      </c>
      <c r="J23" s="24"/>
      <c r="K23" s="41">
        <f>K6/K5</f>
        <v>0.18729062051416417</v>
      </c>
      <c r="L23" s="41">
        <f t="shared" ref="L23:W23" si="32">L6/L5</f>
        <v>0.38788437959155359</v>
      </c>
      <c r="M23" s="41">
        <f t="shared" si="32"/>
        <v>0.41066198113645347</v>
      </c>
      <c r="N23" s="41">
        <f t="shared" si="32"/>
        <v>0.38585925427487833</v>
      </c>
      <c r="O23" s="41">
        <f t="shared" si="32"/>
        <v>0.45887427886094651</v>
      </c>
      <c r="P23" s="41">
        <f t="shared" si="32"/>
        <v>0.48813531517316322</v>
      </c>
      <c r="Q23" s="41">
        <f t="shared" si="32"/>
        <v>0.35316589266631104</v>
      </c>
      <c r="R23" s="41">
        <f t="shared" si="32"/>
        <v>0.33925817093844596</v>
      </c>
      <c r="S23" s="41">
        <f t="shared" si="32"/>
        <v>0.38751313368383883</v>
      </c>
      <c r="T23" s="41">
        <f t="shared" si="32"/>
        <v>0.456101177739062</v>
      </c>
      <c r="U23" s="41">
        <f t="shared" si="32"/>
        <v>0.41445210412938382</v>
      </c>
      <c r="V23" s="41">
        <f t="shared" si="32"/>
        <v>0.40660134341716558</v>
      </c>
      <c r="W23" s="41">
        <f t="shared" si="32"/>
        <v>0.44733830861964918</v>
      </c>
      <c r="X23" s="43">
        <f>AVERAGE(K23:W23)*(1+J20)</f>
        <v>0.39556520927675454</v>
      </c>
      <c r="Y23" s="43">
        <f t="shared" ref="Y23:Z25" si="33">X23*(1+$J$20)</f>
        <v>0.39704857881154232</v>
      </c>
      <c r="Z23" s="43">
        <f t="shared" si="33"/>
        <v>0.39853751098208556</v>
      </c>
    </row>
    <row r="24" spans="2:26" x14ac:dyDescent="0.35">
      <c r="B24" s="34" t="s">
        <v>1883</v>
      </c>
      <c r="C24" s="41">
        <f>C8/C5</f>
        <v>3.4728520742004214E-2</v>
      </c>
      <c r="D24" s="41">
        <f>D8/D5</f>
        <v>3.1807914229202171E-2</v>
      </c>
      <c r="E24" s="41">
        <f>E8/E5</f>
        <v>2.5832261969947139E-2</v>
      </c>
      <c r="F24" s="41">
        <f>F8/F5</f>
        <v>3.0551103098585903E-2</v>
      </c>
      <c r="G24" s="71">
        <f>AVERAGE(D24:F24)*(1+J24)</f>
        <v>2.939709309924507E-2</v>
      </c>
      <c r="H24" s="71">
        <f>G24*(1+$J$21)</f>
        <v>2.9838049495733744E-2</v>
      </c>
      <c r="I24" s="71">
        <f t="shared" ref="I24" si="34">H24*(1+$J$21)</f>
        <v>3.0285620238169747E-2</v>
      </c>
      <c r="J24" s="24"/>
      <c r="K24" s="41">
        <f>K8/K5</f>
        <v>3.5357805185087056E-2</v>
      </c>
      <c r="L24" s="41">
        <f t="shared" ref="L24:W24" si="35">L8/L5</f>
        <v>4.3050676588248543E-2</v>
      </c>
      <c r="M24" s="41">
        <f t="shared" si="35"/>
        <v>2.3938030740928925E-2</v>
      </c>
      <c r="N24" s="41">
        <f t="shared" si="35"/>
        <v>3.2723337151452377E-2</v>
      </c>
      <c r="O24" s="41">
        <f t="shared" si="35"/>
        <v>2.5228857837767876E-2</v>
      </c>
      <c r="P24" s="41">
        <f t="shared" si="35"/>
        <v>4.4013138032165673E-2</v>
      </c>
      <c r="Q24" s="41">
        <f t="shared" si="35"/>
        <v>2.3673149603273665E-2</v>
      </c>
      <c r="R24" s="41">
        <f t="shared" si="35"/>
        <v>2.0550806596040805E-2</v>
      </c>
      <c r="S24" s="41">
        <f t="shared" si="35"/>
        <v>2.609998750793428E-2</v>
      </c>
      <c r="T24" s="41">
        <f t="shared" si="35"/>
        <v>3.4717746774329553E-2</v>
      </c>
      <c r="U24" s="41">
        <f t="shared" si="35"/>
        <v>2.8021005084523494E-2</v>
      </c>
      <c r="V24" s="41">
        <f t="shared" si="35"/>
        <v>2.5034083610528075E-2</v>
      </c>
      <c r="W24" s="41">
        <f t="shared" si="35"/>
        <v>2.7320388604232103E-2</v>
      </c>
      <c r="X24" s="43">
        <f>AVERAGE(K24:W24)*J20</f>
        <v>1.1242183076437855E-4</v>
      </c>
      <c r="Y24" s="43">
        <f t="shared" si="33"/>
        <v>1.1284341262974496E-4</v>
      </c>
      <c r="Z24" s="43">
        <f t="shared" si="33"/>
        <v>1.132665754271065E-4</v>
      </c>
    </row>
    <row r="25" spans="2:26" x14ac:dyDescent="0.35">
      <c r="B25" s="34" t="s">
        <v>1884</v>
      </c>
      <c r="C25" s="41">
        <f>C10/C5</f>
        <v>2.776487447434808E-2</v>
      </c>
      <c r="D25" s="41">
        <f>D10/D5</f>
        <v>1.323773942340371E-2</v>
      </c>
      <c r="E25" s="41">
        <f>E10/E5</f>
        <v>1.8328723640221218E-2</v>
      </c>
      <c r="F25" s="41">
        <f>F10/F5</f>
        <v>1.7775903722052223E-2</v>
      </c>
      <c r="G25" s="71">
        <f>AVERAGE(D25:F25)*(1+J25)</f>
        <v>1.6447455595225716E-2</v>
      </c>
      <c r="H25" s="71">
        <f>G25*(1+$J$21)</f>
        <v>1.66941674291541E-2</v>
      </c>
      <c r="I25" s="71">
        <f t="shared" ref="I25" si="36">H25*(1+$J$21)</f>
        <v>1.6944579940591412E-2</v>
      </c>
      <c r="J25" s="24"/>
      <c r="K25" s="41">
        <f>K10/K5</f>
        <v>1.1018911895201147E-2</v>
      </c>
      <c r="L25" s="41">
        <f t="shared" ref="L25:W25" si="37">L10/L5</f>
        <v>6.6536928149387595E-2</v>
      </c>
      <c r="M25" s="41">
        <f t="shared" si="37"/>
        <v>1.8426870879857546E-2</v>
      </c>
      <c r="N25" s="41">
        <f t="shared" si="37"/>
        <v>1.0382305345530841E-2</v>
      </c>
      <c r="O25" s="41">
        <f t="shared" si="37"/>
        <v>7.9924979239473139E-3</v>
      </c>
      <c r="P25" s="41">
        <f t="shared" si="37"/>
        <v>1.6143348569868113E-2</v>
      </c>
      <c r="Q25" s="41">
        <f t="shared" si="37"/>
        <v>1.9302182465527895E-2</v>
      </c>
      <c r="R25" s="41">
        <f t="shared" si="37"/>
        <v>2.1753090505136675E-2</v>
      </c>
      <c r="S25" s="41">
        <f t="shared" si="37"/>
        <v>1.8558741667228571E-2</v>
      </c>
      <c r="T25" s="41">
        <f t="shared" si="37"/>
        <v>1.7727165730107054E-2</v>
      </c>
      <c r="U25" s="41">
        <f t="shared" si="37"/>
        <v>1.8173109996889758E-2</v>
      </c>
      <c r="V25" s="41">
        <f t="shared" si="37"/>
        <v>1.9186679734950279E-2</v>
      </c>
      <c r="W25" s="41">
        <f t="shared" si="37"/>
        <v>1.6773350212243524E-2</v>
      </c>
      <c r="X25" s="43">
        <f>AVERAGE(K25:W25)*J21</f>
        <v>3.022790573952419E-4</v>
      </c>
      <c r="Y25" s="43">
        <f t="shared" si="33"/>
        <v>3.0341260386047402E-4</v>
      </c>
      <c r="Z25" s="43">
        <f t="shared" si="33"/>
        <v>3.0455040112495075E-4</v>
      </c>
    </row>
    <row r="26" spans="2:26" x14ac:dyDescent="0.35">
      <c r="B26" s="34"/>
      <c r="C26" s="41"/>
      <c r="D26" s="41"/>
      <c r="E26" s="41"/>
      <c r="F26" s="41"/>
      <c r="G26" s="71"/>
      <c r="H26" s="71"/>
      <c r="I26" s="71"/>
      <c r="J26" s="24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3"/>
      <c r="Y26" s="43"/>
      <c r="Z26" s="43"/>
    </row>
    <row r="27" spans="2:26" x14ac:dyDescent="0.35">
      <c r="B27" s="34" t="s">
        <v>1885</v>
      </c>
      <c r="C27" s="41">
        <f>C7/C5</f>
        <v>0.65390370315781343</v>
      </c>
      <c r="D27" s="41">
        <f>D7/D5</f>
        <v>0.56743061823052587</v>
      </c>
      <c r="E27" s="41">
        <f>E7/E5</f>
        <v>0.6188082230750559</v>
      </c>
      <c r="F27" s="41">
        <f>F7/F5</f>
        <v>0.56116935714080052</v>
      </c>
      <c r="G27" s="71">
        <f>G7/G5</f>
        <v>0.44666918066911321</v>
      </c>
      <c r="H27" s="71">
        <f t="shared" ref="H27:I27" si="38">H7/H5</f>
        <v>0.30037030383791746</v>
      </c>
      <c r="I27" s="71">
        <f t="shared" si="38"/>
        <v>0.11293054468132215</v>
      </c>
      <c r="J27" s="24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3"/>
      <c r="Y27" s="43"/>
      <c r="Z27" s="43"/>
    </row>
    <row r="28" spans="2:26" x14ac:dyDescent="0.35">
      <c r="B28" s="34" t="s">
        <v>1886</v>
      </c>
      <c r="C28" s="41">
        <f>C9/C5</f>
        <v>0.61917518241580916</v>
      </c>
      <c r="D28" s="41">
        <f>D9/D5</f>
        <v>0.53562270400132372</v>
      </c>
      <c r="E28" s="41">
        <f>E9/E5</f>
        <v>0.59297596110510875</v>
      </c>
      <c r="F28" s="41">
        <f>F9/F5</f>
        <v>0.53061825404221463</v>
      </c>
      <c r="G28" s="71">
        <f>G9/G5</f>
        <v>0.41869448925806135</v>
      </c>
      <c r="H28" s="71">
        <f t="shared" ref="H28:I28" si="39">H9/H5</f>
        <v>0.27478617761640795</v>
      </c>
      <c r="I28" s="71">
        <f t="shared" si="39"/>
        <v>8.9561772932620923E-2</v>
      </c>
      <c r="J28" s="24"/>
      <c r="K28" s="41">
        <f>K7/K5</f>
        <v>0.81270937948583577</v>
      </c>
      <c r="L28" s="41">
        <f t="shared" ref="L28:W28" si="40">L7/L5</f>
        <v>0.61211562040844647</v>
      </c>
      <c r="M28" s="41">
        <f t="shared" si="40"/>
        <v>0.58933801886354653</v>
      </c>
      <c r="N28" s="41">
        <f t="shared" si="40"/>
        <v>0.61414074572512167</v>
      </c>
      <c r="O28" s="41">
        <f t="shared" si="40"/>
        <v>0.54112572113905344</v>
      </c>
      <c r="P28" s="41">
        <f t="shared" si="40"/>
        <v>0.51186468482683678</v>
      </c>
      <c r="Q28" s="41">
        <f t="shared" si="40"/>
        <v>0.64683410733368896</v>
      </c>
      <c r="R28" s="41">
        <f t="shared" si="40"/>
        <v>0.66074182906155399</v>
      </c>
      <c r="S28" s="41">
        <f t="shared" si="40"/>
        <v>0.61248686631616112</v>
      </c>
      <c r="T28" s="41">
        <f t="shared" si="40"/>
        <v>0.543898822260938</v>
      </c>
      <c r="U28" s="41">
        <f t="shared" si="40"/>
        <v>0.58554789587061618</v>
      </c>
      <c r="V28" s="41">
        <f t="shared" si="40"/>
        <v>0.59339865658283442</v>
      </c>
      <c r="W28" s="41">
        <f t="shared" si="40"/>
        <v>0.55266169138035082</v>
      </c>
      <c r="X28" s="43">
        <f>X7/X5</f>
        <v>0.82477606828318673</v>
      </c>
      <c r="Y28" s="43">
        <f>Y7/Y5</f>
        <v>0.93110932987316386</v>
      </c>
      <c r="Z28" s="43">
        <f t="shared" ref="Z28" si="41">Z7/Z5</f>
        <v>0.97281452049809614</v>
      </c>
    </row>
    <row r="29" spans="2:26" x14ac:dyDescent="0.35">
      <c r="B29" s="34"/>
      <c r="C29" s="30"/>
      <c r="D29" s="30"/>
      <c r="E29" s="30"/>
      <c r="F29" s="30"/>
      <c r="G29" s="34"/>
      <c r="H29" s="34"/>
      <c r="I29" s="34"/>
      <c r="J29" s="24"/>
      <c r="K29" s="41">
        <f>K9/K5</f>
        <v>0.77735157430074875</v>
      </c>
      <c r="L29" s="41">
        <f t="shared" ref="L29:W29" si="42">L9/L5</f>
        <v>0.5690649438201979</v>
      </c>
      <c r="M29" s="41">
        <f t="shared" si="42"/>
        <v>0.5653999881226176</v>
      </c>
      <c r="N29" s="41">
        <f t="shared" si="42"/>
        <v>0.5814174085736693</v>
      </c>
      <c r="O29" s="41">
        <f t="shared" si="42"/>
        <v>0.51589686330128559</v>
      </c>
      <c r="P29" s="41">
        <f t="shared" si="42"/>
        <v>0.46785154679467111</v>
      </c>
      <c r="Q29" s="41">
        <f t="shared" si="42"/>
        <v>0.62316095773041524</v>
      </c>
      <c r="R29" s="41">
        <f t="shared" si="42"/>
        <v>0.64019102246551318</v>
      </c>
      <c r="S29" s="41">
        <f t="shared" si="42"/>
        <v>0.58638687880822693</v>
      </c>
      <c r="T29" s="41">
        <f t="shared" si="42"/>
        <v>0.5091810754866084</v>
      </c>
      <c r="U29" s="41">
        <f t="shared" si="42"/>
        <v>0.55752689078609263</v>
      </c>
      <c r="V29" s="41">
        <f t="shared" si="42"/>
        <v>0.56836457297230636</v>
      </c>
      <c r="W29" s="41">
        <f t="shared" si="42"/>
        <v>0.52534130277611879</v>
      </c>
      <c r="X29" s="43">
        <f>X9/X5</f>
        <v>0.79771936145631006</v>
      </c>
      <c r="Y29" s="43">
        <f t="shared" ref="Y29:Z29" si="43">Y9/Y5</f>
        <v>0.90431472957556014</v>
      </c>
      <c r="Z29" s="43">
        <f t="shared" si="43"/>
        <v>0.94628045142853479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D2F5-153E-430F-85C0-BCF2F674A322}">
  <dimension ref="B2:Z15"/>
  <sheetViews>
    <sheetView workbookViewId="0">
      <pane xSplit="2" topLeftCell="C1" activePane="topRight" state="frozen"/>
      <selection pane="topRight" activeCell="C5" sqref="C5:I10"/>
    </sheetView>
  </sheetViews>
  <sheetFormatPr defaultRowHeight="14.5" x14ac:dyDescent="0.35"/>
  <cols>
    <col min="2" max="2" width="34.54296875" bestFit="1" customWidth="1"/>
    <col min="3" max="9" width="19.36328125" bestFit="1" customWidth="1"/>
    <col min="10" max="10" width="19.1796875" customWidth="1"/>
    <col min="11" max="22" width="19.36328125" bestFit="1" customWidth="1"/>
    <col min="23" max="26" width="20.36328125" bestFit="1" customWidth="1"/>
  </cols>
  <sheetData>
    <row r="2" spans="2:26" ht="18.5" x14ac:dyDescent="0.45">
      <c r="B2" s="29" t="s">
        <v>1896</v>
      </c>
      <c r="C2" s="29"/>
      <c r="D2" s="29"/>
      <c r="E2" s="29"/>
      <c r="F2" s="29"/>
      <c r="G2" s="30"/>
      <c r="H2" s="30"/>
      <c r="I2" s="30"/>
      <c r="J2" s="50"/>
      <c r="K2" s="29" t="s">
        <v>1897</v>
      </c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2:26" x14ac:dyDescent="0.35">
      <c r="B3" s="27" t="s">
        <v>1889</v>
      </c>
      <c r="C3" s="27"/>
      <c r="D3" s="27" t="s">
        <v>1862</v>
      </c>
      <c r="E3" s="27"/>
      <c r="F3" s="27"/>
      <c r="G3" s="27"/>
      <c r="H3" s="27" t="s">
        <v>1866</v>
      </c>
      <c r="I3" s="27"/>
      <c r="J3" s="50"/>
      <c r="K3" s="27" t="s">
        <v>1862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 t="s">
        <v>1866</v>
      </c>
      <c r="Z3" s="27"/>
    </row>
    <row r="4" spans="2:26" x14ac:dyDescent="0.35">
      <c r="B4" s="44" t="s">
        <v>1842</v>
      </c>
      <c r="C4" s="28">
        <v>2020</v>
      </c>
      <c r="D4" s="28">
        <v>2021</v>
      </c>
      <c r="E4" s="28">
        <v>2022</v>
      </c>
      <c r="F4" s="28">
        <v>2023</v>
      </c>
      <c r="G4" s="28" t="s">
        <v>1863</v>
      </c>
      <c r="H4" s="28" t="s">
        <v>1864</v>
      </c>
      <c r="I4" s="28" t="s">
        <v>1865</v>
      </c>
      <c r="J4" s="50"/>
      <c r="K4" s="27" t="s">
        <v>140</v>
      </c>
      <c r="L4" s="27" t="s">
        <v>141</v>
      </c>
      <c r="M4" s="27" t="s">
        <v>142</v>
      </c>
      <c r="N4" s="27" t="s">
        <v>143</v>
      </c>
      <c r="O4" s="27" t="s">
        <v>144</v>
      </c>
      <c r="P4" s="27" t="s">
        <v>145</v>
      </c>
      <c r="Q4" s="27" t="s">
        <v>146</v>
      </c>
      <c r="R4" s="27" t="s">
        <v>147</v>
      </c>
      <c r="S4" s="27" t="s">
        <v>148</v>
      </c>
      <c r="T4" s="27" t="s">
        <v>149</v>
      </c>
      <c r="U4" s="27" t="s">
        <v>150</v>
      </c>
      <c r="V4" s="27" t="s">
        <v>151</v>
      </c>
      <c r="W4" s="27" t="s">
        <v>199</v>
      </c>
      <c r="X4" s="27" t="s">
        <v>200</v>
      </c>
      <c r="Y4" s="27" t="s">
        <v>201</v>
      </c>
      <c r="Z4" s="27" t="s">
        <v>201</v>
      </c>
    </row>
    <row r="5" spans="2:26" x14ac:dyDescent="0.35">
      <c r="B5" s="34" t="s">
        <v>1890</v>
      </c>
      <c r="C5" s="25"/>
      <c r="D5" s="25">
        <f>C8</f>
        <v>3757450373418</v>
      </c>
      <c r="E5" s="25">
        <f t="shared" ref="E5" si="0">D8</f>
        <v>4753622107818</v>
      </c>
      <c r="F5" s="25">
        <f>E8</f>
        <v>4596623241081</v>
      </c>
      <c r="G5" s="32">
        <f t="shared" ref="G5:I5" si="1">F8</f>
        <v>4376536398281</v>
      </c>
      <c r="H5" s="32">
        <f>G8</f>
        <v>484523686065.01251</v>
      </c>
      <c r="I5" s="32">
        <f t="shared" si="1"/>
        <v>54445942797.822891</v>
      </c>
      <c r="J5" s="50"/>
      <c r="K5" s="25"/>
      <c r="L5" s="25">
        <f>K8</f>
        <v>4662399572164</v>
      </c>
      <c r="M5" s="25">
        <f t="shared" ref="M5:W5" si="2">L8</f>
        <v>4717285454180</v>
      </c>
      <c r="N5" s="25">
        <f t="shared" si="2"/>
        <v>4716725151083</v>
      </c>
      <c r="O5" s="25">
        <f t="shared" si="2"/>
        <v>4737624948825</v>
      </c>
      <c r="P5" s="25">
        <f t="shared" si="2"/>
        <v>4699830748881</v>
      </c>
      <c r="Q5" s="25">
        <f t="shared" si="2"/>
        <v>4746867199141</v>
      </c>
      <c r="R5" s="25">
        <f t="shared" si="2"/>
        <v>4745404690880</v>
      </c>
      <c r="S5" s="25">
        <f t="shared" si="2"/>
        <v>4706438603939</v>
      </c>
      <c r="T5" s="25">
        <f t="shared" si="2"/>
        <v>4663764293221</v>
      </c>
      <c r="U5" s="25">
        <f t="shared" si="2"/>
        <v>4605530855763</v>
      </c>
      <c r="V5" s="25">
        <f t="shared" si="2"/>
        <v>4543378042857</v>
      </c>
      <c r="W5" s="25">
        <f t="shared" si="2"/>
        <v>4461576514982</v>
      </c>
      <c r="X5" s="32">
        <f t="shared" ref="X5" si="3">W8</f>
        <v>4450552403545</v>
      </c>
      <c r="Y5" s="32">
        <f t="shared" ref="Y5" si="4">X8</f>
        <v>86477278209.360748</v>
      </c>
      <c r="Z5" s="32">
        <f t="shared" ref="Z5" si="5">Y8</f>
        <v>1686613854.7642994</v>
      </c>
    </row>
    <row r="6" spans="2:26" x14ac:dyDescent="0.35">
      <c r="B6" s="34" t="s">
        <v>1891</v>
      </c>
      <c r="C6" s="25">
        <f>cash_flow_annual_filter!D7</f>
        <v>114468091603</v>
      </c>
      <c r="D6" s="25">
        <f>cash_flow_annual_filter!E7</f>
        <v>206365591731</v>
      </c>
      <c r="E6" s="25">
        <f>cash_flow_annual_filter!F7</f>
        <v>205959572045</v>
      </c>
      <c r="F6" s="25">
        <f>cash_flow_annual_filter!G7</f>
        <v>205742815269</v>
      </c>
      <c r="G6" s="32">
        <f>G13*G5</f>
        <v>208626769192.54684</v>
      </c>
      <c r="H6" s="32">
        <f t="shared" ref="H6:I6" si="6">H13*H5</f>
        <v>23096942884.037483</v>
      </c>
      <c r="I6" s="32">
        <f t="shared" si="6"/>
        <v>2595404243.8704505</v>
      </c>
      <c r="J6" s="50"/>
      <c r="K6" s="25">
        <f>cash_flow_quarter_filter!D7</f>
        <v>76476068703</v>
      </c>
      <c r="L6" s="25">
        <f>cash_flow_quarter_filter!E7</f>
        <v>114968091604</v>
      </c>
      <c r="M6" s="25">
        <f>cash_flow_quarter_filter!F7</f>
        <v>51793423457</v>
      </c>
      <c r="N6" s="25">
        <f>cash_flow_quarter_filter!G7</f>
        <v>103586846916</v>
      </c>
      <c r="O6" s="25">
        <f>cash_flow_quarter_filter!H7</f>
        <v>155380270374</v>
      </c>
      <c r="P6" s="25">
        <f>cash_flow_quarter_filter!I7</f>
        <v>207226446552</v>
      </c>
      <c r="Q6" s="25">
        <f>cash_flow_quarter_filter!J7</f>
        <v>51738655648</v>
      </c>
      <c r="R6" s="25">
        <f>cash_flow_quarter_filter!K7</f>
        <v>103477311296</v>
      </c>
      <c r="S6" s="25">
        <f>cash_flow_quarter_filter!L7</f>
        <v>155591086930</v>
      </c>
      <c r="T6" s="25">
        <f>cash_flow_quarter_filter!M7</f>
        <v>205959572045</v>
      </c>
      <c r="U6" s="25">
        <f>cash_flow_quarter_filter!N7</f>
        <v>51436251166</v>
      </c>
      <c r="V6" s="25">
        <f>cash_flow_quarter_filter!O7</f>
        <v>102872502332</v>
      </c>
      <c r="W6" s="25">
        <f>cash_flow_quarter_filter!P7</f>
        <v>0</v>
      </c>
      <c r="X6" s="34">
        <f>X5*X13</f>
        <v>103188252180.86615</v>
      </c>
      <c r="Y6" s="34">
        <f t="shared" ref="Y6:Z6" si="7">Y5*Y13</f>
        <v>2005018339.8974581</v>
      </c>
      <c r="Z6" s="34">
        <f t="shared" si="7"/>
        <v>39104973.944028638</v>
      </c>
    </row>
    <row r="7" spans="2:26" x14ac:dyDescent="0.35">
      <c r="B7" s="34" t="s">
        <v>1892</v>
      </c>
      <c r="C7" s="25"/>
      <c r="D7" s="25">
        <f>D8-D5+D6</f>
        <v>1202537326131</v>
      </c>
      <c r="E7" s="25">
        <f t="shared" ref="E7" si="8">E8-E5+E6</f>
        <v>48960705308</v>
      </c>
      <c r="F7" s="25">
        <f>F8-F5+F6</f>
        <v>-14344027531</v>
      </c>
      <c r="G7" s="32">
        <f>G8-G5+G6</f>
        <v>-3683385943023.4404</v>
      </c>
      <c r="H7" s="32">
        <f t="shared" ref="H7:I7" si="9">H8-H5+H6</f>
        <v>-406980800383.15216</v>
      </c>
      <c r="I7" s="32">
        <f t="shared" si="9"/>
        <v>-45640674755.782539</v>
      </c>
      <c r="J7" s="50"/>
      <c r="K7" s="25"/>
      <c r="L7" s="25">
        <f>L8-L5+L6</f>
        <v>169853973620</v>
      </c>
      <c r="M7" s="25">
        <f t="shared" ref="M7:V7" si="10">M8-M5+M6</f>
        <v>51233120360</v>
      </c>
      <c r="N7" s="25">
        <f t="shared" si="10"/>
        <v>124486644658</v>
      </c>
      <c r="O7" s="25">
        <f t="shared" si="10"/>
        <v>117586070430</v>
      </c>
      <c r="P7" s="25">
        <f t="shared" si="10"/>
        <v>254262896812</v>
      </c>
      <c r="Q7" s="25">
        <f t="shared" si="10"/>
        <v>50276147387</v>
      </c>
      <c r="R7" s="25">
        <f t="shared" si="10"/>
        <v>64511224355</v>
      </c>
      <c r="S7" s="25">
        <f t="shared" si="10"/>
        <v>112916776212</v>
      </c>
      <c r="T7" s="25">
        <f t="shared" si="10"/>
        <v>147726134587</v>
      </c>
      <c r="U7" s="25">
        <f t="shared" si="10"/>
        <v>-10716561740</v>
      </c>
      <c r="V7" s="25">
        <f t="shared" si="10"/>
        <v>21070974457</v>
      </c>
      <c r="W7" s="25">
        <f>W8-W5+W6</f>
        <v>-11024111437</v>
      </c>
      <c r="X7" s="32">
        <f>X8-X5+X6</f>
        <v>-4260886873154.7729</v>
      </c>
      <c r="Y7" s="32">
        <f t="shared" ref="Y7:Z7" si="11">Y8-Y5+Y6</f>
        <v>-82785646014.69899</v>
      </c>
      <c r="Z7" s="32">
        <f t="shared" si="11"/>
        <v>-1614490568.3477538</v>
      </c>
    </row>
    <row r="8" spans="2:26" x14ac:dyDescent="0.35">
      <c r="B8" s="34" t="s">
        <v>1893</v>
      </c>
      <c r="C8" s="25">
        <f>balance_sheet_annual_filter!D4</f>
        <v>3757450373418</v>
      </c>
      <c r="D8" s="25">
        <f>balance_sheet_annual_filter!E68</f>
        <v>4753622107818</v>
      </c>
      <c r="E8" s="25">
        <f>balance_sheet_annual_filter!F68</f>
        <v>4596623241081</v>
      </c>
      <c r="F8" s="25">
        <f>balance_sheet_annual_filter!G68</f>
        <v>4376536398281</v>
      </c>
      <c r="G8" s="32">
        <f>G5*G14</f>
        <v>484523686065.01251</v>
      </c>
      <c r="H8" s="32">
        <f>H5*H14</f>
        <v>54445942797.822891</v>
      </c>
      <c r="I8" s="32">
        <f t="shared" ref="I8" si="12">I5*I14</f>
        <v>6209863798.1699009</v>
      </c>
      <c r="J8" s="50"/>
      <c r="K8" s="25">
        <f>balance_sheet_quarter_filter!D4</f>
        <v>4662399572164</v>
      </c>
      <c r="L8" s="25">
        <f>balance_sheet_quarter_filter!E4</f>
        <v>4717285454180</v>
      </c>
      <c r="M8" s="25">
        <f>balance_sheet_quarter_filter!F4</f>
        <v>4716725151083</v>
      </c>
      <c r="N8" s="25">
        <f>balance_sheet_quarter_filter!G4</f>
        <v>4737624948825</v>
      </c>
      <c r="O8" s="25">
        <f>balance_sheet_quarter_filter!H4</f>
        <v>4699830748881</v>
      </c>
      <c r="P8" s="25">
        <f>balance_sheet_quarter_filter!I4</f>
        <v>4746867199141</v>
      </c>
      <c r="Q8" s="25">
        <f>balance_sheet_quarter_filter!J4</f>
        <v>4745404690880</v>
      </c>
      <c r="R8" s="25">
        <f>balance_sheet_quarter_filter!K4</f>
        <v>4706438603939</v>
      </c>
      <c r="S8" s="25">
        <f>balance_sheet_quarter_filter!L4</f>
        <v>4663764293221</v>
      </c>
      <c r="T8" s="25">
        <f>balance_sheet_quarter_filter!M4</f>
        <v>4605530855763</v>
      </c>
      <c r="U8" s="25">
        <f>balance_sheet_quarter_filter!N4</f>
        <v>4543378042857</v>
      </c>
      <c r="V8" s="25">
        <f>balance_sheet_quarter_filter!O4</f>
        <v>4461576514982</v>
      </c>
      <c r="W8" s="25">
        <f>balance_sheet_quarter_filter!P4</f>
        <v>4450552403545</v>
      </c>
      <c r="X8" s="34">
        <f>X5*X14</f>
        <v>86477278209.360748</v>
      </c>
      <c r="Y8" s="34">
        <f t="shared" ref="Y8:Z8" si="13">Y5*Y14</f>
        <v>1686613854.7642994</v>
      </c>
      <c r="Z8" s="34">
        <f t="shared" si="13"/>
        <v>33018312.472516902</v>
      </c>
    </row>
    <row r="9" spans="2:26" x14ac:dyDescent="0.35">
      <c r="B9" s="34"/>
      <c r="C9" s="25"/>
      <c r="D9" s="25"/>
      <c r="E9" s="25"/>
      <c r="F9" s="25"/>
      <c r="G9" s="32"/>
      <c r="H9" s="32"/>
      <c r="I9" s="32"/>
      <c r="J9" s="50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34"/>
      <c r="Y9" s="34"/>
      <c r="Z9" s="34"/>
    </row>
    <row r="10" spans="2:26" x14ac:dyDescent="0.35">
      <c r="B10" s="34"/>
      <c r="C10" s="25"/>
      <c r="D10" s="25"/>
      <c r="E10" s="25"/>
      <c r="F10" s="25"/>
      <c r="G10" s="32"/>
      <c r="H10" s="32"/>
      <c r="I10" s="32"/>
      <c r="J10" s="50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34"/>
      <c r="Y10" s="34"/>
      <c r="Z10" s="34"/>
    </row>
    <row r="11" spans="2:26" x14ac:dyDescent="0.35">
      <c r="B11" s="27" t="s">
        <v>1880</v>
      </c>
      <c r="C11" s="27"/>
      <c r="D11" s="27" t="s">
        <v>1862</v>
      </c>
      <c r="E11" s="27"/>
      <c r="F11" s="27"/>
      <c r="G11" s="27"/>
      <c r="H11" s="27" t="s">
        <v>1866</v>
      </c>
      <c r="I11" s="27"/>
      <c r="J11" s="50"/>
      <c r="K11" s="27" t="s">
        <v>1862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2:26" x14ac:dyDescent="0.35">
      <c r="B12" s="44" t="s">
        <v>1842</v>
      </c>
      <c r="C12" s="28">
        <v>2020</v>
      </c>
      <c r="D12" s="28">
        <v>2021</v>
      </c>
      <c r="E12" s="28">
        <v>2022</v>
      </c>
      <c r="F12" s="28">
        <v>2023</v>
      </c>
      <c r="G12" s="28" t="s">
        <v>1863</v>
      </c>
      <c r="H12" s="28" t="s">
        <v>1864</v>
      </c>
      <c r="I12" s="28" t="s">
        <v>1865</v>
      </c>
      <c r="J12" s="72" t="s">
        <v>1935</v>
      </c>
      <c r="K12" s="27" t="s">
        <v>140</v>
      </c>
      <c r="L12" s="27" t="s">
        <v>141</v>
      </c>
      <c r="M12" s="27" t="s">
        <v>142</v>
      </c>
      <c r="N12" s="27" t="s">
        <v>143</v>
      </c>
      <c r="O12" s="27" t="s">
        <v>144</v>
      </c>
      <c r="P12" s="27" t="s">
        <v>145</v>
      </c>
      <c r="Q12" s="27" t="s">
        <v>146</v>
      </c>
      <c r="R12" s="27" t="s">
        <v>147</v>
      </c>
      <c r="S12" s="27" t="s">
        <v>148</v>
      </c>
      <c r="T12" s="27" t="s">
        <v>149</v>
      </c>
      <c r="U12" s="27" t="s">
        <v>150</v>
      </c>
      <c r="V12" s="27" t="s">
        <v>151</v>
      </c>
      <c r="W12" s="27" t="s">
        <v>199</v>
      </c>
      <c r="X12" s="27" t="s">
        <v>200</v>
      </c>
      <c r="Y12" s="27" t="s">
        <v>201</v>
      </c>
      <c r="Z12" s="27" t="s">
        <v>201</v>
      </c>
    </row>
    <row r="13" spans="2:26" x14ac:dyDescent="0.35">
      <c r="B13" s="34" t="s">
        <v>1894</v>
      </c>
      <c r="C13" s="31"/>
      <c r="D13" s="31">
        <f>D6/D5</f>
        <v>5.4921707866304459E-2</v>
      </c>
      <c r="E13" s="31">
        <f t="shared" ref="E13" si="14">E6/E5</f>
        <v>4.3326871041404515E-2</v>
      </c>
      <c r="F13" s="31">
        <f>F6/F5</f>
        <v>4.4759555978012878E-2</v>
      </c>
      <c r="G13" s="42">
        <f>AVERAGE($D$13:$F$13)</f>
        <v>4.7669378295240615E-2</v>
      </c>
      <c r="H13" s="42">
        <f>AVERAGE($D$13:$F$13)</f>
        <v>4.7669378295240615E-2</v>
      </c>
      <c r="I13" s="42">
        <f>AVERAGE($D$13:$F$13)</f>
        <v>4.7669378295240615E-2</v>
      </c>
      <c r="J13" s="73">
        <f>J14/4</f>
        <v>3.7499999999999999E-3</v>
      </c>
      <c r="K13" s="41"/>
      <c r="L13" s="41">
        <f>L6/L5</f>
        <v>2.4658566865524752E-2</v>
      </c>
      <c r="M13" s="41">
        <f t="shared" ref="M13:V13" si="15">M6/M5</f>
        <v>1.0979497416486786E-2</v>
      </c>
      <c r="N13" s="41">
        <f t="shared" si="15"/>
        <v>2.1961603357833048E-2</v>
      </c>
      <c r="O13" s="41">
        <f t="shared" si="15"/>
        <v>3.2797081249020477E-2</v>
      </c>
      <c r="P13" s="41">
        <f t="shared" si="15"/>
        <v>4.4092321112061177E-2</v>
      </c>
      <c r="Q13" s="41">
        <f t="shared" si="15"/>
        <v>1.0899537205793898E-2</v>
      </c>
      <c r="R13" s="41">
        <f t="shared" si="15"/>
        <v>2.1805792769343534E-2</v>
      </c>
      <c r="S13" s="41">
        <f t="shared" si="15"/>
        <v>3.3059198265070283E-2</v>
      </c>
      <c r="T13" s="41">
        <f t="shared" si="15"/>
        <v>4.4161659787217783E-2</v>
      </c>
      <c r="U13" s="41">
        <f t="shared" si="15"/>
        <v>1.1168365336568467E-2</v>
      </c>
      <c r="V13" s="41">
        <f t="shared" si="15"/>
        <v>2.2642294205240946E-2</v>
      </c>
      <c r="W13" s="41">
        <f>W6/W5</f>
        <v>0</v>
      </c>
      <c r="X13" s="71">
        <f>AVERAGE($L$13:$W$13)</f>
        <v>2.3185493130846762E-2</v>
      </c>
      <c r="Y13" s="71">
        <f t="shared" ref="Y13:Z13" si="16">AVERAGE($L$13:$W$13)</f>
        <v>2.3185493130846762E-2</v>
      </c>
      <c r="Z13" s="71">
        <f t="shared" si="16"/>
        <v>2.3185493130846762E-2</v>
      </c>
    </row>
    <row r="14" spans="2:26" x14ac:dyDescent="0.35">
      <c r="B14" s="34" t="s">
        <v>1895</v>
      </c>
      <c r="C14" s="31"/>
      <c r="D14" s="31">
        <f>D7/D5</f>
        <v>0.32004077409466902</v>
      </c>
      <c r="E14" s="31">
        <f t="shared" ref="E14" si="17">E7/E5</f>
        <v>1.0299662909148213E-2</v>
      </c>
      <c r="F14" s="31">
        <f>F7/F5</f>
        <v>-3.1205575873185284E-3</v>
      </c>
      <c r="G14" s="71">
        <f>AVERAGE(D14:F14)*(1+$J$14)</f>
        <v>0.11070939253591537</v>
      </c>
      <c r="H14" s="71">
        <f>G14*(1+$J$14)</f>
        <v>0.11237003342395409</v>
      </c>
      <c r="I14" s="71">
        <f>H14*(1+$J$14)</f>
        <v>0.11405558392531338</v>
      </c>
      <c r="J14" s="70">
        <v>1.4999999999999999E-2</v>
      </c>
      <c r="K14" s="41"/>
      <c r="L14" s="41">
        <f>L7/L5</f>
        <v>3.6430591370607092E-2</v>
      </c>
      <c r="M14" s="41">
        <f t="shared" ref="M14:W14" si="18">M7/M5</f>
        <v>1.0860720822947484E-2</v>
      </c>
      <c r="N14" s="41">
        <f t="shared" si="18"/>
        <v>2.6392600940382718E-2</v>
      </c>
      <c r="O14" s="41">
        <f t="shared" si="18"/>
        <v>2.4819624115489144E-2</v>
      </c>
      <c r="P14" s="41">
        <f t="shared" si="18"/>
        <v>5.4100436887549279E-2</v>
      </c>
      <c r="Q14" s="41">
        <f t="shared" si="18"/>
        <v>1.0591437526648742E-2</v>
      </c>
      <c r="R14" s="41">
        <f t="shared" si="18"/>
        <v>1.3594462128589686E-2</v>
      </c>
      <c r="S14" s="41">
        <f t="shared" si="18"/>
        <v>2.3991979013068522E-2</v>
      </c>
      <c r="T14" s="41">
        <f t="shared" si="18"/>
        <v>3.1675300315182495E-2</v>
      </c>
      <c r="U14" s="41">
        <f t="shared" si="18"/>
        <v>-2.3268895759519523E-3</v>
      </c>
      <c r="V14" s="41">
        <f t="shared" si="18"/>
        <v>4.6377330387743819E-3</v>
      </c>
      <c r="W14" s="41">
        <f t="shared" si="18"/>
        <v>-2.4709004541289318E-3</v>
      </c>
      <c r="X14" s="43">
        <f>AVERAGE(L14:W14)*(1+J13)</f>
        <v>1.9430684186636914E-2</v>
      </c>
      <c r="Y14" s="43">
        <f>X14*(1+$J$13)</f>
        <v>1.9503549252336803E-2</v>
      </c>
      <c r="Z14" s="43">
        <f>Y14*(1+$J$13)</f>
        <v>1.9576687562033065E-2</v>
      </c>
    </row>
    <row r="15" spans="2:26" x14ac:dyDescent="0.35">
      <c r="B15" s="34"/>
      <c r="C15" s="31"/>
      <c r="D15" s="31"/>
      <c r="E15" s="31"/>
      <c r="F15" s="31"/>
      <c r="G15" s="34"/>
      <c r="H15" s="34"/>
      <c r="I15" s="34"/>
      <c r="J15" s="50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34"/>
      <c r="Y15" s="34"/>
      <c r="Z15" s="3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7D30-E272-422E-9998-40045C65F6FF}">
  <dimension ref="B1:G18"/>
  <sheetViews>
    <sheetView workbookViewId="0">
      <pane xSplit="2" topLeftCell="C1" activePane="topRight" state="frozen"/>
      <selection pane="topRight" activeCell="C18" sqref="C18"/>
    </sheetView>
  </sheetViews>
  <sheetFormatPr defaultRowHeight="14.5" x14ac:dyDescent="0.35"/>
  <cols>
    <col min="2" max="2" width="34" bestFit="1" customWidth="1"/>
    <col min="3" max="3" width="22.08984375" style="49" customWidth="1"/>
    <col min="4" max="6" width="21.7265625" bestFit="1" customWidth="1"/>
    <col min="7" max="7" width="9" customWidth="1"/>
    <col min="8" max="8" width="11.81640625" bestFit="1" customWidth="1"/>
  </cols>
  <sheetData>
    <row r="1" spans="2:7" x14ac:dyDescent="0.35">
      <c r="B1" s="27"/>
      <c r="C1" s="57" t="s">
        <v>1916</v>
      </c>
      <c r="D1" s="27"/>
      <c r="E1" s="27"/>
      <c r="F1" s="27"/>
      <c r="G1" s="50"/>
    </row>
    <row r="2" spans="2:7" x14ac:dyDescent="0.35">
      <c r="B2" s="27" t="s">
        <v>1911</v>
      </c>
      <c r="C2" s="58">
        <v>2020</v>
      </c>
      <c r="D2" s="58">
        <v>2021</v>
      </c>
      <c r="E2" s="58">
        <v>2022</v>
      </c>
      <c r="F2" s="58">
        <v>2023</v>
      </c>
      <c r="G2" s="55"/>
    </row>
    <row r="3" spans="2:7" x14ac:dyDescent="0.35">
      <c r="B3" s="34" t="s">
        <v>1898</v>
      </c>
      <c r="C3" s="59">
        <f>balance_sheet_annual_filter!D100</f>
        <v>1652693449394</v>
      </c>
      <c r="D3" s="59">
        <f>balance_sheet_annual_filter!E100</f>
        <v>1759967133548</v>
      </c>
      <c r="E3" s="59">
        <f>balance_sheet_annual_filter!F100</f>
        <v>1915395571532</v>
      </c>
      <c r="F3" s="59">
        <f>balance_sheet_annual_filter!G100</f>
        <v>1981590062446</v>
      </c>
      <c r="G3" s="56"/>
    </row>
    <row r="4" spans="2:7" x14ac:dyDescent="0.35">
      <c r="B4" s="34" t="s">
        <v>1899</v>
      </c>
      <c r="C4" s="59">
        <f>balance_sheet_annual_filter!D70</f>
        <v>3070762127471</v>
      </c>
      <c r="D4" s="59">
        <f>balance_sheet_annual_filter!E70</f>
        <v>2993654974270</v>
      </c>
      <c r="E4" s="59">
        <f>balance_sheet_annual_filter!F70</f>
        <v>2681227669549</v>
      </c>
      <c r="F4" s="59">
        <f>balance_sheet_annual_filter!G70</f>
        <v>2394946335835</v>
      </c>
      <c r="G4" s="56"/>
    </row>
    <row r="5" spans="2:7" x14ac:dyDescent="0.35">
      <c r="B5" s="34"/>
      <c r="C5" s="54"/>
      <c r="D5" s="30"/>
      <c r="E5" s="30"/>
      <c r="F5" s="30"/>
      <c r="G5" s="50"/>
    </row>
    <row r="6" spans="2:7" x14ac:dyDescent="0.35">
      <c r="B6" s="34" t="s">
        <v>1900</v>
      </c>
      <c r="C6" s="54">
        <f>income_statement_annual_filter!D11/C4</f>
        <v>5.3314599570052863E-2</v>
      </c>
      <c r="D6" s="54">
        <f>income_statement_annual_filter!E11/D4</f>
        <v>6.945041306161169E-2</v>
      </c>
      <c r="E6" s="54">
        <f>income_statement_annual_filter!F11/E4</f>
        <v>7.1506824948680908E-2</v>
      </c>
      <c r="F6" s="54">
        <f>income_statement_annual_filter!G11/F4</f>
        <v>8.8303164208172899E-2</v>
      </c>
      <c r="G6" s="56"/>
    </row>
    <row r="7" spans="2:7" x14ac:dyDescent="0.35">
      <c r="B7" s="34" t="s">
        <v>1901</v>
      </c>
      <c r="C7" s="54">
        <v>0.2</v>
      </c>
      <c r="D7" s="54">
        <v>0.2</v>
      </c>
      <c r="E7" s="54">
        <v>0.2</v>
      </c>
      <c r="F7" s="54">
        <v>0.2</v>
      </c>
      <c r="G7" s="56"/>
    </row>
    <row r="8" spans="2:7" x14ac:dyDescent="0.35">
      <c r="B8" s="34" t="s">
        <v>1902</v>
      </c>
      <c r="C8" s="69">
        <f>C4/SUM(C3:C4)</f>
        <v>0.65010924258741365</v>
      </c>
      <c r="D8" s="54">
        <f t="shared" ref="D8:F8" si="0">D4/SUM(D3:D4)</f>
        <v>0.6297629273783697</v>
      </c>
      <c r="E8" s="54">
        <f t="shared" si="0"/>
        <v>0.583303770817303</v>
      </c>
      <c r="F8" s="54">
        <f t="shared" si="0"/>
        <v>0.54722413294121774</v>
      </c>
      <c r="G8" s="56"/>
    </row>
    <row r="9" spans="2:7" x14ac:dyDescent="0.35">
      <c r="B9" s="34" t="s">
        <v>1903</v>
      </c>
      <c r="C9" s="54">
        <f>C6/(1-C7)</f>
        <v>6.664324946256607E-2</v>
      </c>
      <c r="D9" s="54">
        <f t="shared" ref="D9:F9" si="1">D6/(1-D7)</f>
        <v>8.6813016327014603E-2</v>
      </c>
      <c r="E9" s="54">
        <f t="shared" si="1"/>
        <v>8.9383531185851128E-2</v>
      </c>
      <c r="F9" s="54">
        <f t="shared" si="1"/>
        <v>0.11037895526021611</v>
      </c>
      <c r="G9" s="56"/>
    </row>
    <row r="10" spans="2:7" x14ac:dyDescent="0.35">
      <c r="B10" s="34"/>
      <c r="C10" s="54"/>
      <c r="D10" s="30"/>
      <c r="E10" s="30"/>
      <c r="F10" s="30"/>
      <c r="G10" s="50"/>
    </row>
    <row r="11" spans="2:7" x14ac:dyDescent="0.35">
      <c r="B11" s="34" t="s">
        <v>1904</v>
      </c>
      <c r="C11" s="54">
        <f>Tresury_10y!I2</f>
        <v>2.7229999999999999</v>
      </c>
      <c r="D11" s="54">
        <f>$C$11</f>
        <v>2.7229999999999999</v>
      </c>
      <c r="E11" s="54">
        <f t="shared" ref="E11:F11" si="2">$C$11</f>
        <v>2.7229999999999999</v>
      </c>
      <c r="F11" s="54">
        <f t="shared" si="2"/>
        <v>2.7229999999999999</v>
      </c>
      <c r="G11" s="56"/>
    </row>
    <row r="12" spans="2:7" x14ac:dyDescent="0.35">
      <c r="B12" s="34" t="s">
        <v>1905</v>
      </c>
      <c r="C12" s="54">
        <f>VNINDEX!H2</f>
        <v>24.572835013064577</v>
      </c>
      <c r="D12" s="54">
        <f>$C$12</f>
        <v>24.572835013064577</v>
      </c>
      <c r="E12" s="54">
        <f t="shared" ref="E12:F12" si="3">$C$12</f>
        <v>24.572835013064577</v>
      </c>
      <c r="F12" s="54">
        <f t="shared" si="3"/>
        <v>24.572835013064577</v>
      </c>
      <c r="G12" s="56"/>
    </row>
    <row r="13" spans="2:7" x14ac:dyDescent="0.35">
      <c r="B13" s="34" t="s">
        <v>1906</v>
      </c>
      <c r="C13" s="54">
        <f>C12-C11</f>
        <v>21.849835013064578</v>
      </c>
      <c r="D13" s="54">
        <f>$C$13</f>
        <v>21.849835013064578</v>
      </c>
      <c r="E13" s="54">
        <f t="shared" ref="E13:F13" si="4">$C$13</f>
        <v>21.849835013064578</v>
      </c>
      <c r="F13" s="54">
        <f t="shared" si="4"/>
        <v>21.849835013064578</v>
      </c>
      <c r="G13" s="56"/>
    </row>
    <row r="14" spans="2:7" x14ac:dyDescent="0.35">
      <c r="B14" s="34" t="s">
        <v>1907</v>
      </c>
      <c r="C14" s="54">
        <v>0.8</v>
      </c>
      <c r="D14" s="54">
        <v>0.8</v>
      </c>
      <c r="E14" s="54">
        <v>0.8</v>
      </c>
      <c r="F14" s="54">
        <v>0.8</v>
      </c>
      <c r="G14" s="56"/>
    </row>
    <row r="15" spans="2:7" x14ac:dyDescent="0.35">
      <c r="B15" s="34" t="s">
        <v>1908</v>
      </c>
      <c r="C15" s="69">
        <f>C3/(C3+C4)</f>
        <v>0.34989075741258641</v>
      </c>
      <c r="D15" s="54">
        <f t="shared" ref="D15:F15" si="5">D3/(D3+D4)</f>
        <v>0.37023707262163025</v>
      </c>
      <c r="E15" s="54">
        <f t="shared" si="5"/>
        <v>0.41669622918269705</v>
      </c>
      <c r="F15" s="54">
        <f t="shared" si="5"/>
        <v>0.45277586705878231</v>
      </c>
      <c r="G15" s="56"/>
    </row>
    <row r="16" spans="2:7" x14ac:dyDescent="0.35">
      <c r="B16" s="34" t="s">
        <v>1909</v>
      </c>
      <c r="C16" s="69">
        <f>(C11+C13*C14)/100</f>
        <v>0.20202868010451663</v>
      </c>
      <c r="D16" s="54">
        <f>D11+D13*D14</f>
        <v>20.202868010451663</v>
      </c>
      <c r="E16" s="54">
        <f t="shared" ref="E16:F16" si="6">E11+E13*E14</f>
        <v>20.202868010451663</v>
      </c>
      <c r="F16" s="54">
        <f t="shared" si="6"/>
        <v>20.202868010451663</v>
      </c>
      <c r="G16" s="56"/>
    </row>
    <row r="17" spans="2:7" x14ac:dyDescent="0.35">
      <c r="B17" s="34"/>
      <c r="C17" s="54"/>
      <c r="D17" s="30"/>
      <c r="E17" s="30"/>
      <c r="F17" s="30"/>
      <c r="G17" s="50"/>
    </row>
    <row r="18" spans="2:7" x14ac:dyDescent="0.35">
      <c r="B18" s="34" t="s">
        <v>1910</v>
      </c>
      <c r="C18" s="69">
        <f>C16*C15+C9*C8</f>
        <v>0.11401336033250734</v>
      </c>
      <c r="D18" s="54">
        <f t="shared" ref="D18:F18" si="7">D16*D15+D9*D8</f>
        <v>7.5345223300474498</v>
      </c>
      <c r="E18" s="54">
        <f t="shared" si="7"/>
        <v>8.4705966694206172</v>
      </c>
      <c r="F18" s="54">
        <f t="shared" si="7"/>
        <v>9.2077731085936172</v>
      </c>
      <c r="G18" s="56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E173-0E0E-4357-81DA-18E53813EF9A}">
  <dimension ref="B1:D20"/>
  <sheetViews>
    <sheetView workbookViewId="0">
      <selection activeCell="D2" sqref="D2"/>
    </sheetView>
  </sheetViews>
  <sheetFormatPr defaultRowHeight="14.5" x14ac:dyDescent="0.35"/>
  <cols>
    <col min="1" max="1" width="15.453125" customWidth="1"/>
    <col min="2" max="2" width="14.1796875" bestFit="1" customWidth="1"/>
    <col min="3" max="3" width="17.08984375" customWidth="1"/>
  </cols>
  <sheetData>
    <row r="1" spans="2:4" x14ac:dyDescent="0.35">
      <c r="D1" t="s">
        <v>1957</v>
      </c>
    </row>
    <row r="2" spans="2:4" x14ac:dyDescent="0.35">
      <c r="B2" t="s">
        <v>1945</v>
      </c>
      <c r="C2" t="s">
        <v>1946</v>
      </c>
    </row>
    <row r="3" spans="2:4" x14ac:dyDescent="0.35">
      <c r="B3" t="s">
        <v>119</v>
      </c>
      <c r="C3" t="s">
        <v>1947</v>
      </c>
    </row>
    <row r="4" spans="2:4" x14ac:dyDescent="0.35">
      <c r="B4" t="s">
        <v>120</v>
      </c>
      <c r="C4" t="s">
        <v>1948</v>
      </c>
    </row>
    <row r="5" spans="2:4" x14ac:dyDescent="0.35">
      <c r="B5" t="s">
        <v>121</v>
      </c>
      <c r="C5" t="s">
        <v>1949</v>
      </c>
    </row>
    <row r="6" spans="2:4" x14ac:dyDescent="0.35">
      <c r="B6" t="s">
        <v>122</v>
      </c>
      <c r="C6" t="s">
        <v>1950</v>
      </c>
    </row>
    <row r="7" spans="2:4" x14ac:dyDescent="0.35">
      <c r="B7" t="s">
        <v>123</v>
      </c>
      <c r="C7" t="s">
        <v>1951</v>
      </c>
    </row>
    <row r="8" spans="2:4" x14ac:dyDescent="0.35">
      <c r="B8" t="s">
        <v>124</v>
      </c>
      <c r="C8" t="s">
        <v>1952</v>
      </c>
    </row>
    <row r="9" spans="2:4" x14ac:dyDescent="0.35">
      <c r="B9" t="s">
        <v>125</v>
      </c>
      <c r="C9" t="s">
        <v>1953</v>
      </c>
    </row>
    <row r="10" spans="2:4" x14ac:dyDescent="0.35">
      <c r="B10" t="s">
        <v>126</v>
      </c>
      <c r="C10" t="s">
        <v>1954</v>
      </c>
    </row>
    <row r="11" spans="2:4" x14ac:dyDescent="0.35">
      <c r="B11" t="s">
        <v>127</v>
      </c>
      <c r="C11" t="s">
        <v>1955</v>
      </c>
    </row>
    <row r="12" spans="2:4" x14ac:dyDescent="0.35">
      <c r="B12" t="s">
        <v>128</v>
      </c>
      <c r="C12" t="s">
        <v>1956</v>
      </c>
    </row>
    <row r="13" spans="2:4" x14ac:dyDescent="0.35">
      <c r="B13" t="s">
        <v>129</v>
      </c>
    </row>
    <row r="14" spans="2:4" x14ac:dyDescent="0.35">
      <c r="B14" t="s">
        <v>130</v>
      </c>
    </row>
    <row r="15" spans="2:4" x14ac:dyDescent="0.35">
      <c r="B15" t="s">
        <v>131</v>
      </c>
    </row>
    <row r="16" spans="2:4" x14ac:dyDescent="0.35">
      <c r="B16" t="s">
        <v>132</v>
      </c>
    </row>
    <row r="17" spans="2:2" x14ac:dyDescent="0.35">
      <c r="B17" t="s">
        <v>133</v>
      </c>
    </row>
    <row r="18" spans="2:2" x14ac:dyDescent="0.35">
      <c r="B18" t="s">
        <v>134</v>
      </c>
    </row>
    <row r="19" spans="2:2" x14ac:dyDescent="0.35">
      <c r="B19" t="s">
        <v>135</v>
      </c>
    </row>
    <row r="20" spans="2:2" x14ac:dyDescent="0.35">
      <c r="B20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00EB9F-23D3-4F81-8EFE-8F189A7CA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balance_sheet_annual</vt:lpstr>
      <vt:lpstr>cash_flow_annual</vt:lpstr>
      <vt:lpstr>income_statement_annual</vt:lpstr>
      <vt:lpstr>balance_sheet_quarter</vt:lpstr>
      <vt:lpstr>income_statement_quarter</vt:lpstr>
      <vt:lpstr>cash_flow_quarter</vt:lpstr>
      <vt:lpstr>balance_sheet_annual_filter</vt:lpstr>
      <vt:lpstr>balance_sheet_quarter_filter</vt:lpstr>
      <vt:lpstr>income_statement_annual_filter</vt:lpstr>
      <vt:lpstr>income_statement_quarter_filter</vt:lpstr>
      <vt:lpstr>cash_flow_annual_filter</vt:lpstr>
      <vt:lpstr>cash_flow_quarter_filter</vt:lpstr>
      <vt:lpstr>VNINDEX</vt:lpstr>
      <vt:lpstr>Tresury_2y</vt:lpstr>
      <vt:lpstr>Tresury_10y</vt:lpstr>
      <vt:lpstr>&lt;= SOUCE DATA</vt:lpstr>
      <vt:lpstr>DCF</vt:lpstr>
      <vt:lpstr>NET WORKING ASSET</vt:lpstr>
      <vt:lpstr>FCFF</vt:lpstr>
      <vt:lpstr>FAS</vt:lpstr>
      <vt:lpstr>WACC</vt:lpstr>
      <vt:lpstr>Data Validattion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Pham</dc:creator>
  <cp:lastModifiedBy>Hung Pham</cp:lastModifiedBy>
  <dcterms:created xsi:type="dcterms:W3CDTF">2024-10-23T09:45:22Z</dcterms:created>
  <dcterms:modified xsi:type="dcterms:W3CDTF">2024-10-28T07:03:50Z</dcterms:modified>
</cp:coreProperties>
</file>