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1000001_{409DAB55-8568-AB4D-B89D-DC35920DFCDA}" xr6:coauthVersionLast="47" xr6:coauthVersionMax="47" xr10:uidLastSave="{00000000-0000-0000-0000-000000000000}"/>
  <bookViews>
    <workbookView xWindow="-110" yWindow="-110" windowWidth="19420" windowHeight="11500" tabRatio="599" activeTab="9" xr2:uid="{00000000-000D-0000-FFFF-FFFF00000000}"/>
  </bookViews>
  <sheets>
    <sheet name="상1분기" sheetId="105" r:id="rId1"/>
    <sheet name="하1분기" sheetId="100" r:id="rId2"/>
    <sheet name="하2분기" sheetId="109" r:id="rId3"/>
    <sheet name="등2분기" sheetId="108" r:id="rId4"/>
    <sheet name="상3cycle" sheetId="111" r:id="rId5"/>
    <sheet name="하3cycle" sheetId="110" r:id="rId6"/>
    <sheet name="상4c" sheetId="125" r:id="rId7"/>
    <sheet name="하4c" sheetId="124" r:id="rId8"/>
    <sheet name="상7c" sheetId="129" r:id="rId9"/>
    <sheet name="하7c" sheetId="128" r:id="rId10"/>
    <sheet name="Ver.17" sheetId="126" r:id="rId11"/>
    <sheet name="Sheet1" sheetId="127" r:id="rId12"/>
    <sheet name="Ver.16" sheetId="119" r:id="rId13"/>
    <sheet name="ver.15" sheetId="107" r:id="rId14"/>
    <sheet name="VER.14" sheetId="95" r:id="rId15"/>
    <sheet name="ver.13" sheetId="72" r:id="rId16"/>
    <sheet name="ver.12 하" sheetId="61" r:id="rId17"/>
    <sheet name="ver.12 상" sheetId="63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29" l="1"/>
  <c r="B40" i="129"/>
  <c r="B30" i="129" a="1"/>
  <c r="B30" i="129"/>
  <c r="A30" i="129"/>
  <c r="B29" i="129" a="1"/>
  <c r="B29" i="129"/>
  <c r="A29" i="129"/>
  <c r="A28" i="129"/>
  <c r="A27" i="129"/>
  <c r="G15" i="129"/>
  <c r="G1" i="129"/>
  <c r="B12" i="129"/>
  <c r="E9" i="129"/>
  <c r="B16" i="129"/>
  <c r="E16" i="129"/>
  <c r="G16" i="129"/>
  <c r="B17" i="129"/>
  <c r="E17" i="129"/>
  <c r="G17" i="129"/>
  <c r="B18" i="129"/>
  <c r="E18" i="129"/>
  <c r="G18" i="129"/>
  <c r="B19" i="129"/>
  <c r="E19" i="129"/>
  <c r="G19" i="129"/>
  <c r="B20" i="129"/>
  <c r="E20" i="129"/>
  <c r="G20" i="129"/>
  <c r="B21" i="129"/>
  <c r="E21" i="129"/>
  <c r="G21" i="129"/>
  <c r="B22" i="129"/>
  <c r="E22" i="129"/>
  <c r="G22" i="129"/>
  <c r="B23" i="129"/>
  <c r="E23" i="129"/>
  <c r="G23" i="129"/>
  <c r="B24" i="129"/>
  <c r="E24" i="129"/>
  <c r="G24" i="129"/>
  <c r="B25" i="129"/>
  <c r="E25" i="129"/>
  <c r="G25" i="129"/>
  <c r="G26" i="129"/>
  <c r="F26" i="129"/>
  <c r="B6" i="129"/>
  <c r="B10" i="129"/>
  <c r="E10" i="129"/>
  <c r="E26" i="129"/>
  <c r="H15" i="129"/>
  <c r="J15" i="129"/>
  <c r="H13" i="129"/>
  <c r="H16" i="129"/>
  <c r="J16" i="129"/>
  <c r="H17" i="129"/>
  <c r="J17" i="129"/>
  <c r="H18" i="129"/>
  <c r="J18" i="129"/>
  <c r="H19" i="129"/>
  <c r="J19" i="129"/>
  <c r="H20" i="129"/>
  <c r="J20" i="129"/>
  <c r="H21" i="129"/>
  <c r="J21" i="129"/>
  <c r="H22" i="129"/>
  <c r="J22" i="129"/>
  <c r="H23" i="129"/>
  <c r="J23" i="129"/>
  <c r="H24" i="129"/>
  <c r="J24" i="129"/>
  <c r="H25" i="129"/>
  <c r="J25" i="129"/>
  <c r="J26" i="129"/>
  <c r="I26" i="129"/>
  <c r="H26" i="129"/>
  <c r="K15" i="129"/>
  <c r="M15" i="129"/>
  <c r="K13" i="129"/>
  <c r="K16" i="129"/>
  <c r="M16" i="129"/>
  <c r="K17" i="129"/>
  <c r="M17" i="129"/>
  <c r="K18" i="129"/>
  <c r="M18" i="129"/>
  <c r="K19" i="129"/>
  <c r="M19" i="129"/>
  <c r="K20" i="129"/>
  <c r="M20" i="129"/>
  <c r="K21" i="129"/>
  <c r="M21" i="129"/>
  <c r="K22" i="129"/>
  <c r="M22" i="129"/>
  <c r="K23" i="129"/>
  <c r="M23" i="129"/>
  <c r="K24" i="129"/>
  <c r="M24" i="129"/>
  <c r="K25" i="129"/>
  <c r="M25" i="129"/>
  <c r="M26" i="129"/>
  <c r="L26" i="129"/>
  <c r="K26" i="129"/>
  <c r="N15" i="129"/>
  <c r="P15" i="129"/>
  <c r="N13" i="129"/>
  <c r="N16" i="129"/>
  <c r="P16" i="129"/>
  <c r="N17" i="129"/>
  <c r="P17" i="129"/>
  <c r="N18" i="129"/>
  <c r="P18" i="129"/>
  <c r="N19" i="129"/>
  <c r="P19" i="129"/>
  <c r="N20" i="129"/>
  <c r="P20" i="129"/>
  <c r="N21" i="129"/>
  <c r="P21" i="129"/>
  <c r="N22" i="129"/>
  <c r="P22" i="129"/>
  <c r="N23" i="129"/>
  <c r="P23" i="129"/>
  <c r="N24" i="129"/>
  <c r="P24" i="129"/>
  <c r="N25" i="129"/>
  <c r="P25" i="129"/>
  <c r="P26" i="129"/>
  <c r="O26" i="129"/>
  <c r="N26" i="129"/>
  <c r="Q15" i="129"/>
  <c r="S15" i="129"/>
  <c r="Q13" i="129"/>
  <c r="Q16" i="129"/>
  <c r="S16" i="129"/>
  <c r="Q17" i="129"/>
  <c r="S17" i="129"/>
  <c r="Q18" i="129"/>
  <c r="S18" i="129"/>
  <c r="Q19" i="129"/>
  <c r="S19" i="129"/>
  <c r="Q20" i="129"/>
  <c r="S20" i="129"/>
  <c r="Q21" i="129"/>
  <c r="S21" i="129"/>
  <c r="Q22" i="129"/>
  <c r="S22" i="129"/>
  <c r="Q23" i="129"/>
  <c r="S23" i="129"/>
  <c r="Q24" i="129"/>
  <c r="S24" i="129"/>
  <c r="Q25" i="129"/>
  <c r="S25" i="129"/>
  <c r="S26" i="129"/>
  <c r="R26" i="129"/>
  <c r="Q26" i="129"/>
  <c r="T15" i="129"/>
  <c r="V15" i="129"/>
  <c r="T13" i="129"/>
  <c r="T16" i="129"/>
  <c r="V16" i="129"/>
  <c r="T17" i="129"/>
  <c r="V17" i="129"/>
  <c r="T18" i="129"/>
  <c r="V18" i="129"/>
  <c r="T19" i="129"/>
  <c r="V19" i="129"/>
  <c r="T20" i="129"/>
  <c r="V20" i="129"/>
  <c r="T21" i="129"/>
  <c r="V21" i="129"/>
  <c r="T22" i="129"/>
  <c r="V22" i="129"/>
  <c r="T23" i="129"/>
  <c r="V23" i="129"/>
  <c r="T24" i="129"/>
  <c r="V24" i="129"/>
  <c r="T25" i="129"/>
  <c r="V25" i="129"/>
  <c r="V26" i="129"/>
  <c r="U26" i="129"/>
  <c r="T26" i="129"/>
  <c r="W15" i="129"/>
  <c r="Y15" i="129"/>
  <c r="W13" i="129"/>
  <c r="W16" i="129"/>
  <c r="Y16" i="129"/>
  <c r="W17" i="129"/>
  <c r="Y17" i="129"/>
  <c r="W18" i="129"/>
  <c r="Y18" i="129"/>
  <c r="W19" i="129"/>
  <c r="Y19" i="129"/>
  <c r="W20" i="129"/>
  <c r="Y20" i="129"/>
  <c r="W21" i="129"/>
  <c r="Y21" i="129"/>
  <c r="W22" i="129"/>
  <c r="Y22" i="129"/>
  <c r="W23" i="129"/>
  <c r="Y23" i="129"/>
  <c r="W24" i="129"/>
  <c r="Y24" i="129"/>
  <c r="W25" i="129"/>
  <c r="Y25" i="129"/>
  <c r="Y26" i="129"/>
  <c r="X26" i="129"/>
  <c r="W26" i="129"/>
  <c r="D15" i="129"/>
  <c r="D16" i="129"/>
  <c r="D17" i="129"/>
  <c r="D18" i="129"/>
  <c r="D19" i="129"/>
  <c r="D20" i="129"/>
  <c r="D21" i="129"/>
  <c r="D22" i="129"/>
  <c r="D23" i="129"/>
  <c r="C24" i="129"/>
  <c r="D24" i="129"/>
  <c r="C25" i="129"/>
  <c r="D25" i="129"/>
  <c r="D26" i="129"/>
  <c r="C26" i="129"/>
  <c r="B26" i="129"/>
  <c r="J14" i="129"/>
  <c r="M14" i="129"/>
  <c r="P14" i="129"/>
  <c r="S14" i="129"/>
  <c r="V14" i="129"/>
  <c r="Y14" i="129"/>
  <c r="I14" i="129"/>
  <c r="L14" i="129"/>
  <c r="O14" i="129"/>
  <c r="R14" i="129"/>
  <c r="U14" i="129"/>
  <c r="X14" i="129"/>
  <c r="H14" i="129"/>
  <c r="K14" i="129"/>
  <c r="N14" i="129"/>
  <c r="Q14" i="129"/>
  <c r="T14" i="129"/>
  <c r="W14" i="129"/>
  <c r="G13" i="129"/>
  <c r="J13" i="129"/>
  <c r="M13" i="129"/>
  <c r="P13" i="129"/>
  <c r="S13" i="129"/>
  <c r="V13" i="129"/>
  <c r="Y13" i="129"/>
  <c r="B5" i="129"/>
  <c r="E5" i="129"/>
  <c r="W12" i="129"/>
  <c r="Y12" i="129"/>
  <c r="X12" i="129"/>
  <c r="T12" i="129"/>
  <c r="V12" i="129"/>
  <c r="U12" i="129"/>
  <c r="Q12" i="129"/>
  <c r="S12" i="129"/>
  <c r="R12" i="129"/>
  <c r="N12" i="129"/>
  <c r="P12" i="129"/>
  <c r="O12" i="129"/>
  <c r="K12" i="129"/>
  <c r="M12" i="129"/>
  <c r="L12" i="129"/>
  <c r="H12" i="129"/>
  <c r="J12" i="129"/>
  <c r="I12" i="129"/>
  <c r="G12" i="129"/>
  <c r="F12" i="129"/>
  <c r="E6" i="129"/>
  <c r="W11" i="129"/>
  <c r="Y11" i="129"/>
  <c r="X11" i="129"/>
  <c r="T11" i="129"/>
  <c r="V11" i="129"/>
  <c r="U11" i="129"/>
  <c r="Q11" i="129"/>
  <c r="S11" i="129"/>
  <c r="R11" i="129"/>
  <c r="N11" i="129"/>
  <c r="P11" i="129"/>
  <c r="O11" i="129"/>
  <c r="K11" i="129"/>
  <c r="M11" i="129"/>
  <c r="L11" i="129"/>
  <c r="H11" i="129"/>
  <c r="J11" i="129"/>
  <c r="I11" i="129"/>
  <c r="G11" i="129"/>
  <c r="F11" i="129"/>
  <c r="C9" i="129"/>
  <c r="C6" i="129"/>
  <c r="C10" i="129"/>
  <c r="B8" i="129"/>
  <c r="E8" i="129"/>
  <c r="C8" i="129"/>
  <c r="E7" i="129"/>
  <c r="C5" i="129"/>
  <c r="E4" i="129"/>
  <c r="E3" i="129"/>
  <c r="G2" i="129"/>
  <c r="E2" i="129"/>
  <c r="B41" i="128"/>
  <c r="B40" i="128"/>
  <c r="B30" i="128" a="1"/>
  <c r="B30" i="128"/>
  <c r="A30" i="128"/>
  <c r="B29" i="128" a="1"/>
  <c r="B29" i="128"/>
  <c r="A29" i="128"/>
  <c r="A28" i="128"/>
  <c r="A27" i="128"/>
  <c r="G15" i="128"/>
  <c r="G1" i="128"/>
  <c r="B12" i="128"/>
  <c r="E9" i="128"/>
  <c r="B16" i="128"/>
  <c r="E16" i="128"/>
  <c r="G16" i="128"/>
  <c r="B17" i="128"/>
  <c r="E17" i="128"/>
  <c r="G17" i="128"/>
  <c r="B18" i="128"/>
  <c r="E18" i="128"/>
  <c r="G18" i="128"/>
  <c r="B19" i="128"/>
  <c r="E19" i="128"/>
  <c r="G19" i="128"/>
  <c r="B20" i="128"/>
  <c r="E20" i="128"/>
  <c r="G20" i="128"/>
  <c r="B21" i="128"/>
  <c r="E21" i="128"/>
  <c r="G21" i="128"/>
  <c r="B22" i="128"/>
  <c r="E22" i="128"/>
  <c r="G22" i="128"/>
  <c r="B23" i="128"/>
  <c r="E23" i="128"/>
  <c r="G23" i="128"/>
  <c r="B24" i="128"/>
  <c r="E24" i="128"/>
  <c r="G24" i="128"/>
  <c r="B25" i="128"/>
  <c r="E25" i="128"/>
  <c r="G25" i="128"/>
  <c r="G26" i="128"/>
  <c r="F26" i="128"/>
  <c r="B6" i="128"/>
  <c r="B10" i="128"/>
  <c r="E10" i="128"/>
  <c r="E26" i="128"/>
  <c r="H15" i="128"/>
  <c r="J15" i="128"/>
  <c r="H13" i="128"/>
  <c r="H16" i="128"/>
  <c r="J16" i="128"/>
  <c r="H17" i="128"/>
  <c r="J17" i="128"/>
  <c r="H18" i="128"/>
  <c r="J18" i="128"/>
  <c r="H19" i="128"/>
  <c r="J19" i="128"/>
  <c r="H20" i="128"/>
  <c r="J20" i="128"/>
  <c r="H21" i="128"/>
  <c r="J21" i="128"/>
  <c r="H22" i="128"/>
  <c r="J22" i="128"/>
  <c r="H23" i="128"/>
  <c r="J23" i="128"/>
  <c r="H24" i="128"/>
  <c r="J24" i="128"/>
  <c r="H25" i="128"/>
  <c r="J25" i="128"/>
  <c r="J26" i="128"/>
  <c r="I26" i="128"/>
  <c r="H26" i="128"/>
  <c r="K15" i="128"/>
  <c r="M15" i="128"/>
  <c r="K13" i="128"/>
  <c r="K16" i="128"/>
  <c r="M16" i="128"/>
  <c r="K17" i="128"/>
  <c r="M17" i="128"/>
  <c r="K18" i="128"/>
  <c r="M18" i="128"/>
  <c r="K19" i="128"/>
  <c r="M19" i="128"/>
  <c r="K20" i="128"/>
  <c r="M20" i="128"/>
  <c r="K21" i="128"/>
  <c r="M21" i="128"/>
  <c r="K22" i="128"/>
  <c r="M22" i="128"/>
  <c r="K23" i="128"/>
  <c r="M23" i="128"/>
  <c r="K24" i="128"/>
  <c r="M24" i="128"/>
  <c r="K25" i="128"/>
  <c r="M25" i="128"/>
  <c r="M26" i="128"/>
  <c r="L26" i="128"/>
  <c r="K26" i="128"/>
  <c r="N15" i="128"/>
  <c r="P15" i="128"/>
  <c r="N13" i="128"/>
  <c r="N16" i="128"/>
  <c r="P16" i="128"/>
  <c r="N17" i="128"/>
  <c r="P17" i="128"/>
  <c r="N18" i="128"/>
  <c r="P18" i="128"/>
  <c r="N19" i="128"/>
  <c r="P19" i="128"/>
  <c r="N20" i="128"/>
  <c r="P20" i="128"/>
  <c r="N21" i="128"/>
  <c r="P21" i="128"/>
  <c r="N22" i="128"/>
  <c r="P22" i="128"/>
  <c r="N23" i="128"/>
  <c r="P23" i="128"/>
  <c r="N24" i="128"/>
  <c r="P24" i="128"/>
  <c r="N25" i="128"/>
  <c r="P25" i="128"/>
  <c r="P26" i="128"/>
  <c r="O26" i="128"/>
  <c r="N26" i="128"/>
  <c r="Q15" i="128"/>
  <c r="S15" i="128"/>
  <c r="Q13" i="128"/>
  <c r="Q16" i="128"/>
  <c r="S16" i="128"/>
  <c r="Q17" i="128"/>
  <c r="S17" i="128"/>
  <c r="Q18" i="128"/>
  <c r="S18" i="128"/>
  <c r="Q19" i="128"/>
  <c r="S19" i="128"/>
  <c r="Q20" i="128"/>
  <c r="S20" i="128"/>
  <c r="Q21" i="128"/>
  <c r="S21" i="128"/>
  <c r="Q22" i="128"/>
  <c r="S22" i="128"/>
  <c r="Q23" i="128"/>
  <c r="S23" i="128"/>
  <c r="Q24" i="128"/>
  <c r="S24" i="128"/>
  <c r="Q25" i="128"/>
  <c r="S25" i="128"/>
  <c r="S26" i="128"/>
  <c r="R26" i="128"/>
  <c r="Q26" i="128"/>
  <c r="T15" i="128"/>
  <c r="V15" i="128"/>
  <c r="T13" i="128"/>
  <c r="T16" i="128"/>
  <c r="V16" i="128"/>
  <c r="T17" i="128"/>
  <c r="V17" i="128"/>
  <c r="T18" i="128"/>
  <c r="V18" i="128"/>
  <c r="T19" i="128"/>
  <c r="V19" i="128"/>
  <c r="T20" i="128"/>
  <c r="V20" i="128"/>
  <c r="T21" i="128"/>
  <c r="V21" i="128"/>
  <c r="T22" i="128"/>
  <c r="V22" i="128"/>
  <c r="T23" i="128"/>
  <c r="V23" i="128"/>
  <c r="T24" i="128"/>
  <c r="V24" i="128"/>
  <c r="T25" i="128"/>
  <c r="V25" i="128"/>
  <c r="V26" i="128"/>
  <c r="U26" i="128"/>
  <c r="T26" i="128"/>
  <c r="W15" i="128"/>
  <c r="Y15" i="128"/>
  <c r="W13" i="128"/>
  <c r="W16" i="128"/>
  <c r="Y16" i="128"/>
  <c r="W17" i="128"/>
  <c r="Y17" i="128"/>
  <c r="W18" i="128"/>
  <c r="Y18" i="128"/>
  <c r="W19" i="128"/>
  <c r="Y19" i="128"/>
  <c r="W20" i="128"/>
  <c r="Y20" i="128"/>
  <c r="W21" i="128"/>
  <c r="Y21" i="128"/>
  <c r="W22" i="128"/>
  <c r="Y22" i="128"/>
  <c r="W23" i="128"/>
  <c r="Y23" i="128"/>
  <c r="W24" i="128"/>
  <c r="Y24" i="128"/>
  <c r="W25" i="128"/>
  <c r="Y25" i="128"/>
  <c r="Y26" i="128"/>
  <c r="X26" i="128"/>
  <c r="W26" i="128"/>
  <c r="D15" i="128"/>
  <c r="D16" i="128"/>
  <c r="D17" i="128"/>
  <c r="D18" i="128"/>
  <c r="D19" i="128"/>
  <c r="D20" i="128"/>
  <c r="D21" i="128"/>
  <c r="D22" i="128"/>
  <c r="D23" i="128"/>
  <c r="C24" i="128"/>
  <c r="D24" i="128"/>
  <c r="C25" i="128"/>
  <c r="D25" i="128"/>
  <c r="D26" i="128"/>
  <c r="C26" i="128"/>
  <c r="B26" i="128"/>
  <c r="J14" i="128"/>
  <c r="M14" i="128"/>
  <c r="P14" i="128"/>
  <c r="S14" i="128"/>
  <c r="V14" i="128"/>
  <c r="Y14" i="128"/>
  <c r="I14" i="128"/>
  <c r="L14" i="128"/>
  <c r="O14" i="128"/>
  <c r="R14" i="128"/>
  <c r="U14" i="128"/>
  <c r="X14" i="128"/>
  <c r="H14" i="128"/>
  <c r="K14" i="128"/>
  <c r="N14" i="128"/>
  <c r="Q14" i="128"/>
  <c r="T14" i="128"/>
  <c r="W14" i="128"/>
  <c r="G13" i="128"/>
  <c r="J13" i="128"/>
  <c r="M13" i="128"/>
  <c r="P13" i="128"/>
  <c r="S13" i="128"/>
  <c r="V13" i="128"/>
  <c r="Y13" i="128"/>
  <c r="B5" i="128"/>
  <c r="E5" i="128"/>
  <c r="W12" i="128"/>
  <c r="Y12" i="128"/>
  <c r="X12" i="128"/>
  <c r="T12" i="128"/>
  <c r="V12" i="128"/>
  <c r="U12" i="128"/>
  <c r="Q12" i="128"/>
  <c r="S12" i="128"/>
  <c r="R12" i="128"/>
  <c r="N12" i="128"/>
  <c r="P12" i="128"/>
  <c r="O12" i="128"/>
  <c r="K12" i="128"/>
  <c r="M12" i="128"/>
  <c r="L12" i="128"/>
  <c r="H12" i="128"/>
  <c r="J12" i="128"/>
  <c r="I12" i="128"/>
  <c r="G12" i="128"/>
  <c r="F12" i="128"/>
  <c r="E6" i="128"/>
  <c r="W11" i="128"/>
  <c r="Y11" i="128"/>
  <c r="X11" i="128"/>
  <c r="T11" i="128"/>
  <c r="V11" i="128"/>
  <c r="U11" i="128"/>
  <c r="Q11" i="128"/>
  <c r="S11" i="128"/>
  <c r="R11" i="128"/>
  <c r="N11" i="128"/>
  <c r="P11" i="128"/>
  <c r="O11" i="128"/>
  <c r="K11" i="128"/>
  <c r="M11" i="128"/>
  <c r="L11" i="128"/>
  <c r="H11" i="128"/>
  <c r="J11" i="128"/>
  <c r="I11" i="128"/>
  <c r="G11" i="128"/>
  <c r="F11" i="128"/>
  <c r="C9" i="128"/>
  <c r="C6" i="128"/>
  <c r="C10" i="128"/>
  <c r="B8" i="128"/>
  <c r="E8" i="128"/>
  <c r="C8" i="128"/>
  <c r="E7" i="128"/>
  <c r="C5" i="128"/>
  <c r="E4" i="128"/>
  <c r="E3" i="128"/>
  <c r="G2" i="128"/>
  <c r="E2" i="128"/>
  <c r="A27" i="126"/>
  <c r="G11" i="126"/>
  <c r="B40" i="126"/>
  <c r="B30" i="126" a="1"/>
  <c r="B30" i="126"/>
  <c r="A30" i="126"/>
  <c r="B41" i="126"/>
  <c r="B29" i="126" a="1"/>
  <c r="B29" i="126"/>
  <c r="A29" i="126"/>
  <c r="A28" i="126"/>
  <c r="B17" i="127"/>
  <c r="B18" i="127"/>
  <c r="C17" i="127"/>
  <c r="C18" i="127"/>
  <c r="D17" i="127"/>
  <c r="D18" i="127"/>
  <c r="E17" i="127"/>
  <c r="E18" i="127"/>
  <c r="F18" i="127"/>
  <c r="B29" i="127"/>
  <c r="C19" i="127"/>
  <c r="F25" i="127"/>
  <c r="B20" i="127"/>
  <c r="B21" i="127"/>
  <c r="C20" i="127"/>
  <c r="C21" i="127"/>
  <c r="D20" i="127"/>
  <c r="D21" i="127"/>
  <c r="E20" i="127"/>
  <c r="E21" i="127"/>
  <c r="F21" i="127"/>
  <c r="E24" i="127"/>
  <c r="B24" i="127"/>
  <c r="C24" i="127"/>
  <c r="D24" i="127"/>
  <c r="F24" i="127"/>
  <c r="B23" i="127"/>
  <c r="C23" i="127"/>
  <c r="D23" i="127"/>
  <c r="E23" i="127"/>
  <c r="F23" i="127"/>
  <c r="B22" i="127"/>
  <c r="B19" i="127"/>
  <c r="C22" i="127"/>
  <c r="D22" i="127"/>
  <c r="D19" i="127"/>
  <c r="E22" i="127"/>
  <c r="E19" i="127"/>
  <c r="F19" i="127"/>
  <c r="F22" i="127"/>
  <c r="B30" i="127"/>
  <c r="F20" i="127"/>
  <c r="C9" i="126"/>
  <c r="C6" i="126"/>
  <c r="C10" i="126"/>
  <c r="B6" i="126"/>
  <c r="B10" i="126"/>
  <c r="C24" i="126"/>
  <c r="C25" i="126"/>
  <c r="C26" i="126"/>
  <c r="AI15" i="125"/>
  <c r="AK15" i="125"/>
  <c r="AI16" i="125"/>
  <c r="AK16" i="125"/>
  <c r="AI17" i="125"/>
  <c r="AK17" i="125"/>
  <c r="AI18" i="125"/>
  <c r="AK18" i="125"/>
  <c r="AI19" i="125"/>
  <c r="AK19" i="125"/>
  <c r="AI20" i="125"/>
  <c r="AK20" i="125"/>
  <c r="AI21" i="125"/>
  <c r="AK21" i="125"/>
  <c r="AI22" i="125"/>
  <c r="AK22" i="125"/>
  <c r="AI23" i="125"/>
  <c r="AK23" i="125"/>
  <c r="AI24" i="125"/>
  <c r="AK24" i="125"/>
  <c r="AI25" i="125"/>
  <c r="AK25" i="125"/>
  <c r="AK26" i="125"/>
  <c r="AJ26" i="125"/>
  <c r="AI26" i="125"/>
  <c r="AL15" i="125"/>
  <c r="AN15" i="125"/>
  <c r="AL16" i="125"/>
  <c r="AN16" i="125"/>
  <c r="AL17" i="125"/>
  <c r="AN17" i="125"/>
  <c r="AL18" i="125"/>
  <c r="AN18" i="125"/>
  <c r="AL19" i="125"/>
  <c r="AN19" i="125"/>
  <c r="AL20" i="125"/>
  <c r="AN20" i="125"/>
  <c r="AL21" i="125"/>
  <c r="AN21" i="125"/>
  <c r="AL22" i="125"/>
  <c r="AN22" i="125"/>
  <c r="AL23" i="125"/>
  <c r="AN23" i="125"/>
  <c r="AL24" i="125"/>
  <c r="AN24" i="125"/>
  <c r="AL25" i="125"/>
  <c r="AN25" i="125"/>
  <c r="AN26" i="125"/>
  <c r="AL26" i="125"/>
  <c r="AO15" i="125"/>
  <c r="AQ15" i="125"/>
  <c r="AO16" i="125"/>
  <c r="AQ16" i="125"/>
  <c r="AO17" i="125"/>
  <c r="AQ17" i="125"/>
  <c r="AO18" i="125"/>
  <c r="AQ18" i="125"/>
  <c r="AO19" i="125"/>
  <c r="AQ19" i="125"/>
  <c r="AO20" i="125"/>
  <c r="AQ20" i="125"/>
  <c r="AO21" i="125"/>
  <c r="AQ21" i="125"/>
  <c r="AO22" i="125"/>
  <c r="AQ22" i="125"/>
  <c r="AO23" i="125"/>
  <c r="AQ23" i="125"/>
  <c r="AO24" i="125"/>
  <c r="AQ24" i="125"/>
  <c r="AO25" i="125"/>
  <c r="AQ25" i="125"/>
  <c r="AQ26" i="125"/>
  <c r="AO26" i="125"/>
  <c r="AR15" i="125"/>
  <c r="AT15" i="125"/>
  <c r="AR13" i="125"/>
  <c r="AR16" i="125"/>
  <c r="AT16" i="125"/>
  <c r="AR17" i="125"/>
  <c r="AT17" i="125"/>
  <c r="AR18" i="125"/>
  <c r="AT18" i="125"/>
  <c r="AR19" i="125"/>
  <c r="AT19" i="125"/>
  <c r="AR20" i="125"/>
  <c r="AT20" i="125"/>
  <c r="AR21" i="125"/>
  <c r="AT21" i="125"/>
  <c r="AR22" i="125"/>
  <c r="AT22" i="125"/>
  <c r="AR23" i="125"/>
  <c r="AT23" i="125"/>
  <c r="AR24" i="125"/>
  <c r="AT24" i="125"/>
  <c r="AR25" i="125"/>
  <c r="AT25" i="125"/>
  <c r="AT26" i="125"/>
  <c r="AS26" i="125"/>
  <c r="AR26" i="125"/>
  <c r="AT14" i="125"/>
  <c r="AS14" i="125"/>
  <c r="AL14" i="125"/>
  <c r="AO14" i="125"/>
  <c r="AR14" i="125"/>
  <c r="AK13" i="125"/>
  <c r="AN13" i="125"/>
  <c r="AQ13" i="125"/>
  <c r="AT13" i="125"/>
  <c r="AR12" i="125"/>
  <c r="AT12" i="125"/>
  <c r="A27" i="125"/>
  <c r="AS12" i="125"/>
  <c r="AR11" i="125"/>
  <c r="AT11" i="125"/>
  <c r="AS11" i="125"/>
  <c r="AO13" i="125"/>
  <c r="AP26" i="125"/>
  <c r="AQ14" i="125"/>
  <c r="AP14" i="125"/>
  <c r="AO12" i="125"/>
  <c r="AQ12" i="125"/>
  <c r="AP12" i="125"/>
  <c r="AO11" i="125"/>
  <c r="AQ11" i="125"/>
  <c r="AP11" i="125"/>
  <c r="AH16" i="124"/>
  <c r="AH17" i="124"/>
  <c r="AH18" i="124"/>
  <c r="AH19" i="124"/>
  <c r="AH20" i="124"/>
  <c r="AH21" i="124"/>
  <c r="AH22" i="124"/>
  <c r="AH23" i="124"/>
  <c r="AH26" i="124"/>
  <c r="AG26" i="124"/>
  <c r="AF26" i="124"/>
  <c r="AK15" i="124"/>
  <c r="AI16" i="124"/>
  <c r="AK16" i="124"/>
  <c r="AI17" i="124"/>
  <c r="AK17" i="124"/>
  <c r="AI18" i="124"/>
  <c r="AK18" i="124"/>
  <c r="AI19" i="124"/>
  <c r="AK19" i="124"/>
  <c r="AI20" i="124"/>
  <c r="AK20" i="124"/>
  <c r="AI21" i="124"/>
  <c r="AK21" i="124"/>
  <c r="AI22" i="124"/>
  <c r="AK22" i="124"/>
  <c r="AI23" i="124"/>
  <c r="AK23" i="124"/>
  <c r="AI24" i="124"/>
  <c r="AK24" i="124"/>
  <c r="AI25" i="124"/>
  <c r="AK25" i="124"/>
  <c r="AK26" i="124"/>
  <c r="AJ26" i="124"/>
  <c r="AI26" i="124"/>
  <c r="AL15" i="124"/>
  <c r="AN15" i="124"/>
  <c r="AL16" i="124"/>
  <c r="AN16" i="124"/>
  <c r="AL17" i="124"/>
  <c r="AN17" i="124"/>
  <c r="AL18" i="124"/>
  <c r="AN18" i="124"/>
  <c r="AL19" i="124"/>
  <c r="AN19" i="124"/>
  <c r="AL20" i="124"/>
  <c r="AN20" i="124"/>
  <c r="AL21" i="124"/>
  <c r="AN21" i="124"/>
  <c r="AL22" i="124"/>
  <c r="AN22" i="124"/>
  <c r="AL23" i="124"/>
  <c r="AN23" i="124"/>
  <c r="AL24" i="124"/>
  <c r="AN24" i="124"/>
  <c r="AL25" i="124"/>
  <c r="AN25" i="124"/>
  <c r="AN26" i="124"/>
  <c r="AL26" i="124"/>
  <c r="AO15" i="124"/>
  <c r="AQ15" i="124"/>
  <c r="AO13" i="124"/>
  <c r="AO16" i="124"/>
  <c r="AQ16" i="124"/>
  <c r="AO17" i="124"/>
  <c r="AQ17" i="124"/>
  <c r="AO18" i="124"/>
  <c r="AQ18" i="124"/>
  <c r="AO19" i="124"/>
  <c r="AQ19" i="124"/>
  <c r="AO20" i="124"/>
  <c r="AQ20" i="124"/>
  <c r="AO21" i="124"/>
  <c r="AQ21" i="124"/>
  <c r="AO22" i="124"/>
  <c r="AQ22" i="124"/>
  <c r="AO23" i="124"/>
  <c r="AQ23" i="124"/>
  <c r="AO24" i="124"/>
  <c r="AQ24" i="124"/>
  <c r="AO25" i="124"/>
  <c r="AQ25" i="124"/>
  <c r="AQ26" i="124"/>
  <c r="AP26" i="124"/>
  <c r="AO26" i="124"/>
  <c r="AQ14" i="124"/>
  <c r="AP14" i="124"/>
  <c r="AL14" i="124"/>
  <c r="AO14" i="124"/>
  <c r="AH13" i="124"/>
  <c r="AK13" i="124"/>
  <c r="AN13" i="124"/>
  <c r="AQ13" i="124"/>
  <c r="AO12" i="124"/>
  <c r="AQ12" i="124"/>
  <c r="A27" i="124"/>
  <c r="AP12" i="124"/>
  <c r="AO11" i="124"/>
  <c r="AQ11" i="124"/>
  <c r="AP11" i="124"/>
  <c r="AL13" i="124"/>
  <c r="AM26" i="124"/>
  <c r="AN14" i="124"/>
  <c r="AM14" i="124"/>
  <c r="AL12" i="124"/>
  <c r="AN12" i="124"/>
  <c r="AM12" i="124"/>
  <c r="AL11" i="124"/>
  <c r="AN11" i="124"/>
  <c r="AM11" i="124"/>
  <c r="AC15" i="125"/>
  <c r="AE15" i="125"/>
  <c r="AC16" i="125"/>
  <c r="AE16" i="125"/>
  <c r="AC17" i="125"/>
  <c r="AE17" i="125"/>
  <c r="AC18" i="125"/>
  <c r="AE18" i="125"/>
  <c r="AC19" i="125"/>
  <c r="AE19" i="125"/>
  <c r="AC20" i="125"/>
  <c r="AE20" i="125"/>
  <c r="AC21" i="125"/>
  <c r="AE21" i="125"/>
  <c r="AC22" i="125"/>
  <c r="AE22" i="125"/>
  <c r="AC23" i="125"/>
  <c r="AE23" i="125"/>
  <c r="AC24" i="125"/>
  <c r="AE24" i="125"/>
  <c r="AC25" i="125"/>
  <c r="AE25" i="125"/>
  <c r="AE26" i="125"/>
  <c r="AD26" i="125"/>
  <c r="AC26" i="125"/>
  <c r="AF15" i="125"/>
  <c r="AH15" i="125"/>
  <c r="AF16" i="125"/>
  <c r="AH16" i="125"/>
  <c r="AF17" i="125"/>
  <c r="AH17" i="125"/>
  <c r="AF18" i="125"/>
  <c r="AH18" i="125"/>
  <c r="AF19" i="125"/>
  <c r="AH19" i="125"/>
  <c r="AF20" i="125"/>
  <c r="AH20" i="125"/>
  <c r="AF21" i="125"/>
  <c r="AH21" i="125"/>
  <c r="AF22" i="125"/>
  <c r="AH22" i="125"/>
  <c r="AF23" i="125"/>
  <c r="AH23" i="125"/>
  <c r="AF24" i="125"/>
  <c r="AH24" i="125"/>
  <c r="AF25" i="125"/>
  <c r="AH25" i="125"/>
  <c r="AH26" i="125"/>
  <c r="AG26" i="125"/>
  <c r="AF26" i="125"/>
  <c r="AI13" i="125"/>
  <c r="AL13" i="125"/>
  <c r="AM26" i="125"/>
  <c r="AK14" i="125"/>
  <c r="AN14" i="125"/>
  <c r="AJ14" i="125"/>
  <c r="AM14" i="125"/>
  <c r="AF14" i="125"/>
  <c r="AA26" i="125"/>
  <c r="AB13" i="125"/>
  <c r="AE13" i="125"/>
  <c r="AH13" i="125"/>
  <c r="AL12" i="125"/>
  <c r="AN12" i="125"/>
  <c r="AM12" i="125"/>
  <c r="AI12" i="125"/>
  <c r="AK12" i="125"/>
  <c r="AJ12" i="125"/>
  <c r="AL11" i="125"/>
  <c r="AN11" i="125"/>
  <c r="AM11" i="125"/>
  <c r="AI11" i="125"/>
  <c r="AK11" i="125"/>
  <c r="AJ11" i="125"/>
  <c r="AB15" i="124"/>
  <c r="Z16" i="124"/>
  <c r="AB16" i="124"/>
  <c r="Z17" i="124"/>
  <c r="AB17" i="124"/>
  <c r="Z18" i="124"/>
  <c r="AB18" i="124"/>
  <c r="Z19" i="124"/>
  <c r="AB19" i="124"/>
  <c r="Z20" i="124"/>
  <c r="AB20" i="124"/>
  <c r="Z21" i="124"/>
  <c r="AB21" i="124"/>
  <c r="Z22" i="124"/>
  <c r="AB22" i="124"/>
  <c r="Z23" i="124"/>
  <c r="AB23" i="124"/>
  <c r="Z24" i="124"/>
  <c r="AB24" i="124"/>
  <c r="Z25" i="124"/>
  <c r="AB25" i="124"/>
  <c r="AB26" i="124"/>
  <c r="AA26" i="124"/>
  <c r="Z26" i="124"/>
  <c r="AC15" i="124"/>
  <c r="AE15" i="124"/>
  <c r="AC16" i="124"/>
  <c r="AE16" i="124"/>
  <c r="AC17" i="124"/>
  <c r="AE17" i="124"/>
  <c r="AC18" i="124"/>
  <c r="AE18" i="124"/>
  <c r="AC19" i="124"/>
  <c r="AE19" i="124"/>
  <c r="AC20" i="124"/>
  <c r="AE20" i="124"/>
  <c r="AC21" i="124"/>
  <c r="AE21" i="124"/>
  <c r="AC22" i="124"/>
  <c r="AE22" i="124"/>
  <c r="AC23" i="124"/>
  <c r="AE23" i="124"/>
  <c r="AC24" i="124"/>
  <c r="AE24" i="124"/>
  <c r="AC25" i="124"/>
  <c r="AE25" i="124"/>
  <c r="AE26" i="124"/>
  <c r="AD26" i="124"/>
  <c r="AC26" i="124"/>
  <c r="AH15" i="124"/>
  <c r="AF13" i="124"/>
  <c r="AF16" i="124"/>
  <c r="AF17" i="124"/>
  <c r="AF18" i="124"/>
  <c r="AF19" i="124"/>
  <c r="AF20" i="124"/>
  <c r="AF21" i="124"/>
  <c r="AF22" i="124"/>
  <c r="AF23" i="124"/>
  <c r="AF24" i="124"/>
  <c r="AH24" i="124"/>
  <c r="AF25" i="124"/>
  <c r="AH25" i="124"/>
  <c r="AI13" i="124"/>
  <c r="AH14" i="124"/>
  <c r="AK14" i="124"/>
  <c r="AG14" i="124"/>
  <c r="AJ14" i="124"/>
  <c r="AC14" i="124"/>
  <c r="AB13" i="124"/>
  <c r="AE13" i="124"/>
  <c r="AI12" i="124"/>
  <c r="AK12" i="124"/>
  <c r="AJ12" i="124"/>
  <c r="AF12" i="124"/>
  <c r="AH12" i="124"/>
  <c r="AG12" i="124"/>
  <c r="AI11" i="124"/>
  <c r="AK11" i="124"/>
  <c r="AJ11" i="124"/>
  <c r="AF11" i="124"/>
  <c r="AH11" i="124"/>
  <c r="AG11" i="124"/>
  <c r="AC13" i="124"/>
  <c r="AE14" i="124"/>
  <c r="AD14" i="124"/>
  <c r="AC12" i="124"/>
  <c r="AE12" i="124"/>
  <c r="AD12" i="124"/>
  <c r="AC11" i="124"/>
  <c r="AE11" i="124"/>
  <c r="AD11" i="124"/>
  <c r="Y15" i="124"/>
  <c r="W16" i="124"/>
  <c r="Y16" i="124"/>
  <c r="W17" i="124"/>
  <c r="Y17" i="124"/>
  <c r="W18" i="124"/>
  <c r="Y18" i="124"/>
  <c r="W19" i="124"/>
  <c r="Y19" i="124"/>
  <c r="W20" i="124"/>
  <c r="Y20" i="124"/>
  <c r="W21" i="124"/>
  <c r="Y21" i="124"/>
  <c r="W22" i="124"/>
  <c r="Y22" i="124"/>
  <c r="W23" i="124"/>
  <c r="Y23" i="124"/>
  <c r="W24" i="124"/>
  <c r="Y24" i="124"/>
  <c r="W25" i="124"/>
  <c r="Y25" i="124"/>
  <c r="Y26" i="124"/>
  <c r="X26" i="124"/>
  <c r="W26" i="124"/>
  <c r="Z13" i="124"/>
  <c r="AB14" i="124"/>
  <c r="AA14" i="124"/>
  <c r="Y13" i="124"/>
  <c r="Z12" i="124"/>
  <c r="AB12" i="124"/>
  <c r="AA12" i="124"/>
  <c r="Z11" i="124"/>
  <c r="AB11" i="124"/>
  <c r="AA11" i="124"/>
  <c r="AB16" i="125"/>
  <c r="AB17" i="125"/>
  <c r="AB18" i="125"/>
  <c r="AB19" i="125"/>
  <c r="AB20" i="125"/>
  <c r="AB21" i="125"/>
  <c r="AB22" i="125"/>
  <c r="AB23" i="125"/>
  <c r="AB24" i="125"/>
  <c r="AB25" i="125"/>
  <c r="AB26" i="125"/>
  <c r="Z26" i="125"/>
  <c r="AF13" i="125"/>
  <c r="AH14" i="125"/>
  <c r="AG14" i="125"/>
  <c r="AF12" i="125"/>
  <c r="AH12" i="125"/>
  <c r="AG12" i="125"/>
  <c r="AF11" i="125"/>
  <c r="AH11" i="125"/>
  <c r="AG11" i="125"/>
  <c r="AC11" i="125"/>
  <c r="AD11" i="125"/>
  <c r="AE11" i="125"/>
  <c r="AC12" i="125"/>
  <c r="AD12" i="125"/>
  <c r="AE12" i="125"/>
  <c r="AC13" i="125"/>
  <c r="AD14" i="125"/>
  <c r="AE14" i="125"/>
  <c r="S16" i="124"/>
  <c r="S17" i="124"/>
  <c r="S18" i="124"/>
  <c r="S19" i="124"/>
  <c r="S20" i="124"/>
  <c r="S21" i="124"/>
  <c r="S22" i="124"/>
  <c r="S23" i="124"/>
  <c r="S26" i="124"/>
  <c r="R26" i="124"/>
  <c r="Q26" i="124"/>
  <c r="T15" i="124"/>
  <c r="V15" i="124"/>
  <c r="T16" i="124"/>
  <c r="V16" i="124"/>
  <c r="T17" i="124"/>
  <c r="V17" i="124"/>
  <c r="T18" i="124"/>
  <c r="V18" i="124"/>
  <c r="T19" i="124"/>
  <c r="V19" i="124"/>
  <c r="T20" i="124"/>
  <c r="V20" i="124"/>
  <c r="T21" i="124"/>
  <c r="V21" i="124"/>
  <c r="T22" i="124"/>
  <c r="V22" i="124"/>
  <c r="T23" i="124"/>
  <c r="V23" i="124"/>
  <c r="T24" i="124"/>
  <c r="V24" i="124"/>
  <c r="T25" i="124"/>
  <c r="V25" i="124"/>
  <c r="V26" i="124"/>
  <c r="U26" i="124"/>
  <c r="T26" i="124"/>
  <c r="W13" i="124"/>
  <c r="Y14" i="124"/>
  <c r="X14" i="124"/>
  <c r="S13" i="124"/>
  <c r="V13" i="124"/>
  <c r="W12" i="124"/>
  <c r="Y12" i="124"/>
  <c r="X12" i="124"/>
  <c r="W11" i="124"/>
  <c r="Y11" i="124"/>
  <c r="X11" i="124"/>
  <c r="V15" i="125"/>
  <c r="T16" i="125"/>
  <c r="V16" i="125"/>
  <c r="T17" i="125"/>
  <c r="V17" i="125"/>
  <c r="T18" i="125"/>
  <c r="V18" i="125"/>
  <c r="T19" i="125"/>
  <c r="V19" i="125"/>
  <c r="T20" i="125"/>
  <c r="V20" i="125"/>
  <c r="T21" i="125"/>
  <c r="V21" i="125"/>
  <c r="T22" i="125"/>
  <c r="V22" i="125"/>
  <c r="T23" i="125"/>
  <c r="V23" i="125"/>
  <c r="T24" i="125"/>
  <c r="V24" i="125"/>
  <c r="T25" i="125"/>
  <c r="V25" i="125"/>
  <c r="V26" i="125"/>
  <c r="U26" i="125"/>
  <c r="T26" i="125"/>
  <c r="W15" i="125"/>
  <c r="Y15" i="125"/>
  <c r="W16" i="125"/>
  <c r="Y16" i="125"/>
  <c r="W17" i="125"/>
  <c r="Y17" i="125"/>
  <c r="W18" i="125"/>
  <c r="Y18" i="125"/>
  <c r="W19" i="125"/>
  <c r="Y19" i="125"/>
  <c r="W20" i="125"/>
  <c r="Y20" i="125"/>
  <c r="W21" i="125"/>
  <c r="Y21" i="125"/>
  <c r="W22" i="125"/>
  <c r="Y22" i="125"/>
  <c r="W23" i="125"/>
  <c r="Y23" i="125"/>
  <c r="W24" i="125"/>
  <c r="Y24" i="125"/>
  <c r="W25" i="125"/>
  <c r="Y25" i="125"/>
  <c r="Y26" i="125"/>
  <c r="X26" i="125"/>
  <c r="W26" i="125"/>
  <c r="Z15" i="125"/>
  <c r="AB15" i="125"/>
  <c r="Z13" i="125"/>
  <c r="Z16" i="125"/>
  <c r="Z17" i="125"/>
  <c r="Z18" i="125"/>
  <c r="Z19" i="125"/>
  <c r="Z20" i="125"/>
  <c r="Z21" i="125"/>
  <c r="Z22" i="125"/>
  <c r="Z23" i="125"/>
  <c r="Z24" i="125"/>
  <c r="Z25" i="125"/>
  <c r="AB14" i="125"/>
  <c r="AA14" i="125"/>
  <c r="W14" i="125"/>
  <c r="Z14" i="125"/>
  <c r="V13" i="125"/>
  <c r="Y13" i="125"/>
  <c r="Z12" i="125"/>
  <c r="AB12" i="125"/>
  <c r="AA12" i="125"/>
  <c r="Z11" i="125"/>
  <c r="AB11" i="125"/>
  <c r="AA11" i="125"/>
  <c r="W13" i="125"/>
  <c r="Y14" i="125"/>
  <c r="X14" i="125"/>
  <c r="W12" i="125"/>
  <c r="Y12" i="125"/>
  <c r="X12" i="125"/>
  <c r="W11" i="125"/>
  <c r="Y11" i="125"/>
  <c r="X11" i="125"/>
  <c r="R26" i="125"/>
  <c r="Q15" i="125"/>
  <c r="S15" i="125"/>
  <c r="Q13" i="125"/>
  <c r="Q16" i="125"/>
  <c r="S16" i="125"/>
  <c r="Q17" i="125"/>
  <c r="S17" i="125"/>
  <c r="Q18" i="125"/>
  <c r="S18" i="125"/>
  <c r="Q19" i="125"/>
  <c r="S19" i="125"/>
  <c r="Q20" i="125"/>
  <c r="S20" i="125"/>
  <c r="Q21" i="125"/>
  <c r="S21" i="125"/>
  <c r="Q22" i="125"/>
  <c r="S22" i="125"/>
  <c r="Q23" i="125"/>
  <c r="S23" i="125"/>
  <c r="Q24" i="125"/>
  <c r="S24" i="125"/>
  <c r="Q25" i="125"/>
  <c r="S25" i="125"/>
  <c r="S26" i="125"/>
  <c r="Q26" i="125"/>
  <c r="T13" i="125"/>
  <c r="S14" i="125"/>
  <c r="V14" i="125"/>
  <c r="R14" i="125"/>
  <c r="U14" i="125"/>
  <c r="Q14" i="125"/>
  <c r="S13" i="125"/>
  <c r="T12" i="125"/>
  <c r="V12" i="125"/>
  <c r="U12" i="125"/>
  <c r="Q12" i="125"/>
  <c r="S12" i="125"/>
  <c r="R12" i="125"/>
  <c r="T11" i="125"/>
  <c r="V11" i="125"/>
  <c r="U11" i="125"/>
  <c r="Q11" i="125"/>
  <c r="S11" i="125"/>
  <c r="R11" i="125"/>
  <c r="P16" i="124"/>
  <c r="P17" i="124"/>
  <c r="P18" i="124"/>
  <c r="P19" i="124"/>
  <c r="P20" i="124"/>
  <c r="P21" i="124"/>
  <c r="P22" i="124"/>
  <c r="P23" i="124"/>
  <c r="P26" i="124"/>
  <c r="O26" i="124"/>
  <c r="N26" i="124"/>
  <c r="Q15" i="124"/>
  <c r="S15" i="124"/>
  <c r="Q16" i="124"/>
  <c r="Q17" i="124"/>
  <c r="Q18" i="124"/>
  <c r="Q19" i="124"/>
  <c r="Q20" i="124"/>
  <c r="Q21" i="124"/>
  <c r="Q22" i="124"/>
  <c r="Q23" i="124"/>
  <c r="Q24" i="124"/>
  <c r="S24" i="124"/>
  <c r="Q25" i="124"/>
  <c r="S25" i="124"/>
  <c r="T13" i="124"/>
  <c r="V14" i="124"/>
  <c r="U14" i="124"/>
  <c r="T14" i="124"/>
  <c r="P13" i="124"/>
  <c r="T12" i="124"/>
  <c r="V12" i="124"/>
  <c r="U12" i="124"/>
  <c r="T11" i="124"/>
  <c r="V11" i="124"/>
  <c r="U11" i="124"/>
  <c r="Q13" i="124"/>
  <c r="S14" i="124"/>
  <c r="R14" i="124"/>
  <c r="Q14" i="124"/>
  <c r="Q12" i="124"/>
  <c r="S12" i="124"/>
  <c r="R12" i="124"/>
  <c r="Q11" i="124"/>
  <c r="S11" i="124"/>
  <c r="R11" i="124"/>
  <c r="G1" i="126"/>
  <c r="B12" i="126"/>
  <c r="E9" i="126"/>
  <c r="B16" i="126"/>
  <c r="E16" i="126"/>
  <c r="G16" i="126"/>
  <c r="B17" i="126"/>
  <c r="E17" i="126"/>
  <c r="G17" i="126"/>
  <c r="B18" i="126"/>
  <c r="E18" i="126"/>
  <c r="G18" i="126"/>
  <c r="B19" i="126"/>
  <c r="E19" i="126"/>
  <c r="G19" i="126"/>
  <c r="B20" i="126"/>
  <c r="E20" i="126"/>
  <c r="G20" i="126"/>
  <c r="B21" i="126"/>
  <c r="E21" i="126"/>
  <c r="G21" i="126"/>
  <c r="B22" i="126"/>
  <c r="E22" i="126"/>
  <c r="G22" i="126"/>
  <c r="B23" i="126"/>
  <c r="E23" i="126"/>
  <c r="G23" i="126"/>
  <c r="B24" i="126"/>
  <c r="E24" i="126"/>
  <c r="G24" i="126"/>
  <c r="B25" i="126"/>
  <c r="E25" i="126"/>
  <c r="G25" i="126"/>
  <c r="G15" i="126"/>
  <c r="G26" i="126"/>
  <c r="E10" i="126"/>
  <c r="F26" i="126"/>
  <c r="E26" i="126"/>
  <c r="H15" i="126"/>
  <c r="J15" i="126"/>
  <c r="H13" i="126"/>
  <c r="H16" i="126"/>
  <c r="J16" i="126"/>
  <c r="H17" i="126"/>
  <c r="J17" i="126"/>
  <c r="H18" i="126"/>
  <c r="J18" i="126"/>
  <c r="H19" i="126"/>
  <c r="J19" i="126"/>
  <c r="H20" i="126"/>
  <c r="J20" i="126"/>
  <c r="H21" i="126"/>
  <c r="J21" i="126"/>
  <c r="H22" i="126"/>
  <c r="J22" i="126"/>
  <c r="H23" i="126"/>
  <c r="J23" i="126"/>
  <c r="H24" i="126"/>
  <c r="J24" i="126"/>
  <c r="H25" i="126"/>
  <c r="J25" i="126"/>
  <c r="J26" i="126"/>
  <c r="I26" i="126"/>
  <c r="H26" i="126"/>
  <c r="K15" i="126"/>
  <c r="M15" i="126"/>
  <c r="K13" i="126"/>
  <c r="K16" i="126"/>
  <c r="M16" i="126"/>
  <c r="K17" i="126"/>
  <c r="M17" i="126"/>
  <c r="K18" i="126"/>
  <c r="M18" i="126"/>
  <c r="K19" i="126"/>
  <c r="M19" i="126"/>
  <c r="K20" i="126"/>
  <c r="M20" i="126"/>
  <c r="K21" i="126"/>
  <c r="M21" i="126"/>
  <c r="K22" i="126"/>
  <c r="M22" i="126"/>
  <c r="K23" i="126"/>
  <c r="M23" i="126"/>
  <c r="K24" i="126"/>
  <c r="M24" i="126"/>
  <c r="K25" i="126"/>
  <c r="M25" i="126"/>
  <c r="M26" i="126"/>
  <c r="L26" i="126"/>
  <c r="K26" i="126"/>
  <c r="N15" i="126"/>
  <c r="P15" i="126"/>
  <c r="N13" i="126"/>
  <c r="N16" i="126"/>
  <c r="P16" i="126"/>
  <c r="N17" i="126"/>
  <c r="P17" i="126"/>
  <c r="N18" i="126"/>
  <c r="P18" i="126"/>
  <c r="N19" i="126"/>
  <c r="P19" i="126"/>
  <c r="N20" i="126"/>
  <c r="P20" i="126"/>
  <c r="N21" i="126"/>
  <c r="P21" i="126"/>
  <c r="N22" i="126"/>
  <c r="P22" i="126"/>
  <c r="N23" i="126"/>
  <c r="P23" i="126"/>
  <c r="N24" i="126"/>
  <c r="P24" i="126"/>
  <c r="N25" i="126"/>
  <c r="P25" i="126"/>
  <c r="P26" i="126"/>
  <c r="O26" i="126"/>
  <c r="N26" i="126"/>
  <c r="Q15" i="126"/>
  <c r="S15" i="126"/>
  <c r="Q13" i="126"/>
  <c r="Q16" i="126"/>
  <c r="S16" i="126"/>
  <c r="Q17" i="126"/>
  <c r="S17" i="126"/>
  <c r="Q18" i="126"/>
  <c r="S18" i="126"/>
  <c r="Q19" i="126"/>
  <c r="S19" i="126"/>
  <c r="Q20" i="126"/>
  <c r="S20" i="126"/>
  <c r="Q21" i="126"/>
  <c r="S21" i="126"/>
  <c r="Q22" i="126"/>
  <c r="S22" i="126"/>
  <c r="Q23" i="126"/>
  <c r="S23" i="126"/>
  <c r="Q24" i="126"/>
  <c r="S24" i="126"/>
  <c r="Q25" i="126"/>
  <c r="S25" i="126"/>
  <c r="S26" i="126"/>
  <c r="R26" i="126"/>
  <c r="Q26" i="126"/>
  <c r="T15" i="126"/>
  <c r="V15" i="126"/>
  <c r="T13" i="126"/>
  <c r="T16" i="126"/>
  <c r="V16" i="126"/>
  <c r="T17" i="126"/>
  <c r="V17" i="126"/>
  <c r="T18" i="126"/>
  <c r="V18" i="126"/>
  <c r="T19" i="126"/>
  <c r="V19" i="126"/>
  <c r="T20" i="126"/>
  <c r="V20" i="126"/>
  <c r="T21" i="126"/>
  <c r="V21" i="126"/>
  <c r="T22" i="126"/>
  <c r="V22" i="126"/>
  <c r="T23" i="126"/>
  <c r="V23" i="126"/>
  <c r="T24" i="126"/>
  <c r="V24" i="126"/>
  <c r="T25" i="126"/>
  <c r="V25" i="126"/>
  <c r="V26" i="126"/>
  <c r="U26" i="126"/>
  <c r="T26" i="126"/>
  <c r="W15" i="126"/>
  <c r="Y15" i="126"/>
  <c r="W13" i="126"/>
  <c r="W16" i="126"/>
  <c r="Y16" i="126"/>
  <c r="W17" i="126"/>
  <c r="Y17" i="126"/>
  <c r="W18" i="126"/>
  <c r="Y18" i="126"/>
  <c r="W19" i="126"/>
  <c r="Y19" i="126"/>
  <c r="W20" i="126"/>
  <c r="Y20" i="126"/>
  <c r="W21" i="126"/>
  <c r="Y21" i="126"/>
  <c r="W22" i="126"/>
  <c r="Y22" i="126"/>
  <c r="W23" i="126"/>
  <c r="Y23" i="126"/>
  <c r="W24" i="126"/>
  <c r="Y24" i="126"/>
  <c r="W25" i="126"/>
  <c r="Y25" i="126"/>
  <c r="Y26" i="126"/>
  <c r="X26" i="126"/>
  <c r="W26" i="126"/>
  <c r="J14" i="126"/>
  <c r="M14" i="126"/>
  <c r="P14" i="126"/>
  <c r="S14" i="126"/>
  <c r="V14" i="126"/>
  <c r="Y14" i="126"/>
  <c r="I14" i="126"/>
  <c r="L14" i="126"/>
  <c r="O14" i="126"/>
  <c r="R14" i="126"/>
  <c r="U14" i="126"/>
  <c r="X14" i="126"/>
  <c r="H14" i="126"/>
  <c r="K14" i="126"/>
  <c r="N14" i="126"/>
  <c r="Q14" i="126"/>
  <c r="T14" i="126"/>
  <c r="W14" i="126"/>
  <c r="G13" i="126"/>
  <c r="J13" i="126"/>
  <c r="M13" i="126"/>
  <c r="P13" i="126"/>
  <c r="S13" i="126"/>
  <c r="V13" i="126"/>
  <c r="Y13" i="126"/>
  <c r="B5" i="126"/>
  <c r="E5" i="126"/>
  <c r="W12" i="126"/>
  <c r="Y12" i="126"/>
  <c r="X12" i="126"/>
  <c r="T12" i="126"/>
  <c r="V12" i="126"/>
  <c r="U12" i="126"/>
  <c r="E6" i="126"/>
  <c r="W11" i="126"/>
  <c r="Y11" i="126"/>
  <c r="X11" i="126"/>
  <c r="T11" i="126"/>
  <c r="V11" i="126"/>
  <c r="U11" i="126"/>
  <c r="Q12" i="126"/>
  <c r="S12" i="126"/>
  <c r="R12" i="126"/>
  <c r="N12" i="126"/>
  <c r="P12" i="126"/>
  <c r="O12" i="126"/>
  <c r="Q11" i="126"/>
  <c r="S11" i="126"/>
  <c r="R11" i="126"/>
  <c r="N11" i="126"/>
  <c r="P11" i="126"/>
  <c r="O11" i="126"/>
  <c r="K12" i="126"/>
  <c r="M12" i="126"/>
  <c r="L12" i="126"/>
  <c r="H12" i="126"/>
  <c r="J12" i="126"/>
  <c r="I12" i="126"/>
  <c r="K11" i="126"/>
  <c r="M11" i="126"/>
  <c r="L11" i="126"/>
  <c r="H11" i="126"/>
  <c r="J11" i="126"/>
  <c r="I11" i="126"/>
  <c r="N15" i="124"/>
  <c r="G12" i="126"/>
  <c r="F12" i="126"/>
  <c r="F11" i="126"/>
  <c r="B12" i="125"/>
  <c r="E5" i="125"/>
  <c r="O26" i="125"/>
  <c r="P13" i="125"/>
  <c r="N12" i="125"/>
  <c r="P12" i="125"/>
  <c r="O12" i="125"/>
  <c r="K12" i="125"/>
  <c r="M12" i="125"/>
  <c r="L12" i="125"/>
  <c r="H12" i="125"/>
  <c r="J12" i="125"/>
  <c r="I12" i="125"/>
  <c r="G12" i="125"/>
  <c r="F12" i="125"/>
  <c r="E6" i="125"/>
  <c r="N11" i="125"/>
  <c r="P11" i="125"/>
  <c r="O11" i="125"/>
  <c r="K11" i="125"/>
  <c r="M11" i="125"/>
  <c r="L11" i="125"/>
  <c r="H11" i="125"/>
  <c r="J11" i="125"/>
  <c r="I11" i="125"/>
  <c r="G11" i="125"/>
  <c r="F11" i="125"/>
  <c r="L26" i="124"/>
  <c r="M13" i="124"/>
  <c r="G2" i="124"/>
  <c r="B12" i="124"/>
  <c r="C5" i="124"/>
  <c r="E5" i="124"/>
  <c r="K12" i="124"/>
  <c r="M12" i="124"/>
  <c r="H12" i="124"/>
  <c r="J12" i="124"/>
  <c r="G12" i="124"/>
  <c r="N12" i="124"/>
  <c r="C6" i="124"/>
  <c r="E6" i="124"/>
  <c r="K11" i="124"/>
  <c r="L11" i="124"/>
  <c r="H11" i="124"/>
  <c r="I11" i="124"/>
  <c r="F11" i="124"/>
  <c r="N11" i="124"/>
  <c r="O11" i="124"/>
  <c r="G1" i="125"/>
  <c r="B6" i="125"/>
  <c r="F26" i="125"/>
  <c r="G13" i="125"/>
  <c r="I26" i="125"/>
  <c r="J13" i="125"/>
  <c r="L26" i="125"/>
  <c r="M13" i="125"/>
  <c r="F26" i="124"/>
  <c r="G13" i="124"/>
  <c r="I26" i="124"/>
  <c r="J13" i="124"/>
  <c r="O12" i="124"/>
  <c r="L12" i="124"/>
  <c r="I12" i="124"/>
  <c r="F12" i="124"/>
  <c r="M11" i="124"/>
  <c r="J11" i="124"/>
  <c r="G11" i="124"/>
  <c r="B5" i="125"/>
  <c r="B10" i="125"/>
  <c r="B9" i="125"/>
  <c r="E9" i="125"/>
  <c r="B16" i="125"/>
  <c r="H13" i="125"/>
  <c r="K13" i="125"/>
  <c r="K16" i="125"/>
  <c r="M16" i="125"/>
  <c r="B17" i="125"/>
  <c r="K17" i="125"/>
  <c r="M17" i="125"/>
  <c r="B18" i="125"/>
  <c r="K18" i="125"/>
  <c r="M18" i="125"/>
  <c r="B19" i="125"/>
  <c r="K19" i="125"/>
  <c r="M19" i="125"/>
  <c r="B20" i="125"/>
  <c r="K20" i="125"/>
  <c r="M20" i="125"/>
  <c r="B21" i="125"/>
  <c r="K21" i="125"/>
  <c r="M21" i="125"/>
  <c r="B22" i="125"/>
  <c r="K22" i="125"/>
  <c r="M22" i="125"/>
  <c r="B23" i="125"/>
  <c r="K23" i="125"/>
  <c r="M23" i="125"/>
  <c r="B24" i="125"/>
  <c r="K24" i="125"/>
  <c r="M24" i="125"/>
  <c r="K25" i="125"/>
  <c r="M25" i="125"/>
  <c r="M26" i="125"/>
  <c r="E10" i="125"/>
  <c r="K26" i="125"/>
  <c r="N15" i="125"/>
  <c r="N13" i="125"/>
  <c r="N16" i="125"/>
  <c r="P16" i="125"/>
  <c r="N17" i="125"/>
  <c r="P17" i="125"/>
  <c r="N18" i="125"/>
  <c r="P18" i="125"/>
  <c r="N19" i="125"/>
  <c r="P19" i="125"/>
  <c r="N20" i="125"/>
  <c r="P20" i="125"/>
  <c r="N21" i="125"/>
  <c r="P21" i="125"/>
  <c r="N22" i="125"/>
  <c r="P22" i="125"/>
  <c r="N23" i="125"/>
  <c r="P23" i="125"/>
  <c r="N24" i="125"/>
  <c r="P24" i="125"/>
  <c r="N25" i="125"/>
  <c r="P25" i="125"/>
  <c r="P26" i="125"/>
  <c r="N26" i="125"/>
  <c r="J14" i="125"/>
  <c r="M14" i="125"/>
  <c r="P14" i="125"/>
  <c r="I14" i="125"/>
  <c r="L14" i="125"/>
  <c r="O14" i="125"/>
  <c r="N14" i="125"/>
  <c r="D15" i="126"/>
  <c r="D16" i="126"/>
  <c r="D17" i="126"/>
  <c r="D18" i="126"/>
  <c r="D19" i="126"/>
  <c r="D20" i="126"/>
  <c r="D21" i="126"/>
  <c r="D22" i="126"/>
  <c r="D23" i="126"/>
  <c r="D24" i="126"/>
  <c r="D25" i="126"/>
  <c r="D26" i="126"/>
  <c r="B26" i="126"/>
  <c r="B8" i="126"/>
  <c r="E8" i="126"/>
  <c r="C8" i="126"/>
  <c r="E7" i="126"/>
  <c r="C5" i="126"/>
  <c r="E4" i="126"/>
  <c r="E3" i="126"/>
  <c r="G2" i="126"/>
  <c r="E2" i="126"/>
  <c r="C10" i="124"/>
  <c r="C9" i="124"/>
  <c r="E9" i="124"/>
  <c r="B16" i="124"/>
  <c r="B17" i="124"/>
  <c r="B18" i="124"/>
  <c r="B19" i="124"/>
  <c r="B20" i="124"/>
  <c r="B21" i="124"/>
  <c r="B22" i="124"/>
  <c r="B23" i="124"/>
  <c r="B24" i="124"/>
  <c r="E24" i="124"/>
  <c r="G24" i="124"/>
  <c r="B25" i="124"/>
  <c r="E25" i="124"/>
  <c r="G25" i="124"/>
  <c r="G26" i="124"/>
  <c r="E10" i="124"/>
  <c r="E26" i="124"/>
  <c r="H15" i="124"/>
  <c r="H13" i="124"/>
  <c r="H16" i="124"/>
  <c r="J16" i="124"/>
  <c r="H17" i="124"/>
  <c r="J17" i="124"/>
  <c r="H18" i="124"/>
  <c r="J18" i="124"/>
  <c r="H19" i="124"/>
  <c r="J19" i="124"/>
  <c r="H20" i="124"/>
  <c r="J20" i="124"/>
  <c r="H21" i="124"/>
  <c r="J21" i="124"/>
  <c r="H22" i="124"/>
  <c r="J22" i="124"/>
  <c r="H23" i="124"/>
  <c r="J23" i="124"/>
  <c r="H24" i="124"/>
  <c r="J24" i="124"/>
  <c r="H25" i="124"/>
  <c r="J25" i="124"/>
  <c r="J26" i="124"/>
  <c r="H26" i="124"/>
  <c r="K15" i="124"/>
  <c r="K13" i="124"/>
  <c r="K16" i="124"/>
  <c r="M16" i="124"/>
  <c r="K17" i="124"/>
  <c r="M17" i="124"/>
  <c r="K18" i="124"/>
  <c r="M18" i="124"/>
  <c r="K19" i="124"/>
  <c r="M19" i="124"/>
  <c r="K20" i="124"/>
  <c r="M20" i="124"/>
  <c r="K21" i="124"/>
  <c r="M21" i="124"/>
  <c r="K22" i="124"/>
  <c r="M22" i="124"/>
  <c r="K23" i="124"/>
  <c r="M23" i="124"/>
  <c r="K24" i="124"/>
  <c r="M24" i="124"/>
  <c r="K25" i="124"/>
  <c r="M25" i="124"/>
  <c r="M26" i="124"/>
  <c r="K26" i="124"/>
  <c r="N13" i="124"/>
  <c r="N16" i="124"/>
  <c r="N17" i="124"/>
  <c r="N18" i="124"/>
  <c r="N19" i="124"/>
  <c r="N20" i="124"/>
  <c r="N21" i="124"/>
  <c r="N22" i="124"/>
  <c r="N23" i="124"/>
  <c r="N24" i="124"/>
  <c r="P24" i="124"/>
  <c r="N25" i="124"/>
  <c r="P25" i="124"/>
  <c r="J14" i="124"/>
  <c r="M14" i="124"/>
  <c r="P14" i="124"/>
  <c r="I14" i="124"/>
  <c r="L14" i="124"/>
  <c r="O14" i="124"/>
  <c r="H14" i="124"/>
  <c r="K14" i="124"/>
  <c r="G26" i="125"/>
  <c r="E26" i="125"/>
  <c r="H15" i="125"/>
  <c r="J26" i="125"/>
  <c r="H26" i="125"/>
  <c r="G2" i="125"/>
  <c r="C6" i="125"/>
  <c r="C5" i="125"/>
  <c r="C10" i="125"/>
  <c r="C9" i="125"/>
  <c r="B25" i="125"/>
  <c r="D15" i="125"/>
  <c r="D16" i="125"/>
  <c r="D17" i="125"/>
  <c r="D18" i="125"/>
  <c r="D19" i="125"/>
  <c r="D20" i="125"/>
  <c r="D21" i="125"/>
  <c r="D22" i="125"/>
  <c r="D23" i="125"/>
  <c r="C24" i="125"/>
  <c r="D24" i="125"/>
  <c r="C25" i="125"/>
  <c r="D25" i="125"/>
  <c r="D26" i="125"/>
  <c r="C26" i="125"/>
  <c r="B26" i="125"/>
  <c r="P15" i="125"/>
  <c r="M15" i="125"/>
  <c r="H14" i="125"/>
  <c r="C8" i="125"/>
  <c r="B8" i="125"/>
  <c r="E8" i="125"/>
  <c r="E7" i="125"/>
  <c r="E4" i="125"/>
  <c r="E3" i="125"/>
  <c r="E2" i="125"/>
  <c r="D15" i="124"/>
  <c r="D16" i="124"/>
  <c r="D17" i="124"/>
  <c r="D18" i="124"/>
  <c r="D19" i="124"/>
  <c r="D20" i="124"/>
  <c r="D21" i="124"/>
  <c r="D22" i="124"/>
  <c r="D23" i="124"/>
  <c r="C24" i="124"/>
  <c r="D24" i="124"/>
  <c r="C25" i="124"/>
  <c r="D25" i="124"/>
  <c r="D26" i="124"/>
  <c r="C26" i="124"/>
  <c r="B26" i="124"/>
  <c r="P15" i="124"/>
  <c r="M15" i="124"/>
  <c r="J15" i="124"/>
  <c r="B6" i="124"/>
  <c r="B10" i="124"/>
  <c r="B9" i="124"/>
  <c r="C8" i="124"/>
  <c r="E8" i="124"/>
  <c r="B8" i="124"/>
  <c r="E7" i="124"/>
  <c r="B5" i="124"/>
  <c r="E4" i="124"/>
  <c r="E3" i="124"/>
  <c r="E2" i="124"/>
  <c r="G1" i="124"/>
  <c r="A27" i="119"/>
  <c r="F26" i="119"/>
  <c r="G13" i="119"/>
  <c r="J13" i="119"/>
  <c r="M13" i="119"/>
  <c r="N27" i="119"/>
  <c r="P13" i="119"/>
  <c r="P27" i="119"/>
  <c r="O27" i="119"/>
  <c r="P12" i="119"/>
  <c r="K27" i="119"/>
  <c r="M27" i="119"/>
  <c r="L27" i="119"/>
  <c r="M12" i="119"/>
  <c r="H27" i="119"/>
  <c r="J27" i="119"/>
  <c r="I27" i="119"/>
  <c r="J12" i="119"/>
  <c r="G27" i="119"/>
  <c r="F27" i="119"/>
  <c r="G12" i="119"/>
  <c r="O26" i="119"/>
  <c r="G19" i="119"/>
  <c r="G26" i="119"/>
  <c r="E26" i="119"/>
  <c r="H15" i="119"/>
  <c r="H16" i="119"/>
  <c r="J16" i="119"/>
  <c r="H17" i="119"/>
  <c r="J17" i="119"/>
  <c r="H18" i="119"/>
  <c r="J18" i="119"/>
  <c r="H19" i="119"/>
  <c r="J19" i="119"/>
  <c r="H20" i="119"/>
  <c r="J20" i="119"/>
  <c r="H21" i="119"/>
  <c r="J21" i="119"/>
  <c r="H22" i="119"/>
  <c r="J22" i="119"/>
  <c r="H23" i="119"/>
  <c r="J23" i="119"/>
  <c r="H24" i="119"/>
  <c r="J24" i="119"/>
  <c r="H25" i="119"/>
  <c r="J25" i="119"/>
  <c r="J26" i="119"/>
  <c r="H26" i="119"/>
  <c r="K15" i="119"/>
  <c r="K16" i="119"/>
  <c r="M16" i="119"/>
  <c r="K17" i="119"/>
  <c r="M17" i="119"/>
  <c r="K18" i="119"/>
  <c r="M18" i="119"/>
  <c r="K19" i="119"/>
  <c r="M19" i="119"/>
  <c r="K20" i="119"/>
  <c r="M20" i="119"/>
  <c r="K21" i="119"/>
  <c r="M21" i="119"/>
  <c r="K22" i="119"/>
  <c r="M22" i="119"/>
  <c r="K23" i="119"/>
  <c r="M23" i="119"/>
  <c r="K24" i="119"/>
  <c r="M24" i="119"/>
  <c r="K25" i="119"/>
  <c r="M25" i="119"/>
  <c r="M26" i="119"/>
  <c r="K26" i="119"/>
  <c r="N15" i="119"/>
  <c r="N13" i="119"/>
  <c r="N16" i="119"/>
  <c r="P16" i="119"/>
  <c r="N17" i="119"/>
  <c r="P17" i="119"/>
  <c r="N18" i="119"/>
  <c r="P18" i="119"/>
  <c r="N19" i="119"/>
  <c r="P19" i="119"/>
  <c r="N20" i="119"/>
  <c r="P20" i="119"/>
  <c r="N21" i="119"/>
  <c r="P21" i="119"/>
  <c r="N22" i="119"/>
  <c r="P22" i="119"/>
  <c r="N23" i="119"/>
  <c r="P23" i="119"/>
  <c r="N24" i="119"/>
  <c r="P24" i="119"/>
  <c r="N25" i="119"/>
  <c r="P25" i="119"/>
  <c r="P26" i="119"/>
  <c r="N26" i="119"/>
  <c r="P15" i="119"/>
  <c r="P14" i="119"/>
  <c r="O14" i="119"/>
  <c r="N14" i="119"/>
  <c r="L26" i="119"/>
  <c r="K13" i="119"/>
  <c r="M15" i="119"/>
  <c r="M14" i="119"/>
  <c r="L14" i="119"/>
  <c r="K14" i="119"/>
  <c r="G2" i="119"/>
  <c r="B12" i="119"/>
  <c r="C6" i="119"/>
  <c r="E6" i="119"/>
  <c r="I26" i="119"/>
  <c r="C5" i="119"/>
  <c r="E5" i="119"/>
  <c r="G15" i="119"/>
  <c r="E16" i="119"/>
  <c r="G16" i="119"/>
  <c r="B17" i="119"/>
  <c r="E17" i="119"/>
  <c r="G17" i="119"/>
  <c r="B18" i="119"/>
  <c r="E18" i="119"/>
  <c r="G18" i="119"/>
  <c r="B19" i="119"/>
  <c r="E19" i="119"/>
  <c r="B20" i="119"/>
  <c r="E20" i="119"/>
  <c r="G20" i="119"/>
  <c r="B21" i="119"/>
  <c r="E21" i="119"/>
  <c r="G21" i="119"/>
  <c r="B22" i="119"/>
  <c r="E22" i="119"/>
  <c r="G22" i="119"/>
  <c r="B23" i="119"/>
  <c r="E23" i="119"/>
  <c r="G23" i="119"/>
  <c r="B24" i="119"/>
  <c r="E24" i="119"/>
  <c r="G24" i="119"/>
  <c r="B25" i="119"/>
  <c r="E25" i="119"/>
  <c r="G25" i="119"/>
  <c r="C10" i="119"/>
  <c r="E10" i="119"/>
  <c r="H13" i="119"/>
  <c r="D15" i="119"/>
  <c r="D16" i="119"/>
  <c r="D17" i="119"/>
  <c r="D18" i="119"/>
  <c r="D19" i="119"/>
  <c r="D20" i="119"/>
  <c r="D21" i="119"/>
  <c r="D22" i="119"/>
  <c r="D23" i="119"/>
  <c r="C24" i="119"/>
  <c r="D24" i="119"/>
  <c r="C25" i="119"/>
  <c r="D25" i="119"/>
  <c r="D26" i="119"/>
  <c r="C26" i="119"/>
  <c r="B26" i="119"/>
  <c r="J15" i="119"/>
  <c r="J14" i="119"/>
  <c r="I14" i="119"/>
  <c r="H14" i="119"/>
  <c r="B6" i="119"/>
  <c r="B10" i="119"/>
  <c r="E9" i="119"/>
  <c r="C8" i="119"/>
  <c r="E8" i="119"/>
  <c r="B8" i="119"/>
  <c r="E7" i="119"/>
  <c r="B5" i="119"/>
  <c r="E4" i="119"/>
  <c r="E3" i="119"/>
  <c r="E2" i="119"/>
  <c r="G1" i="119"/>
  <c r="J57" i="111"/>
  <c r="F58" i="111"/>
  <c r="G57" i="111"/>
  <c r="F60" i="111"/>
  <c r="G60" i="111"/>
  <c r="H60" i="111"/>
  <c r="I60" i="111"/>
  <c r="J60" i="111"/>
  <c r="K60" i="111"/>
  <c r="M59" i="111"/>
  <c r="J53" i="111"/>
  <c r="F54" i="111"/>
  <c r="G53" i="111"/>
  <c r="F56" i="111"/>
  <c r="G56" i="111"/>
  <c r="H56" i="111"/>
  <c r="I56" i="111"/>
  <c r="J56" i="111"/>
  <c r="K56" i="111"/>
  <c r="M55" i="111"/>
  <c r="J49" i="111"/>
  <c r="F50" i="111"/>
  <c r="G49" i="111"/>
  <c r="F52" i="111"/>
  <c r="G52" i="111"/>
  <c r="H52" i="111"/>
  <c r="I52" i="111"/>
  <c r="J52" i="111"/>
  <c r="K52" i="111"/>
  <c r="M51" i="111"/>
  <c r="J45" i="111"/>
  <c r="F46" i="111"/>
  <c r="G45" i="111"/>
  <c r="F48" i="111"/>
  <c r="G48" i="111"/>
  <c r="H48" i="111"/>
  <c r="I48" i="111"/>
  <c r="J48" i="111"/>
  <c r="K48" i="111"/>
  <c r="M47" i="111"/>
  <c r="J41" i="111"/>
  <c r="F42" i="111"/>
  <c r="G41" i="111"/>
  <c r="F44" i="111"/>
  <c r="G44" i="111"/>
  <c r="H44" i="111"/>
  <c r="I44" i="111"/>
  <c r="J44" i="111"/>
  <c r="K44" i="111"/>
  <c r="M43" i="111"/>
  <c r="J37" i="111"/>
  <c r="F38" i="111"/>
  <c r="G37" i="111"/>
  <c r="F40" i="111"/>
  <c r="G40" i="111"/>
  <c r="H40" i="111"/>
  <c r="I40" i="111"/>
  <c r="J40" i="111"/>
  <c r="K40" i="111"/>
  <c r="M39" i="111"/>
  <c r="J33" i="111"/>
  <c r="F34" i="111"/>
  <c r="G33" i="111"/>
  <c r="F36" i="111"/>
  <c r="G36" i="111"/>
  <c r="H36" i="111"/>
  <c r="I36" i="111"/>
  <c r="J36" i="111"/>
  <c r="K36" i="111"/>
  <c r="M35" i="111"/>
  <c r="J29" i="111"/>
  <c r="F30" i="111"/>
  <c r="G29" i="111"/>
  <c r="F32" i="111"/>
  <c r="G32" i="111"/>
  <c r="H32" i="111"/>
  <c r="I32" i="111"/>
  <c r="J32" i="111"/>
  <c r="K32" i="111"/>
  <c r="M31" i="111"/>
  <c r="J25" i="111"/>
  <c r="F26" i="111"/>
  <c r="G25" i="111"/>
  <c r="F28" i="111"/>
  <c r="G28" i="111"/>
  <c r="H28" i="111"/>
  <c r="I28" i="111"/>
  <c r="J28" i="111"/>
  <c r="K28" i="111"/>
  <c r="M27" i="111"/>
  <c r="J21" i="111"/>
  <c r="F22" i="111"/>
  <c r="G21" i="111"/>
  <c r="F24" i="111"/>
  <c r="G24" i="111"/>
  <c r="H24" i="111"/>
  <c r="I24" i="111"/>
  <c r="J24" i="111"/>
  <c r="K24" i="111"/>
  <c r="M23" i="111"/>
  <c r="J17" i="111"/>
  <c r="F18" i="111"/>
  <c r="G17" i="111"/>
  <c r="F20" i="111"/>
  <c r="G20" i="111"/>
  <c r="H20" i="111"/>
  <c r="I20" i="111"/>
  <c r="J20" i="111"/>
  <c r="K20" i="111"/>
  <c r="M19" i="111"/>
  <c r="J13" i="111"/>
  <c r="F14" i="111"/>
  <c r="G13" i="111"/>
  <c r="F16" i="111"/>
  <c r="G16" i="111"/>
  <c r="H16" i="111"/>
  <c r="I16" i="111"/>
  <c r="J16" i="111"/>
  <c r="K16" i="111"/>
  <c r="M15" i="111"/>
  <c r="J9" i="111"/>
  <c r="F10" i="111"/>
  <c r="G9" i="111"/>
  <c r="K12" i="111"/>
  <c r="M11" i="111"/>
  <c r="J5" i="111"/>
  <c r="F6" i="111"/>
  <c r="G5" i="111"/>
  <c r="J8" i="111"/>
  <c r="K8" i="111"/>
  <c r="M7" i="111"/>
  <c r="M8" i="111"/>
  <c r="M12" i="111"/>
  <c r="M16" i="111"/>
  <c r="M20" i="111"/>
  <c r="M24" i="111"/>
  <c r="M28" i="111"/>
  <c r="M32" i="111"/>
  <c r="M36" i="111"/>
  <c r="M40" i="111"/>
  <c r="M44" i="111"/>
  <c r="M48" i="111"/>
  <c r="M52" i="111"/>
  <c r="M56" i="111"/>
  <c r="M60" i="111"/>
  <c r="J61" i="111"/>
  <c r="F62" i="111"/>
  <c r="G61" i="111"/>
  <c r="F64" i="111"/>
  <c r="G64" i="111"/>
  <c r="H64" i="111"/>
  <c r="I64" i="111"/>
  <c r="J64" i="111"/>
  <c r="K64" i="111"/>
  <c r="C8" i="111"/>
  <c r="C10" i="111"/>
  <c r="C12" i="111"/>
  <c r="C16" i="111"/>
  <c r="C20" i="111"/>
  <c r="C24" i="111"/>
  <c r="C28" i="111"/>
  <c r="C32" i="111"/>
  <c r="C36" i="111"/>
  <c r="C40" i="111"/>
  <c r="C44" i="111"/>
  <c r="C48" i="111"/>
  <c r="C52" i="111"/>
  <c r="C56" i="111"/>
  <c r="C60" i="111"/>
  <c r="C64" i="111"/>
  <c r="O64" i="111"/>
  <c r="N64" i="111"/>
  <c r="M63" i="111"/>
  <c r="M64" i="111"/>
  <c r="D12" i="111"/>
  <c r="D16" i="111"/>
  <c r="D20" i="111"/>
  <c r="D24" i="111"/>
  <c r="D28" i="111"/>
  <c r="D32" i="111"/>
  <c r="D36" i="111"/>
  <c r="D40" i="111"/>
  <c r="D44" i="111"/>
  <c r="D48" i="111"/>
  <c r="D52" i="111"/>
  <c r="D56" i="111"/>
  <c r="D60" i="111"/>
  <c r="D64" i="111"/>
  <c r="C62" i="111"/>
  <c r="C58" i="111"/>
  <c r="C54" i="111"/>
  <c r="C50" i="111"/>
  <c r="C46" i="111"/>
  <c r="C42" i="111"/>
  <c r="C38" i="111"/>
  <c r="C34" i="111"/>
  <c r="C30" i="111"/>
  <c r="C26" i="111"/>
  <c r="C22" i="111"/>
  <c r="C18" i="111"/>
  <c r="C14" i="111"/>
  <c r="C6" i="111"/>
  <c r="E6" i="111"/>
  <c r="F7" i="111"/>
  <c r="G7" i="111"/>
  <c r="H7" i="111"/>
  <c r="I7" i="111"/>
  <c r="J7" i="111"/>
  <c r="K6" i="111"/>
  <c r="I5" i="111"/>
  <c r="E10" i="111"/>
  <c r="F11" i="111"/>
  <c r="G11" i="111"/>
  <c r="H11" i="111"/>
  <c r="I11" i="111"/>
  <c r="J11" i="111"/>
  <c r="K10" i="111"/>
  <c r="I9" i="111"/>
  <c r="E14" i="111"/>
  <c r="F15" i="111"/>
  <c r="G15" i="111"/>
  <c r="H15" i="111"/>
  <c r="I15" i="111"/>
  <c r="J15" i="111"/>
  <c r="K14" i="111"/>
  <c r="I13" i="111"/>
  <c r="E18" i="111"/>
  <c r="F19" i="111"/>
  <c r="G19" i="111"/>
  <c r="H19" i="111"/>
  <c r="I19" i="111"/>
  <c r="J19" i="111"/>
  <c r="K18" i="111"/>
  <c r="I17" i="111"/>
  <c r="E22" i="111"/>
  <c r="F23" i="111"/>
  <c r="G23" i="111"/>
  <c r="H23" i="111"/>
  <c r="I23" i="111"/>
  <c r="J23" i="111"/>
  <c r="K22" i="111"/>
  <c r="I21" i="111"/>
  <c r="E26" i="111"/>
  <c r="F27" i="111"/>
  <c r="G27" i="111"/>
  <c r="H27" i="111"/>
  <c r="I27" i="111"/>
  <c r="J27" i="111"/>
  <c r="K26" i="111"/>
  <c r="I25" i="111"/>
  <c r="E30" i="111"/>
  <c r="F31" i="111"/>
  <c r="G31" i="111"/>
  <c r="H31" i="111"/>
  <c r="I31" i="111"/>
  <c r="J31" i="111"/>
  <c r="K30" i="111"/>
  <c r="I29" i="111"/>
  <c r="E34" i="111"/>
  <c r="F35" i="111"/>
  <c r="G35" i="111"/>
  <c r="H35" i="111"/>
  <c r="I35" i="111"/>
  <c r="J35" i="111"/>
  <c r="K34" i="111"/>
  <c r="I33" i="111"/>
  <c r="E38" i="111"/>
  <c r="F39" i="111"/>
  <c r="G39" i="111"/>
  <c r="H39" i="111"/>
  <c r="I39" i="111"/>
  <c r="J39" i="111"/>
  <c r="K38" i="111"/>
  <c r="I37" i="111"/>
  <c r="E42" i="111"/>
  <c r="F43" i="111"/>
  <c r="G43" i="111"/>
  <c r="H43" i="111"/>
  <c r="I43" i="111"/>
  <c r="J43" i="111"/>
  <c r="K42" i="111"/>
  <c r="I41" i="111"/>
  <c r="E46" i="111"/>
  <c r="F47" i="111"/>
  <c r="G47" i="111"/>
  <c r="H47" i="111"/>
  <c r="I47" i="111"/>
  <c r="J47" i="111"/>
  <c r="K46" i="111"/>
  <c r="I45" i="111"/>
  <c r="E50" i="111"/>
  <c r="F51" i="111"/>
  <c r="G51" i="111"/>
  <c r="H51" i="111"/>
  <c r="I51" i="111"/>
  <c r="J51" i="111"/>
  <c r="K50" i="111"/>
  <c r="I49" i="111"/>
  <c r="E54" i="111"/>
  <c r="F55" i="111"/>
  <c r="G55" i="111"/>
  <c r="H55" i="111"/>
  <c r="I55" i="111"/>
  <c r="J55" i="111"/>
  <c r="K54" i="111"/>
  <c r="I53" i="111"/>
  <c r="E58" i="111"/>
  <c r="F59" i="111"/>
  <c r="G59" i="111"/>
  <c r="H59" i="111"/>
  <c r="I59" i="111"/>
  <c r="J59" i="111"/>
  <c r="K58" i="111"/>
  <c r="I57" i="111"/>
  <c r="E62" i="111"/>
  <c r="F63" i="111"/>
  <c r="G63" i="111"/>
  <c r="H63" i="111"/>
  <c r="I63" i="111"/>
  <c r="J63" i="111"/>
  <c r="O62" i="111"/>
  <c r="B63" i="111"/>
  <c r="N62" i="111"/>
  <c r="K62" i="111"/>
  <c r="M61" i="111"/>
  <c r="M57" i="111"/>
  <c r="M53" i="111"/>
  <c r="M49" i="111"/>
  <c r="M45" i="111"/>
  <c r="M41" i="111"/>
  <c r="M37" i="111"/>
  <c r="M33" i="111"/>
  <c r="M29" i="111"/>
  <c r="M25" i="111"/>
  <c r="M21" i="111"/>
  <c r="M17" i="111"/>
  <c r="M13" i="111"/>
  <c r="M9" i="111"/>
  <c r="M5" i="111"/>
  <c r="M6" i="111"/>
  <c r="M10" i="111"/>
  <c r="M14" i="111"/>
  <c r="M18" i="111"/>
  <c r="M22" i="111"/>
  <c r="M26" i="111"/>
  <c r="M30" i="111"/>
  <c r="M34" i="111"/>
  <c r="M38" i="111"/>
  <c r="M42" i="111"/>
  <c r="M46" i="111"/>
  <c r="M50" i="111"/>
  <c r="M54" i="111"/>
  <c r="M58" i="111"/>
  <c r="M62" i="111"/>
  <c r="G62" i="111"/>
  <c r="H62" i="111"/>
  <c r="I62" i="111"/>
  <c r="J62" i="111"/>
  <c r="D6" i="111"/>
  <c r="D14" i="111"/>
  <c r="D18" i="111"/>
  <c r="D22" i="111"/>
  <c r="D26" i="111"/>
  <c r="D30" i="111"/>
  <c r="D34" i="111"/>
  <c r="D38" i="111"/>
  <c r="D42" i="111"/>
  <c r="D46" i="111"/>
  <c r="D50" i="111"/>
  <c r="D54" i="111"/>
  <c r="D58" i="111"/>
  <c r="D62" i="111"/>
  <c r="I61" i="111"/>
  <c r="C61" i="111"/>
  <c r="B61" i="111"/>
  <c r="G1" i="111"/>
  <c r="C1" i="111"/>
  <c r="A2" i="111"/>
  <c r="S8" i="111"/>
  <c r="S7" i="111"/>
  <c r="S6" i="111"/>
  <c r="S5" i="111"/>
  <c r="A29" i="111"/>
  <c r="A33" i="111"/>
  <c r="A37" i="111"/>
  <c r="A41" i="111"/>
  <c r="A45" i="111"/>
  <c r="A49" i="111"/>
  <c r="A53" i="111"/>
  <c r="A57" i="111"/>
  <c r="A61" i="111"/>
  <c r="O60" i="111"/>
  <c r="N60" i="111"/>
  <c r="O58" i="111"/>
  <c r="B59" i="111"/>
  <c r="N58" i="111"/>
  <c r="G58" i="111"/>
  <c r="H58" i="111"/>
  <c r="I58" i="111"/>
  <c r="J58" i="111"/>
  <c r="C57" i="111"/>
  <c r="B57" i="111"/>
  <c r="O56" i="111"/>
  <c r="N56" i="111"/>
  <c r="O54" i="111"/>
  <c r="B55" i="111"/>
  <c r="N54" i="111"/>
  <c r="G54" i="111"/>
  <c r="H54" i="111"/>
  <c r="I54" i="111"/>
  <c r="J54" i="111"/>
  <c r="C53" i="111"/>
  <c r="B53" i="111"/>
  <c r="O52" i="111"/>
  <c r="N52" i="111"/>
  <c r="O50" i="111"/>
  <c r="B51" i="111"/>
  <c r="N50" i="111"/>
  <c r="G50" i="111"/>
  <c r="H50" i="111"/>
  <c r="I50" i="111"/>
  <c r="J50" i="111"/>
  <c r="C49" i="111"/>
  <c r="B49" i="111"/>
  <c r="O48" i="111"/>
  <c r="N48" i="111"/>
  <c r="O46" i="111"/>
  <c r="B47" i="111"/>
  <c r="N46" i="111"/>
  <c r="G46" i="111"/>
  <c r="H46" i="111"/>
  <c r="I46" i="111"/>
  <c r="J46" i="111"/>
  <c r="C45" i="111"/>
  <c r="B45" i="111"/>
  <c r="O44" i="111"/>
  <c r="N44" i="111"/>
  <c r="O42" i="111"/>
  <c r="B43" i="111"/>
  <c r="N42" i="111"/>
  <c r="G42" i="111"/>
  <c r="H42" i="111"/>
  <c r="I42" i="111"/>
  <c r="J42" i="111"/>
  <c r="C41" i="111"/>
  <c r="B41" i="111"/>
  <c r="O40" i="111"/>
  <c r="N40" i="111"/>
  <c r="O38" i="111"/>
  <c r="B39" i="111"/>
  <c r="N38" i="111"/>
  <c r="G38" i="111"/>
  <c r="H38" i="111"/>
  <c r="I38" i="111"/>
  <c r="J38" i="111"/>
  <c r="C37" i="111"/>
  <c r="B37" i="111"/>
  <c r="O36" i="111"/>
  <c r="N36" i="111"/>
  <c r="O34" i="111"/>
  <c r="B35" i="111"/>
  <c r="N34" i="111"/>
  <c r="G34" i="111"/>
  <c r="H34" i="111"/>
  <c r="I34" i="111"/>
  <c r="J34" i="111"/>
  <c r="C33" i="111"/>
  <c r="B33" i="111"/>
  <c r="A21" i="111"/>
  <c r="A25" i="111"/>
  <c r="O32" i="111"/>
  <c r="N32" i="111"/>
  <c r="O30" i="111"/>
  <c r="B31" i="111"/>
  <c r="N30" i="111"/>
  <c r="G30" i="111"/>
  <c r="H30" i="111"/>
  <c r="I30" i="111"/>
  <c r="J30" i="111"/>
  <c r="C29" i="111"/>
  <c r="B29" i="111"/>
  <c r="O28" i="111"/>
  <c r="N28" i="111"/>
  <c r="O26" i="111"/>
  <c r="B27" i="111"/>
  <c r="N26" i="111"/>
  <c r="G26" i="111"/>
  <c r="H26" i="111"/>
  <c r="I26" i="111"/>
  <c r="J26" i="111"/>
  <c r="C25" i="111"/>
  <c r="B25" i="111"/>
  <c r="A13" i="111"/>
  <c r="A17" i="111"/>
  <c r="O24" i="111"/>
  <c r="N24" i="111"/>
  <c r="O22" i="111"/>
  <c r="B23" i="111"/>
  <c r="N22" i="111"/>
  <c r="G22" i="111"/>
  <c r="H22" i="111"/>
  <c r="I22" i="111"/>
  <c r="J22" i="111"/>
  <c r="C21" i="111"/>
  <c r="B21" i="111"/>
  <c r="O20" i="111"/>
  <c r="N20" i="111"/>
  <c r="O18" i="111"/>
  <c r="B19" i="111"/>
  <c r="N18" i="111"/>
  <c r="G18" i="111"/>
  <c r="H18" i="111"/>
  <c r="I18" i="111"/>
  <c r="J18" i="111"/>
  <c r="C17" i="111"/>
  <c r="B17" i="111"/>
  <c r="O16" i="111"/>
  <c r="N16" i="111"/>
  <c r="O14" i="111"/>
  <c r="B15" i="111"/>
  <c r="N14" i="111"/>
  <c r="G14" i="111"/>
  <c r="H14" i="111"/>
  <c r="I14" i="111"/>
  <c r="J14" i="111"/>
  <c r="C13" i="111"/>
  <c r="B13" i="111"/>
  <c r="A5" i="111"/>
  <c r="A9" i="111"/>
  <c r="O12" i="111"/>
  <c r="N12" i="111"/>
  <c r="O10" i="111"/>
  <c r="B11" i="111"/>
  <c r="N10" i="111"/>
  <c r="G10" i="111"/>
  <c r="H10" i="111"/>
  <c r="I10" i="111"/>
  <c r="J10" i="111"/>
  <c r="C9" i="111"/>
  <c r="B9" i="111"/>
  <c r="O8" i="111"/>
  <c r="N8" i="111"/>
  <c r="O6" i="111"/>
  <c r="B7" i="111"/>
  <c r="N6" i="111"/>
  <c r="G6" i="111"/>
  <c r="H6" i="111"/>
  <c r="I6" i="111"/>
  <c r="J6" i="111"/>
  <c r="C5" i="111"/>
  <c r="B5" i="111"/>
  <c r="A4" i="111"/>
  <c r="J3" i="111"/>
  <c r="F3" i="111"/>
  <c r="F60" i="110"/>
  <c r="J57" i="110"/>
  <c r="F58" i="110"/>
  <c r="G57" i="110"/>
  <c r="G60" i="110"/>
  <c r="H60" i="110"/>
  <c r="I60" i="110"/>
  <c r="J60" i="110"/>
  <c r="K60" i="110"/>
  <c r="M59" i="110"/>
  <c r="F56" i="110"/>
  <c r="J53" i="110"/>
  <c r="F54" i="110"/>
  <c r="G53" i="110"/>
  <c r="G56" i="110"/>
  <c r="H56" i="110"/>
  <c r="I56" i="110"/>
  <c r="J56" i="110"/>
  <c r="K56" i="110"/>
  <c r="M55" i="110"/>
  <c r="F52" i="110"/>
  <c r="J49" i="110"/>
  <c r="F50" i="110"/>
  <c r="G49" i="110"/>
  <c r="G52" i="110"/>
  <c r="H52" i="110"/>
  <c r="I52" i="110"/>
  <c r="J52" i="110"/>
  <c r="K52" i="110"/>
  <c r="M51" i="110"/>
  <c r="F48" i="110"/>
  <c r="J45" i="110"/>
  <c r="F46" i="110"/>
  <c r="G45" i="110"/>
  <c r="G48" i="110"/>
  <c r="H48" i="110"/>
  <c r="I48" i="110"/>
  <c r="J48" i="110"/>
  <c r="K48" i="110"/>
  <c r="M47" i="110"/>
  <c r="F44" i="110"/>
  <c r="J41" i="110"/>
  <c r="F42" i="110"/>
  <c r="G41" i="110"/>
  <c r="G44" i="110"/>
  <c r="H44" i="110"/>
  <c r="I44" i="110"/>
  <c r="J44" i="110"/>
  <c r="K44" i="110"/>
  <c r="M43" i="110"/>
  <c r="F40" i="110"/>
  <c r="J37" i="110"/>
  <c r="F38" i="110"/>
  <c r="G37" i="110"/>
  <c r="G40" i="110"/>
  <c r="H40" i="110"/>
  <c r="I40" i="110"/>
  <c r="J40" i="110"/>
  <c r="K40" i="110"/>
  <c r="M39" i="110"/>
  <c r="F36" i="110"/>
  <c r="J33" i="110"/>
  <c r="F34" i="110"/>
  <c r="G33" i="110"/>
  <c r="G36" i="110"/>
  <c r="H36" i="110"/>
  <c r="I36" i="110"/>
  <c r="J36" i="110"/>
  <c r="K36" i="110"/>
  <c r="M35" i="110"/>
  <c r="F32" i="110"/>
  <c r="J29" i="110"/>
  <c r="F30" i="110"/>
  <c r="G29" i="110"/>
  <c r="G32" i="110"/>
  <c r="H32" i="110"/>
  <c r="I32" i="110"/>
  <c r="J32" i="110"/>
  <c r="K32" i="110"/>
  <c r="M31" i="110"/>
  <c r="F28" i="110"/>
  <c r="J25" i="110"/>
  <c r="F26" i="110"/>
  <c r="G25" i="110"/>
  <c r="G28" i="110"/>
  <c r="H28" i="110"/>
  <c r="I28" i="110"/>
  <c r="J28" i="110"/>
  <c r="K28" i="110"/>
  <c r="M27" i="110"/>
  <c r="F24" i="110"/>
  <c r="J21" i="110"/>
  <c r="F22" i="110"/>
  <c r="G21" i="110"/>
  <c r="G24" i="110"/>
  <c r="H24" i="110"/>
  <c r="I24" i="110"/>
  <c r="J24" i="110"/>
  <c r="K24" i="110"/>
  <c r="M23" i="110"/>
  <c r="F20" i="110"/>
  <c r="J17" i="110"/>
  <c r="F18" i="110"/>
  <c r="G17" i="110"/>
  <c r="G20" i="110"/>
  <c r="H20" i="110"/>
  <c r="I20" i="110"/>
  <c r="J20" i="110"/>
  <c r="K20" i="110"/>
  <c r="M19" i="110"/>
  <c r="F16" i="110"/>
  <c r="J13" i="110"/>
  <c r="F14" i="110"/>
  <c r="G13" i="110"/>
  <c r="G16" i="110"/>
  <c r="H16" i="110"/>
  <c r="I16" i="110"/>
  <c r="J16" i="110"/>
  <c r="K16" i="110"/>
  <c r="M15" i="110"/>
  <c r="J9" i="110"/>
  <c r="F10" i="110"/>
  <c r="G9" i="110"/>
  <c r="K12" i="110"/>
  <c r="M11" i="110"/>
  <c r="J5" i="110"/>
  <c r="F6" i="110"/>
  <c r="G5" i="110"/>
  <c r="K8" i="110"/>
  <c r="M7" i="110"/>
  <c r="M8" i="110"/>
  <c r="M12" i="110"/>
  <c r="M16" i="110"/>
  <c r="M20" i="110"/>
  <c r="M24" i="110"/>
  <c r="M28" i="110"/>
  <c r="M32" i="110"/>
  <c r="M36" i="110"/>
  <c r="M40" i="110"/>
  <c r="M44" i="110"/>
  <c r="M48" i="110"/>
  <c r="M52" i="110"/>
  <c r="M56" i="110"/>
  <c r="M60" i="110"/>
  <c r="F64" i="110"/>
  <c r="J61" i="110"/>
  <c r="F62" i="110"/>
  <c r="G61" i="110"/>
  <c r="G64" i="110"/>
  <c r="H64" i="110"/>
  <c r="I64" i="110"/>
  <c r="J64" i="110"/>
  <c r="K64" i="110"/>
  <c r="C8" i="110"/>
  <c r="C10" i="110"/>
  <c r="C12" i="110"/>
  <c r="C16" i="110"/>
  <c r="C20" i="110"/>
  <c r="C24" i="110"/>
  <c r="C28" i="110"/>
  <c r="C32" i="110"/>
  <c r="C36" i="110"/>
  <c r="C40" i="110"/>
  <c r="C44" i="110"/>
  <c r="C48" i="110"/>
  <c r="C52" i="110"/>
  <c r="C56" i="110"/>
  <c r="C60" i="110"/>
  <c r="C64" i="110"/>
  <c r="O64" i="110"/>
  <c r="N64" i="110"/>
  <c r="M63" i="110"/>
  <c r="M64" i="110"/>
  <c r="D12" i="110"/>
  <c r="D16" i="110"/>
  <c r="D20" i="110"/>
  <c r="D24" i="110"/>
  <c r="D28" i="110"/>
  <c r="D32" i="110"/>
  <c r="D36" i="110"/>
  <c r="D40" i="110"/>
  <c r="D44" i="110"/>
  <c r="D48" i="110"/>
  <c r="D52" i="110"/>
  <c r="D56" i="110"/>
  <c r="D60" i="110"/>
  <c r="D64" i="110"/>
  <c r="C62" i="110"/>
  <c r="C58" i="110"/>
  <c r="C54" i="110"/>
  <c r="C50" i="110"/>
  <c r="C46" i="110"/>
  <c r="C42" i="110"/>
  <c r="C38" i="110"/>
  <c r="C34" i="110"/>
  <c r="C30" i="110"/>
  <c r="C26" i="110"/>
  <c r="C22" i="110"/>
  <c r="C18" i="110"/>
  <c r="C14" i="110"/>
  <c r="C6" i="110"/>
  <c r="E6" i="110"/>
  <c r="F7" i="110"/>
  <c r="G7" i="110"/>
  <c r="H7" i="110"/>
  <c r="I7" i="110"/>
  <c r="J7" i="110"/>
  <c r="K6" i="110"/>
  <c r="I5" i="110"/>
  <c r="E10" i="110"/>
  <c r="F11" i="110"/>
  <c r="G11" i="110"/>
  <c r="H11" i="110"/>
  <c r="I11" i="110"/>
  <c r="J11" i="110"/>
  <c r="K10" i="110"/>
  <c r="I9" i="110"/>
  <c r="E14" i="110"/>
  <c r="F15" i="110"/>
  <c r="G15" i="110"/>
  <c r="H15" i="110"/>
  <c r="I15" i="110"/>
  <c r="J15" i="110"/>
  <c r="K14" i="110"/>
  <c r="I13" i="110"/>
  <c r="E18" i="110"/>
  <c r="F19" i="110"/>
  <c r="G19" i="110"/>
  <c r="H19" i="110"/>
  <c r="I19" i="110"/>
  <c r="J19" i="110"/>
  <c r="K18" i="110"/>
  <c r="I17" i="110"/>
  <c r="E22" i="110"/>
  <c r="F23" i="110"/>
  <c r="G23" i="110"/>
  <c r="H23" i="110"/>
  <c r="I23" i="110"/>
  <c r="J23" i="110"/>
  <c r="K22" i="110"/>
  <c r="I21" i="110"/>
  <c r="E26" i="110"/>
  <c r="F27" i="110"/>
  <c r="G27" i="110"/>
  <c r="H27" i="110"/>
  <c r="I27" i="110"/>
  <c r="J27" i="110"/>
  <c r="K26" i="110"/>
  <c r="I25" i="110"/>
  <c r="E30" i="110"/>
  <c r="F31" i="110"/>
  <c r="G31" i="110"/>
  <c r="H31" i="110"/>
  <c r="I31" i="110"/>
  <c r="J31" i="110"/>
  <c r="K30" i="110"/>
  <c r="I29" i="110"/>
  <c r="E34" i="110"/>
  <c r="F35" i="110"/>
  <c r="G35" i="110"/>
  <c r="H35" i="110"/>
  <c r="I35" i="110"/>
  <c r="J35" i="110"/>
  <c r="K34" i="110"/>
  <c r="I33" i="110"/>
  <c r="E38" i="110"/>
  <c r="F39" i="110"/>
  <c r="G39" i="110"/>
  <c r="H39" i="110"/>
  <c r="I39" i="110"/>
  <c r="J39" i="110"/>
  <c r="K38" i="110"/>
  <c r="I37" i="110"/>
  <c r="E42" i="110"/>
  <c r="F43" i="110"/>
  <c r="G43" i="110"/>
  <c r="H43" i="110"/>
  <c r="I43" i="110"/>
  <c r="J43" i="110"/>
  <c r="K42" i="110"/>
  <c r="I41" i="110"/>
  <c r="E46" i="110"/>
  <c r="F47" i="110"/>
  <c r="G47" i="110"/>
  <c r="H47" i="110"/>
  <c r="I47" i="110"/>
  <c r="J47" i="110"/>
  <c r="K46" i="110"/>
  <c r="I45" i="110"/>
  <c r="E50" i="110"/>
  <c r="F51" i="110"/>
  <c r="G51" i="110"/>
  <c r="H51" i="110"/>
  <c r="I51" i="110"/>
  <c r="J51" i="110"/>
  <c r="K50" i="110"/>
  <c r="I49" i="110"/>
  <c r="E54" i="110"/>
  <c r="F55" i="110"/>
  <c r="G55" i="110"/>
  <c r="H55" i="110"/>
  <c r="I55" i="110"/>
  <c r="J55" i="110"/>
  <c r="K54" i="110"/>
  <c r="I53" i="110"/>
  <c r="E58" i="110"/>
  <c r="F59" i="110"/>
  <c r="G59" i="110"/>
  <c r="H59" i="110"/>
  <c r="I59" i="110"/>
  <c r="J59" i="110"/>
  <c r="K58" i="110"/>
  <c r="I57" i="110"/>
  <c r="E62" i="110"/>
  <c r="F63" i="110"/>
  <c r="G63" i="110"/>
  <c r="H63" i="110"/>
  <c r="I63" i="110"/>
  <c r="J63" i="110"/>
  <c r="O62" i="110"/>
  <c r="B63" i="110"/>
  <c r="N62" i="110"/>
  <c r="K62" i="110"/>
  <c r="M61" i="110"/>
  <c r="M57" i="110"/>
  <c r="M53" i="110"/>
  <c r="M49" i="110"/>
  <c r="M45" i="110"/>
  <c r="M41" i="110"/>
  <c r="M37" i="110"/>
  <c r="M33" i="110"/>
  <c r="M29" i="110"/>
  <c r="M25" i="110"/>
  <c r="M21" i="110"/>
  <c r="M17" i="110"/>
  <c r="M13" i="110"/>
  <c r="M9" i="110"/>
  <c r="M5" i="110"/>
  <c r="M6" i="110"/>
  <c r="M10" i="110"/>
  <c r="M14" i="110"/>
  <c r="M18" i="110"/>
  <c r="M22" i="110"/>
  <c r="M26" i="110"/>
  <c r="M30" i="110"/>
  <c r="M34" i="110"/>
  <c r="M38" i="110"/>
  <c r="M42" i="110"/>
  <c r="M46" i="110"/>
  <c r="M50" i="110"/>
  <c r="M54" i="110"/>
  <c r="M58" i="110"/>
  <c r="M62" i="110"/>
  <c r="G62" i="110"/>
  <c r="H62" i="110"/>
  <c r="I62" i="110"/>
  <c r="J62" i="110"/>
  <c r="D6" i="110"/>
  <c r="D14" i="110"/>
  <c r="D18" i="110"/>
  <c r="D22" i="110"/>
  <c r="D26" i="110"/>
  <c r="D30" i="110"/>
  <c r="D34" i="110"/>
  <c r="D38" i="110"/>
  <c r="D42" i="110"/>
  <c r="D46" i="110"/>
  <c r="D50" i="110"/>
  <c r="D54" i="110"/>
  <c r="D58" i="110"/>
  <c r="D62" i="110"/>
  <c r="I61" i="110"/>
  <c r="C61" i="110"/>
  <c r="B61" i="110"/>
  <c r="G1" i="110"/>
  <c r="C1" i="110"/>
  <c r="A2" i="110"/>
  <c r="S8" i="110"/>
  <c r="S7" i="110"/>
  <c r="A29" i="110"/>
  <c r="A33" i="110"/>
  <c r="A37" i="110"/>
  <c r="A41" i="110"/>
  <c r="A45" i="110"/>
  <c r="A49" i="110"/>
  <c r="A53" i="110"/>
  <c r="A57" i="110"/>
  <c r="A61" i="110"/>
  <c r="O60" i="110"/>
  <c r="N60" i="110"/>
  <c r="O58" i="110"/>
  <c r="B59" i="110"/>
  <c r="N58" i="110"/>
  <c r="G58" i="110"/>
  <c r="H58" i="110"/>
  <c r="I58" i="110"/>
  <c r="J58" i="110"/>
  <c r="C57" i="110"/>
  <c r="B57" i="110"/>
  <c r="O56" i="110"/>
  <c r="N56" i="110"/>
  <c r="O54" i="110"/>
  <c r="B55" i="110"/>
  <c r="N54" i="110"/>
  <c r="G54" i="110"/>
  <c r="H54" i="110"/>
  <c r="I54" i="110"/>
  <c r="J54" i="110"/>
  <c r="C53" i="110"/>
  <c r="B53" i="110"/>
  <c r="O52" i="110"/>
  <c r="N52" i="110"/>
  <c r="O50" i="110"/>
  <c r="B51" i="110"/>
  <c r="N50" i="110"/>
  <c r="G50" i="110"/>
  <c r="H50" i="110"/>
  <c r="I50" i="110"/>
  <c r="J50" i="110"/>
  <c r="C49" i="110"/>
  <c r="B49" i="110"/>
  <c r="O48" i="110"/>
  <c r="N48" i="110"/>
  <c r="O46" i="110"/>
  <c r="B47" i="110"/>
  <c r="N46" i="110"/>
  <c r="G46" i="110"/>
  <c r="H46" i="110"/>
  <c r="I46" i="110"/>
  <c r="J46" i="110"/>
  <c r="C45" i="110"/>
  <c r="B45" i="110"/>
  <c r="O44" i="110"/>
  <c r="N44" i="110"/>
  <c r="O42" i="110"/>
  <c r="B43" i="110"/>
  <c r="N42" i="110"/>
  <c r="G42" i="110"/>
  <c r="H42" i="110"/>
  <c r="I42" i="110"/>
  <c r="J42" i="110"/>
  <c r="C41" i="110"/>
  <c r="B41" i="110"/>
  <c r="O40" i="110"/>
  <c r="N40" i="110"/>
  <c r="O38" i="110"/>
  <c r="B39" i="110"/>
  <c r="N38" i="110"/>
  <c r="G38" i="110"/>
  <c r="H38" i="110"/>
  <c r="I38" i="110"/>
  <c r="J38" i="110"/>
  <c r="C37" i="110"/>
  <c r="B37" i="110"/>
  <c r="O36" i="110"/>
  <c r="N36" i="110"/>
  <c r="O34" i="110"/>
  <c r="B35" i="110"/>
  <c r="N34" i="110"/>
  <c r="G34" i="110"/>
  <c r="H34" i="110"/>
  <c r="I34" i="110"/>
  <c r="J34" i="110"/>
  <c r="C33" i="110"/>
  <c r="B33" i="110"/>
  <c r="A21" i="110"/>
  <c r="A25" i="110"/>
  <c r="O32" i="110"/>
  <c r="N32" i="110"/>
  <c r="O30" i="110"/>
  <c r="B31" i="110"/>
  <c r="N30" i="110"/>
  <c r="G30" i="110"/>
  <c r="H30" i="110"/>
  <c r="I30" i="110"/>
  <c r="J30" i="110"/>
  <c r="C29" i="110"/>
  <c r="B29" i="110"/>
  <c r="O28" i="110"/>
  <c r="N28" i="110"/>
  <c r="O26" i="110"/>
  <c r="B27" i="110"/>
  <c r="N26" i="110"/>
  <c r="G26" i="110"/>
  <c r="H26" i="110"/>
  <c r="I26" i="110"/>
  <c r="J26" i="110"/>
  <c r="C25" i="110"/>
  <c r="B25" i="110"/>
  <c r="A13" i="110"/>
  <c r="A17" i="110"/>
  <c r="O24" i="110"/>
  <c r="N24" i="110"/>
  <c r="O22" i="110"/>
  <c r="B23" i="110"/>
  <c r="N22" i="110"/>
  <c r="G22" i="110"/>
  <c r="H22" i="110"/>
  <c r="I22" i="110"/>
  <c r="J22" i="110"/>
  <c r="C21" i="110"/>
  <c r="B21" i="110"/>
  <c r="O20" i="110"/>
  <c r="N20" i="110"/>
  <c r="O18" i="110"/>
  <c r="B19" i="110"/>
  <c r="N18" i="110"/>
  <c r="G18" i="110"/>
  <c r="H18" i="110"/>
  <c r="I18" i="110"/>
  <c r="J18" i="110"/>
  <c r="C17" i="110"/>
  <c r="B17" i="110"/>
  <c r="O16" i="110"/>
  <c r="N16" i="110"/>
  <c r="O14" i="110"/>
  <c r="B15" i="110"/>
  <c r="N14" i="110"/>
  <c r="G14" i="110"/>
  <c r="H14" i="110"/>
  <c r="I14" i="110"/>
  <c r="J14" i="110"/>
  <c r="C13" i="110"/>
  <c r="B13" i="110"/>
  <c r="A5" i="110"/>
  <c r="A9" i="110"/>
  <c r="O12" i="110"/>
  <c r="N12" i="110"/>
  <c r="O10" i="110"/>
  <c r="B11" i="110"/>
  <c r="N10" i="110"/>
  <c r="G10" i="110"/>
  <c r="H10" i="110"/>
  <c r="I10" i="110"/>
  <c r="J10" i="110"/>
  <c r="C9" i="110"/>
  <c r="B9" i="110"/>
  <c r="O8" i="110"/>
  <c r="N8" i="110"/>
  <c r="O6" i="110"/>
  <c r="B7" i="110"/>
  <c r="S6" i="110"/>
  <c r="N6" i="110"/>
  <c r="G6" i="110"/>
  <c r="H6" i="110"/>
  <c r="I6" i="110"/>
  <c r="J6" i="110"/>
  <c r="S5" i="110"/>
  <c r="C5" i="110"/>
  <c r="B5" i="110"/>
  <c r="A4" i="110"/>
  <c r="J3" i="110"/>
  <c r="F3" i="110"/>
  <c r="G24" i="109"/>
  <c r="H24" i="109"/>
  <c r="I24" i="109"/>
  <c r="J24" i="109"/>
  <c r="D14" i="108"/>
  <c r="C6" i="108"/>
  <c r="E6" i="108"/>
  <c r="G7" i="108"/>
  <c r="H7" i="108"/>
  <c r="I7" i="108"/>
  <c r="J7" i="108"/>
  <c r="K6" i="108"/>
  <c r="K8" i="108"/>
  <c r="I5" i="108"/>
  <c r="H3" i="108"/>
  <c r="J57" i="109"/>
  <c r="F58" i="109"/>
  <c r="G57" i="109"/>
  <c r="F60" i="109"/>
  <c r="G60" i="109"/>
  <c r="H60" i="109"/>
  <c r="I60" i="109"/>
  <c r="J60" i="109"/>
  <c r="K60" i="109"/>
  <c r="M59" i="109"/>
  <c r="J53" i="109"/>
  <c r="F54" i="109"/>
  <c r="G53" i="109"/>
  <c r="F56" i="109"/>
  <c r="G56" i="109"/>
  <c r="H56" i="109"/>
  <c r="I56" i="109"/>
  <c r="J56" i="109"/>
  <c r="K56" i="109"/>
  <c r="M55" i="109"/>
  <c r="J49" i="109"/>
  <c r="F50" i="109"/>
  <c r="G49" i="109"/>
  <c r="F52" i="109"/>
  <c r="G52" i="109"/>
  <c r="H52" i="109"/>
  <c r="I52" i="109"/>
  <c r="J52" i="109"/>
  <c r="K52" i="109"/>
  <c r="M51" i="109"/>
  <c r="J45" i="109"/>
  <c r="F46" i="109"/>
  <c r="G45" i="109"/>
  <c r="F48" i="109"/>
  <c r="G48" i="109"/>
  <c r="H48" i="109"/>
  <c r="I48" i="109"/>
  <c r="J48" i="109"/>
  <c r="K48" i="109"/>
  <c r="M47" i="109"/>
  <c r="J41" i="109"/>
  <c r="F42" i="109"/>
  <c r="G41" i="109"/>
  <c r="F44" i="109"/>
  <c r="G44" i="109"/>
  <c r="H44" i="109"/>
  <c r="I44" i="109"/>
  <c r="J44" i="109"/>
  <c r="K44" i="109"/>
  <c r="M43" i="109"/>
  <c r="J37" i="109"/>
  <c r="F38" i="109"/>
  <c r="G37" i="109"/>
  <c r="F40" i="109"/>
  <c r="G40" i="109"/>
  <c r="H40" i="109"/>
  <c r="I40" i="109"/>
  <c r="J40" i="109"/>
  <c r="K40" i="109"/>
  <c r="M39" i="109"/>
  <c r="J33" i="109"/>
  <c r="F34" i="109"/>
  <c r="G33" i="109"/>
  <c r="F36" i="109"/>
  <c r="G36" i="109"/>
  <c r="H36" i="109"/>
  <c r="I36" i="109"/>
  <c r="J36" i="109"/>
  <c r="K36" i="109"/>
  <c r="M35" i="109"/>
  <c r="J29" i="109"/>
  <c r="F30" i="109"/>
  <c r="G29" i="109"/>
  <c r="F32" i="109"/>
  <c r="G32" i="109"/>
  <c r="H32" i="109"/>
  <c r="I32" i="109"/>
  <c r="J32" i="109"/>
  <c r="K32" i="109"/>
  <c r="M31" i="109"/>
  <c r="J25" i="109"/>
  <c r="F26" i="109"/>
  <c r="G25" i="109"/>
  <c r="F28" i="109"/>
  <c r="G28" i="109"/>
  <c r="H28" i="109"/>
  <c r="I28" i="109"/>
  <c r="J28" i="109"/>
  <c r="K28" i="109"/>
  <c r="M27" i="109"/>
  <c r="J21" i="109"/>
  <c r="F22" i="109"/>
  <c r="G21" i="109"/>
  <c r="F24" i="109"/>
  <c r="K24" i="109"/>
  <c r="M23" i="109"/>
  <c r="J17" i="109"/>
  <c r="F18" i="109"/>
  <c r="G17" i="109"/>
  <c r="K20" i="109"/>
  <c r="M19" i="109"/>
  <c r="J13" i="109"/>
  <c r="F14" i="109"/>
  <c r="G13" i="109"/>
  <c r="J16" i="109"/>
  <c r="K16" i="109"/>
  <c r="M15" i="109"/>
  <c r="J9" i="109"/>
  <c r="F10" i="109"/>
  <c r="G9" i="109"/>
  <c r="K12" i="109"/>
  <c r="M11" i="109"/>
  <c r="J5" i="109"/>
  <c r="F6" i="109"/>
  <c r="G5" i="109"/>
  <c r="K8" i="109"/>
  <c r="M7" i="109"/>
  <c r="M8" i="109"/>
  <c r="M12" i="109"/>
  <c r="M16" i="109"/>
  <c r="M20" i="109"/>
  <c r="M24" i="109"/>
  <c r="M28" i="109"/>
  <c r="M32" i="109"/>
  <c r="M36" i="109"/>
  <c r="M40" i="109"/>
  <c r="M44" i="109"/>
  <c r="M48" i="109"/>
  <c r="M52" i="109"/>
  <c r="M56" i="109"/>
  <c r="M60" i="109"/>
  <c r="J61" i="109"/>
  <c r="F62" i="109"/>
  <c r="G61" i="109"/>
  <c r="F64" i="109"/>
  <c r="G64" i="109"/>
  <c r="H64" i="109"/>
  <c r="I64" i="109"/>
  <c r="J64" i="109"/>
  <c r="K64" i="109"/>
  <c r="C8" i="109"/>
  <c r="C10" i="109"/>
  <c r="C12" i="109"/>
  <c r="C16" i="109"/>
  <c r="C18" i="109"/>
  <c r="C20" i="109"/>
  <c r="C24" i="109"/>
  <c r="C28" i="109"/>
  <c r="C32" i="109"/>
  <c r="C36" i="109"/>
  <c r="C40" i="109"/>
  <c r="C44" i="109"/>
  <c r="C48" i="109"/>
  <c r="C52" i="109"/>
  <c r="C56" i="109"/>
  <c r="C60" i="109"/>
  <c r="C64" i="109"/>
  <c r="O64" i="109"/>
  <c r="N64" i="109"/>
  <c r="M63" i="109"/>
  <c r="M64" i="109"/>
  <c r="D12" i="109"/>
  <c r="D16" i="109"/>
  <c r="D20" i="109"/>
  <c r="D24" i="109"/>
  <c r="D28" i="109"/>
  <c r="D32" i="109"/>
  <c r="D36" i="109"/>
  <c r="D40" i="109"/>
  <c r="D44" i="109"/>
  <c r="D48" i="109"/>
  <c r="D52" i="109"/>
  <c r="D56" i="109"/>
  <c r="D60" i="109"/>
  <c r="D64" i="109"/>
  <c r="C62" i="109"/>
  <c r="C58" i="109"/>
  <c r="C54" i="109"/>
  <c r="C50" i="109"/>
  <c r="C46" i="109"/>
  <c r="C42" i="109"/>
  <c r="C38" i="109"/>
  <c r="C34" i="109"/>
  <c r="C30" i="109"/>
  <c r="C26" i="109"/>
  <c r="C22" i="109"/>
  <c r="C14" i="109"/>
  <c r="C6" i="109"/>
  <c r="E6" i="109"/>
  <c r="F7" i="109"/>
  <c r="G7" i="109"/>
  <c r="H7" i="109"/>
  <c r="I7" i="109"/>
  <c r="J7" i="109"/>
  <c r="K6" i="109"/>
  <c r="I5" i="109"/>
  <c r="E10" i="109"/>
  <c r="F11" i="109"/>
  <c r="G11" i="109"/>
  <c r="H11" i="109"/>
  <c r="I11" i="109"/>
  <c r="J11" i="109"/>
  <c r="K10" i="109"/>
  <c r="I9" i="109"/>
  <c r="E14" i="109"/>
  <c r="F15" i="109"/>
  <c r="G15" i="109"/>
  <c r="H15" i="109"/>
  <c r="I15" i="109"/>
  <c r="J15" i="109"/>
  <c r="K14" i="109"/>
  <c r="I13" i="109"/>
  <c r="E18" i="109"/>
  <c r="F19" i="109"/>
  <c r="G19" i="109"/>
  <c r="H19" i="109"/>
  <c r="I19" i="109"/>
  <c r="J19" i="109"/>
  <c r="K18" i="109"/>
  <c r="I17" i="109"/>
  <c r="E22" i="109"/>
  <c r="F23" i="109"/>
  <c r="G23" i="109"/>
  <c r="H23" i="109"/>
  <c r="I23" i="109"/>
  <c r="J23" i="109"/>
  <c r="K22" i="109"/>
  <c r="I21" i="109"/>
  <c r="E26" i="109"/>
  <c r="F27" i="109"/>
  <c r="G27" i="109"/>
  <c r="H27" i="109"/>
  <c r="I27" i="109"/>
  <c r="J27" i="109"/>
  <c r="K26" i="109"/>
  <c r="I25" i="109"/>
  <c r="E30" i="109"/>
  <c r="F31" i="109"/>
  <c r="G31" i="109"/>
  <c r="H31" i="109"/>
  <c r="I31" i="109"/>
  <c r="J31" i="109"/>
  <c r="K30" i="109"/>
  <c r="I29" i="109"/>
  <c r="E34" i="109"/>
  <c r="F35" i="109"/>
  <c r="G35" i="109"/>
  <c r="H35" i="109"/>
  <c r="I35" i="109"/>
  <c r="J35" i="109"/>
  <c r="K34" i="109"/>
  <c r="I33" i="109"/>
  <c r="E38" i="109"/>
  <c r="F39" i="109"/>
  <c r="G39" i="109"/>
  <c r="H39" i="109"/>
  <c r="I39" i="109"/>
  <c r="J39" i="109"/>
  <c r="K38" i="109"/>
  <c r="I37" i="109"/>
  <c r="E42" i="109"/>
  <c r="F43" i="109"/>
  <c r="G43" i="109"/>
  <c r="H43" i="109"/>
  <c r="I43" i="109"/>
  <c r="J43" i="109"/>
  <c r="K42" i="109"/>
  <c r="I41" i="109"/>
  <c r="E46" i="109"/>
  <c r="F47" i="109"/>
  <c r="G47" i="109"/>
  <c r="H47" i="109"/>
  <c r="I47" i="109"/>
  <c r="J47" i="109"/>
  <c r="K46" i="109"/>
  <c r="I45" i="109"/>
  <c r="E50" i="109"/>
  <c r="F51" i="109"/>
  <c r="G51" i="109"/>
  <c r="H51" i="109"/>
  <c r="I51" i="109"/>
  <c r="J51" i="109"/>
  <c r="K50" i="109"/>
  <c r="I49" i="109"/>
  <c r="E54" i="109"/>
  <c r="F55" i="109"/>
  <c r="G55" i="109"/>
  <c r="H55" i="109"/>
  <c r="I55" i="109"/>
  <c r="J55" i="109"/>
  <c r="K54" i="109"/>
  <c r="I53" i="109"/>
  <c r="E58" i="109"/>
  <c r="F59" i="109"/>
  <c r="G59" i="109"/>
  <c r="H59" i="109"/>
  <c r="I59" i="109"/>
  <c r="J59" i="109"/>
  <c r="K58" i="109"/>
  <c r="I57" i="109"/>
  <c r="E62" i="109"/>
  <c r="F63" i="109"/>
  <c r="G63" i="109"/>
  <c r="H63" i="109"/>
  <c r="I63" i="109"/>
  <c r="J63" i="109"/>
  <c r="O62" i="109"/>
  <c r="B63" i="109"/>
  <c r="N62" i="109"/>
  <c r="K62" i="109"/>
  <c r="M61" i="109"/>
  <c r="M57" i="109"/>
  <c r="M53" i="109"/>
  <c r="M49" i="109"/>
  <c r="M45" i="109"/>
  <c r="M41" i="109"/>
  <c r="M37" i="109"/>
  <c r="M33" i="109"/>
  <c r="M29" i="109"/>
  <c r="M25" i="109"/>
  <c r="M21" i="109"/>
  <c r="M17" i="109"/>
  <c r="M13" i="109"/>
  <c r="M9" i="109"/>
  <c r="M5" i="109"/>
  <c r="M6" i="109"/>
  <c r="M10" i="109"/>
  <c r="M14" i="109"/>
  <c r="M18" i="109"/>
  <c r="M22" i="109"/>
  <c r="M26" i="109"/>
  <c r="M30" i="109"/>
  <c r="M34" i="109"/>
  <c r="M38" i="109"/>
  <c r="M42" i="109"/>
  <c r="M46" i="109"/>
  <c r="M50" i="109"/>
  <c r="M54" i="109"/>
  <c r="M58" i="109"/>
  <c r="M62" i="109"/>
  <c r="G62" i="109"/>
  <c r="H62" i="109"/>
  <c r="I62" i="109"/>
  <c r="J62" i="109"/>
  <c r="D14" i="109"/>
  <c r="D22" i="109"/>
  <c r="D26" i="109"/>
  <c r="D30" i="109"/>
  <c r="D34" i="109"/>
  <c r="D38" i="109"/>
  <c r="D42" i="109"/>
  <c r="D46" i="109"/>
  <c r="D50" i="109"/>
  <c r="D54" i="109"/>
  <c r="D58" i="109"/>
  <c r="D62" i="109"/>
  <c r="I61" i="109"/>
  <c r="C61" i="109"/>
  <c r="B61" i="109"/>
  <c r="C1" i="109"/>
  <c r="A2" i="109"/>
  <c r="S8" i="109"/>
  <c r="S7" i="109"/>
  <c r="S6" i="109"/>
  <c r="S5" i="109"/>
  <c r="A61" i="109"/>
  <c r="O60" i="109"/>
  <c r="N60" i="109"/>
  <c r="O58" i="109"/>
  <c r="B59" i="109"/>
  <c r="N58" i="109"/>
  <c r="G58" i="109"/>
  <c r="H58" i="109"/>
  <c r="I58" i="109"/>
  <c r="J58" i="109"/>
  <c r="C57" i="109"/>
  <c r="B57" i="109"/>
  <c r="A57" i="109"/>
  <c r="O56" i="109"/>
  <c r="N56" i="109"/>
  <c r="O54" i="109"/>
  <c r="B55" i="109"/>
  <c r="N54" i="109"/>
  <c r="G54" i="109"/>
  <c r="H54" i="109"/>
  <c r="I54" i="109"/>
  <c r="J54" i="109"/>
  <c r="C53" i="109"/>
  <c r="B53" i="109"/>
  <c r="A53" i="109"/>
  <c r="O52" i="109"/>
  <c r="N52" i="109"/>
  <c r="O50" i="109"/>
  <c r="B51" i="109"/>
  <c r="N50" i="109"/>
  <c r="G50" i="109"/>
  <c r="H50" i="109"/>
  <c r="I50" i="109"/>
  <c r="J50" i="109"/>
  <c r="C49" i="109"/>
  <c r="B49" i="109"/>
  <c r="A49" i="109"/>
  <c r="O48" i="109"/>
  <c r="N48" i="109"/>
  <c r="O46" i="109"/>
  <c r="B47" i="109"/>
  <c r="N46" i="109"/>
  <c r="G46" i="109"/>
  <c r="H46" i="109"/>
  <c r="I46" i="109"/>
  <c r="J46" i="109"/>
  <c r="C45" i="109"/>
  <c r="B45" i="109"/>
  <c r="A21" i="109"/>
  <c r="A25" i="109"/>
  <c r="A29" i="109"/>
  <c r="A33" i="109"/>
  <c r="A37" i="109"/>
  <c r="A41" i="109"/>
  <c r="A45" i="109"/>
  <c r="O44" i="109"/>
  <c r="N44" i="109"/>
  <c r="O42" i="109"/>
  <c r="B43" i="109"/>
  <c r="N42" i="109"/>
  <c r="G42" i="109"/>
  <c r="H42" i="109"/>
  <c r="I42" i="109"/>
  <c r="J42" i="109"/>
  <c r="C41" i="109"/>
  <c r="B41" i="109"/>
  <c r="O40" i="109"/>
  <c r="N40" i="109"/>
  <c r="O38" i="109"/>
  <c r="B39" i="109"/>
  <c r="N38" i="109"/>
  <c r="G38" i="109"/>
  <c r="H38" i="109"/>
  <c r="I38" i="109"/>
  <c r="J38" i="109"/>
  <c r="C37" i="109"/>
  <c r="B37" i="109"/>
  <c r="O36" i="109"/>
  <c r="N36" i="109"/>
  <c r="O34" i="109"/>
  <c r="B35" i="109"/>
  <c r="N34" i="109"/>
  <c r="G34" i="109"/>
  <c r="H34" i="109"/>
  <c r="I34" i="109"/>
  <c r="J34" i="109"/>
  <c r="C33" i="109"/>
  <c r="B33" i="109"/>
  <c r="O32" i="109"/>
  <c r="N32" i="109"/>
  <c r="O30" i="109"/>
  <c r="B31" i="109"/>
  <c r="N30" i="109"/>
  <c r="G30" i="109"/>
  <c r="H30" i="109"/>
  <c r="I30" i="109"/>
  <c r="J30" i="109"/>
  <c r="C29" i="109"/>
  <c r="B29" i="109"/>
  <c r="O28" i="109"/>
  <c r="N28" i="109"/>
  <c r="O26" i="109"/>
  <c r="B27" i="109"/>
  <c r="N26" i="109"/>
  <c r="G26" i="109"/>
  <c r="H26" i="109"/>
  <c r="I26" i="109"/>
  <c r="J26" i="109"/>
  <c r="C25" i="109"/>
  <c r="B25" i="109"/>
  <c r="A5" i="109"/>
  <c r="A9" i="109"/>
  <c r="A13" i="109"/>
  <c r="A17" i="109"/>
  <c r="O24" i="109"/>
  <c r="N24" i="109"/>
  <c r="O22" i="109"/>
  <c r="B23" i="109"/>
  <c r="N22" i="109"/>
  <c r="G22" i="109"/>
  <c r="H22" i="109"/>
  <c r="I22" i="109"/>
  <c r="J22" i="109"/>
  <c r="C21" i="109"/>
  <c r="B21" i="109"/>
  <c r="O20" i="109"/>
  <c r="N20" i="109"/>
  <c r="O18" i="109"/>
  <c r="B19" i="109"/>
  <c r="N18" i="109"/>
  <c r="G18" i="109"/>
  <c r="H18" i="109"/>
  <c r="I18" i="109"/>
  <c r="J18" i="109"/>
  <c r="C17" i="109"/>
  <c r="B17" i="109"/>
  <c r="O16" i="109"/>
  <c r="N16" i="109"/>
  <c r="O14" i="109"/>
  <c r="B15" i="109"/>
  <c r="N14" i="109"/>
  <c r="G14" i="109"/>
  <c r="H14" i="109"/>
  <c r="I14" i="109"/>
  <c r="J14" i="109"/>
  <c r="C13" i="109"/>
  <c r="B13" i="109"/>
  <c r="O12" i="109"/>
  <c r="N12" i="109"/>
  <c r="O10" i="109"/>
  <c r="B11" i="109"/>
  <c r="N10" i="109"/>
  <c r="G10" i="109"/>
  <c r="H10" i="109"/>
  <c r="I10" i="109"/>
  <c r="J10" i="109"/>
  <c r="C9" i="109"/>
  <c r="B9" i="109"/>
  <c r="O8" i="109"/>
  <c r="N8" i="109"/>
  <c r="O6" i="109"/>
  <c r="B7" i="109"/>
  <c r="N6" i="109"/>
  <c r="G6" i="109"/>
  <c r="H6" i="109"/>
  <c r="I6" i="109"/>
  <c r="J6" i="109"/>
  <c r="C5" i="109"/>
  <c r="B5" i="109"/>
  <c r="A4" i="109"/>
  <c r="J3" i="109"/>
  <c r="F3" i="109"/>
  <c r="J57" i="108"/>
  <c r="F58" i="108"/>
  <c r="G57" i="108"/>
  <c r="F60" i="108"/>
  <c r="G60" i="108"/>
  <c r="H60" i="108"/>
  <c r="I60" i="108"/>
  <c r="J60" i="108"/>
  <c r="K60" i="108"/>
  <c r="M59" i="108"/>
  <c r="J53" i="108"/>
  <c r="F54" i="108"/>
  <c r="G53" i="108"/>
  <c r="F56" i="108"/>
  <c r="G56" i="108"/>
  <c r="H56" i="108"/>
  <c r="I56" i="108"/>
  <c r="J56" i="108"/>
  <c r="K56" i="108"/>
  <c r="M55" i="108"/>
  <c r="J49" i="108"/>
  <c r="F50" i="108"/>
  <c r="G49" i="108"/>
  <c r="F52" i="108"/>
  <c r="G52" i="108"/>
  <c r="H52" i="108"/>
  <c r="I52" i="108"/>
  <c r="J52" i="108"/>
  <c r="K52" i="108"/>
  <c r="M51" i="108"/>
  <c r="J45" i="108"/>
  <c r="F46" i="108"/>
  <c r="G45" i="108"/>
  <c r="F48" i="108"/>
  <c r="G48" i="108"/>
  <c r="H48" i="108"/>
  <c r="I48" i="108"/>
  <c r="J48" i="108"/>
  <c r="K48" i="108"/>
  <c r="M47" i="108"/>
  <c r="J41" i="108"/>
  <c r="F42" i="108"/>
  <c r="G41" i="108"/>
  <c r="F44" i="108"/>
  <c r="G44" i="108"/>
  <c r="H44" i="108"/>
  <c r="I44" i="108"/>
  <c r="J44" i="108"/>
  <c r="K44" i="108"/>
  <c r="M43" i="108"/>
  <c r="J37" i="108"/>
  <c r="F38" i="108"/>
  <c r="G37" i="108"/>
  <c r="F40" i="108"/>
  <c r="G40" i="108"/>
  <c r="H40" i="108"/>
  <c r="I40" i="108"/>
  <c r="J40" i="108"/>
  <c r="K40" i="108"/>
  <c r="M39" i="108"/>
  <c r="J33" i="108"/>
  <c r="F34" i="108"/>
  <c r="G33" i="108"/>
  <c r="F36" i="108"/>
  <c r="G36" i="108"/>
  <c r="H36" i="108"/>
  <c r="I36" i="108"/>
  <c r="J36" i="108"/>
  <c r="K36" i="108"/>
  <c r="M35" i="108"/>
  <c r="J29" i="108"/>
  <c r="F30" i="108"/>
  <c r="G29" i="108"/>
  <c r="F32" i="108"/>
  <c r="G32" i="108"/>
  <c r="H32" i="108"/>
  <c r="I32" i="108"/>
  <c r="J32" i="108"/>
  <c r="K32" i="108"/>
  <c r="M31" i="108"/>
  <c r="J25" i="108"/>
  <c r="F26" i="108"/>
  <c r="G25" i="108"/>
  <c r="F28" i="108"/>
  <c r="G28" i="108"/>
  <c r="H28" i="108"/>
  <c r="I28" i="108"/>
  <c r="J28" i="108"/>
  <c r="K28" i="108"/>
  <c r="M27" i="108"/>
  <c r="J21" i="108"/>
  <c r="F22" i="108"/>
  <c r="G21" i="108"/>
  <c r="F24" i="108"/>
  <c r="G24" i="108"/>
  <c r="H24" i="108"/>
  <c r="I24" i="108"/>
  <c r="J24" i="108"/>
  <c r="K24" i="108"/>
  <c r="M23" i="108"/>
  <c r="J17" i="108"/>
  <c r="F18" i="108"/>
  <c r="G17" i="108"/>
  <c r="K20" i="108"/>
  <c r="M19" i="108"/>
  <c r="J13" i="108"/>
  <c r="F14" i="108"/>
  <c r="G13" i="108"/>
  <c r="I16" i="108"/>
  <c r="J16" i="108"/>
  <c r="K16" i="108"/>
  <c r="M15" i="108"/>
  <c r="J9" i="108"/>
  <c r="F10" i="108"/>
  <c r="G9" i="108"/>
  <c r="K12" i="108"/>
  <c r="M11" i="108"/>
  <c r="J5" i="108"/>
  <c r="F6" i="108"/>
  <c r="G5" i="108"/>
  <c r="M7" i="108"/>
  <c r="M8" i="108"/>
  <c r="M12" i="108"/>
  <c r="M16" i="108"/>
  <c r="M20" i="108"/>
  <c r="M24" i="108"/>
  <c r="M28" i="108"/>
  <c r="M32" i="108"/>
  <c r="M36" i="108"/>
  <c r="M40" i="108"/>
  <c r="M44" i="108"/>
  <c r="M48" i="108"/>
  <c r="M52" i="108"/>
  <c r="M56" i="108"/>
  <c r="M60" i="108"/>
  <c r="J61" i="108"/>
  <c r="F62" i="108"/>
  <c r="G61" i="108"/>
  <c r="F64" i="108"/>
  <c r="G64" i="108"/>
  <c r="H64" i="108"/>
  <c r="I64" i="108"/>
  <c r="J64" i="108"/>
  <c r="K64" i="108"/>
  <c r="C8" i="108"/>
  <c r="C10" i="108"/>
  <c r="C12" i="108"/>
  <c r="C14" i="108"/>
  <c r="C16" i="108"/>
  <c r="C18" i="108"/>
  <c r="C20" i="108"/>
  <c r="C24" i="108"/>
  <c r="C28" i="108"/>
  <c r="C32" i="108"/>
  <c r="C36" i="108"/>
  <c r="C40" i="108"/>
  <c r="C44" i="108"/>
  <c r="C48" i="108"/>
  <c r="C52" i="108"/>
  <c r="C56" i="108"/>
  <c r="C60" i="108"/>
  <c r="C64" i="108"/>
  <c r="O64" i="108"/>
  <c r="N64" i="108"/>
  <c r="M63" i="108"/>
  <c r="M64" i="108"/>
  <c r="D12" i="108"/>
  <c r="D16" i="108"/>
  <c r="D20" i="108"/>
  <c r="D24" i="108"/>
  <c r="D28" i="108"/>
  <c r="D32" i="108"/>
  <c r="D36" i="108"/>
  <c r="D40" i="108"/>
  <c r="D44" i="108"/>
  <c r="D48" i="108"/>
  <c r="D52" i="108"/>
  <c r="D56" i="108"/>
  <c r="D60" i="108"/>
  <c r="D64" i="108"/>
  <c r="C62" i="108"/>
  <c r="C58" i="108"/>
  <c r="C54" i="108"/>
  <c r="C50" i="108"/>
  <c r="C46" i="108"/>
  <c r="C42" i="108"/>
  <c r="C38" i="108"/>
  <c r="C34" i="108"/>
  <c r="C30" i="108"/>
  <c r="C26" i="108"/>
  <c r="C22" i="108"/>
  <c r="E10" i="108"/>
  <c r="G11" i="108"/>
  <c r="H11" i="108"/>
  <c r="I11" i="108"/>
  <c r="J11" i="108"/>
  <c r="K10" i="108"/>
  <c r="I9" i="108"/>
  <c r="E14" i="108"/>
  <c r="G15" i="108"/>
  <c r="H15" i="108"/>
  <c r="I15" i="108"/>
  <c r="J15" i="108"/>
  <c r="K14" i="108"/>
  <c r="I13" i="108"/>
  <c r="E18" i="108"/>
  <c r="F19" i="108"/>
  <c r="G19" i="108"/>
  <c r="H19" i="108"/>
  <c r="I19" i="108"/>
  <c r="J19" i="108"/>
  <c r="K18" i="108"/>
  <c r="I17" i="108"/>
  <c r="E22" i="108"/>
  <c r="F23" i="108"/>
  <c r="G23" i="108"/>
  <c r="H23" i="108"/>
  <c r="I23" i="108"/>
  <c r="J23" i="108"/>
  <c r="K22" i="108"/>
  <c r="I21" i="108"/>
  <c r="E26" i="108"/>
  <c r="F27" i="108"/>
  <c r="G27" i="108"/>
  <c r="H27" i="108"/>
  <c r="I27" i="108"/>
  <c r="J27" i="108"/>
  <c r="K26" i="108"/>
  <c r="I25" i="108"/>
  <c r="E30" i="108"/>
  <c r="F31" i="108"/>
  <c r="G31" i="108"/>
  <c r="H31" i="108"/>
  <c r="I31" i="108"/>
  <c r="J31" i="108"/>
  <c r="K30" i="108"/>
  <c r="I29" i="108"/>
  <c r="E34" i="108"/>
  <c r="F35" i="108"/>
  <c r="G35" i="108"/>
  <c r="H35" i="108"/>
  <c r="I35" i="108"/>
  <c r="J35" i="108"/>
  <c r="K34" i="108"/>
  <c r="I33" i="108"/>
  <c r="E38" i="108"/>
  <c r="F39" i="108"/>
  <c r="G39" i="108"/>
  <c r="H39" i="108"/>
  <c r="I39" i="108"/>
  <c r="J39" i="108"/>
  <c r="K38" i="108"/>
  <c r="I37" i="108"/>
  <c r="E42" i="108"/>
  <c r="F43" i="108"/>
  <c r="G43" i="108"/>
  <c r="H43" i="108"/>
  <c r="I43" i="108"/>
  <c r="J43" i="108"/>
  <c r="K42" i="108"/>
  <c r="I41" i="108"/>
  <c r="E46" i="108"/>
  <c r="F47" i="108"/>
  <c r="G47" i="108"/>
  <c r="H47" i="108"/>
  <c r="I47" i="108"/>
  <c r="J47" i="108"/>
  <c r="K46" i="108"/>
  <c r="I45" i="108"/>
  <c r="E50" i="108"/>
  <c r="F51" i="108"/>
  <c r="G51" i="108"/>
  <c r="H51" i="108"/>
  <c r="I51" i="108"/>
  <c r="J51" i="108"/>
  <c r="K50" i="108"/>
  <c r="I49" i="108"/>
  <c r="E54" i="108"/>
  <c r="F55" i="108"/>
  <c r="G55" i="108"/>
  <c r="H55" i="108"/>
  <c r="I55" i="108"/>
  <c r="J55" i="108"/>
  <c r="K54" i="108"/>
  <c r="I53" i="108"/>
  <c r="E58" i="108"/>
  <c r="F59" i="108"/>
  <c r="G59" i="108"/>
  <c r="H59" i="108"/>
  <c r="I59" i="108"/>
  <c r="J59" i="108"/>
  <c r="K58" i="108"/>
  <c r="I57" i="108"/>
  <c r="E62" i="108"/>
  <c r="F63" i="108"/>
  <c r="G63" i="108"/>
  <c r="H63" i="108"/>
  <c r="I63" i="108"/>
  <c r="J63" i="108"/>
  <c r="O62" i="108"/>
  <c r="B63" i="108"/>
  <c r="N62" i="108"/>
  <c r="K62" i="108"/>
  <c r="M61" i="108"/>
  <c r="M57" i="108"/>
  <c r="M53" i="108"/>
  <c r="M49" i="108"/>
  <c r="M45" i="108"/>
  <c r="M41" i="108"/>
  <c r="M37" i="108"/>
  <c r="M33" i="108"/>
  <c r="M29" i="108"/>
  <c r="M25" i="108"/>
  <c r="M21" i="108"/>
  <c r="M17" i="108"/>
  <c r="M13" i="108"/>
  <c r="M9" i="108"/>
  <c r="M5" i="108"/>
  <c r="M6" i="108"/>
  <c r="M10" i="108"/>
  <c r="M14" i="108"/>
  <c r="M18" i="108"/>
  <c r="M22" i="108"/>
  <c r="M26" i="108"/>
  <c r="M30" i="108"/>
  <c r="M34" i="108"/>
  <c r="M38" i="108"/>
  <c r="M42" i="108"/>
  <c r="M46" i="108"/>
  <c r="M50" i="108"/>
  <c r="M54" i="108"/>
  <c r="M58" i="108"/>
  <c r="M62" i="108"/>
  <c r="G62" i="108"/>
  <c r="H62" i="108"/>
  <c r="I62" i="108"/>
  <c r="J62" i="108"/>
  <c r="D6" i="108"/>
  <c r="D22" i="108"/>
  <c r="D26" i="108"/>
  <c r="D30" i="108"/>
  <c r="D34" i="108"/>
  <c r="D38" i="108"/>
  <c r="D42" i="108"/>
  <c r="D46" i="108"/>
  <c r="D50" i="108"/>
  <c r="D54" i="108"/>
  <c r="D58" i="108"/>
  <c r="D62" i="108"/>
  <c r="I61" i="108"/>
  <c r="C61" i="108"/>
  <c r="B61" i="108"/>
  <c r="C1" i="108"/>
  <c r="A2" i="108"/>
  <c r="S8" i="108"/>
  <c r="S7" i="108"/>
  <c r="S6" i="108"/>
  <c r="S5" i="108"/>
  <c r="A61" i="108"/>
  <c r="O60" i="108"/>
  <c r="N60" i="108"/>
  <c r="O58" i="108"/>
  <c r="B59" i="108"/>
  <c r="N58" i="108"/>
  <c r="G58" i="108"/>
  <c r="H58" i="108"/>
  <c r="I58" i="108"/>
  <c r="J58" i="108"/>
  <c r="C57" i="108"/>
  <c r="B57" i="108"/>
  <c r="A57" i="108"/>
  <c r="O56" i="108"/>
  <c r="N56" i="108"/>
  <c r="O54" i="108"/>
  <c r="B55" i="108"/>
  <c r="N54" i="108"/>
  <c r="G54" i="108"/>
  <c r="H54" i="108"/>
  <c r="I54" i="108"/>
  <c r="J54" i="108"/>
  <c r="C53" i="108"/>
  <c r="B53" i="108"/>
  <c r="A53" i="108"/>
  <c r="O52" i="108"/>
  <c r="N52" i="108"/>
  <c r="O50" i="108"/>
  <c r="B51" i="108"/>
  <c r="N50" i="108"/>
  <c r="G50" i="108"/>
  <c r="H50" i="108"/>
  <c r="I50" i="108"/>
  <c r="J50" i="108"/>
  <c r="C49" i="108"/>
  <c r="B49" i="108"/>
  <c r="A49" i="108"/>
  <c r="O48" i="108"/>
  <c r="N48" i="108"/>
  <c r="O46" i="108"/>
  <c r="B47" i="108"/>
  <c r="N46" i="108"/>
  <c r="G46" i="108"/>
  <c r="H46" i="108"/>
  <c r="I46" i="108"/>
  <c r="J46" i="108"/>
  <c r="C45" i="108"/>
  <c r="B45" i="108"/>
  <c r="A21" i="108"/>
  <c r="A25" i="108"/>
  <c r="A29" i="108"/>
  <c r="A33" i="108"/>
  <c r="A37" i="108"/>
  <c r="A41" i="108"/>
  <c r="A45" i="108"/>
  <c r="O44" i="108"/>
  <c r="N44" i="108"/>
  <c r="O42" i="108"/>
  <c r="B43" i="108"/>
  <c r="N42" i="108"/>
  <c r="G42" i="108"/>
  <c r="H42" i="108"/>
  <c r="I42" i="108"/>
  <c r="J42" i="108"/>
  <c r="C41" i="108"/>
  <c r="B41" i="108"/>
  <c r="O40" i="108"/>
  <c r="N40" i="108"/>
  <c r="O38" i="108"/>
  <c r="B39" i="108"/>
  <c r="N38" i="108"/>
  <c r="G38" i="108"/>
  <c r="H38" i="108"/>
  <c r="I38" i="108"/>
  <c r="J38" i="108"/>
  <c r="C37" i="108"/>
  <c r="B37" i="108"/>
  <c r="O36" i="108"/>
  <c r="N36" i="108"/>
  <c r="O34" i="108"/>
  <c r="B35" i="108"/>
  <c r="N34" i="108"/>
  <c r="G34" i="108"/>
  <c r="H34" i="108"/>
  <c r="I34" i="108"/>
  <c r="J34" i="108"/>
  <c r="C33" i="108"/>
  <c r="B33" i="108"/>
  <c r="O32" i="108"/>
  <c r="N32" i="108"/>
  <c r="O30" i="108"/>
  <c r="B31" i="108"/>
  <c r="N30" i="108"/>
  <c r="G30" i="108"/>
  <c r="H30" i="108"/>
  <c r="I30" i="108"/>
  <c r="J30" i="108"/>
  <c r="C29" i="108"/>
  <c r="B29" i="108"/>
  <c r="O28" i="108"/>
  <c r="N28" i="108"/>
  <c r="O26" i="108"/>
  <c r="B27" i="108"/>
  <c r="N26" i="108"/>
  <c r="G26" i="108"/>
  <c r="H26" i="108"/>
  <c r="I26" i="108"/>
  <c r="J26" i="108"/>
  <c r="C25" i="108"/>
  <c r="B25" i="108"/>
  <c r="A5" i="108"/>
  <c r="A9" i="108"/>
  <c r="A13" i="108"/>
  <c r="A17" i="108"/>
  <c r="O24" i="108"/>
  <c r="N24" i="108"/>
  <c r="O22" i="108"/>
  <c r="B23" i="108"/>
  <c r="N22" i="108"/>
  <c r="G22" i="108"/>
  <c r="H22" i="108"/>
  <c r="I22" i="108"/>
  <c r="J22" i="108"/>
  <c r="C21" i="108"/>
  <c r="B21" i="108"/>
  <c r="O20" i="108"/>
  <c r="N20" i="108"/>
  <c r="O18" i="108"/>
  <c r="B19" i="108"/>
  <c r="N18" i="108"/>
  <c r="G18" i="108"/>
  <c r="H18" i="108"/>
  <c r="I18" i="108"/>
  <c r="J18" i="108"/>
  <c r="C17" i="108"/>
  <c r="B17" i="108"/>
  <c r="O16" i="108"/>
  <c r="N16" i="108"/>
  <c r="O14" i="108"/>
  <c r="B15" i="108"/>
  <c r="N14" i="108"/>
  <c r="G14" i="108"/>
  <c r="H14" i="108"/>
  <c r="I14" i="108"/>
  <c r="J14" i="108"/>
  <c r="C13" i="108"/>
  <c r="B13" i="108"/>
  <c r="O12" i="108"/>
  <c r="N12" i="108"/>
  <c r="O10" i="108"/>
  <c r="B11" i="108"/>
  <c r="N10" i="108"/>
  <c r="G10" i="108"/>
  <c r="H10" i="108"/>
  <c r="I10" i="108"/>
  <c r="J10" i="108"/>
  <c r="C9" i="108"/>
  <c r="B9" i="108"/>
  <c r="O8" i="108"/>
  <c r="N8" i="108"/>
  <c r="O6" i="108"/>
  <c r="B7" i="108"/>
  <c r="N6" i="108"/>
  <c r="G6" i="108"/>
  <c r="H6" i="108"/>
  <c r="I6" i="108"/>
  <c r="J6" i="108"/>
  <c r="C5" i="108"/>
  <c r="B5" i="108"/>
  <c r="A4" i="108"/>
  <c r="J3" i="108"/>
  <c r="F3" i="108"/>
  <c r="F124" i="100"/>
  <c r="J121" i="100"/>
  <c r="F122" i="100"/>
  <c r="G121" i="100"/>
  <c r="G124" i="100"/>
  <c r="H124" i="100"/>
  <c r="I124" i="100"/>
  <c r="J124" i="100"/>
  <c r="K124" i="100"/>
  <c r="M123" i="100"/>
  <c r="F120" i="100"/>
  <c r="J117" i="100"/>
  <c r="F118" i="100"/>
  <c r="G117" i="100"/>
  <c r="G120" i="100"/>
  <c r="H120" i="100"/>
  <c r="I120" i="100"/>
  <c r="J120" i="100"/>
  <c r="K120" i="100"/>
  <c r="M119" i="100"/>
  <c r="F116" i="100"/>
  <c r="J113" i="100"/>
  <c r="F114" i="100"/>
  <c r="G113" i="100"/>
  <c r="G116" i="100"/>
  <c r="H116" i="100"/>
  <c r="I116" i="100"/>
  <c r="J116" i="100"/>
  <c r="K116" i="100"/>
  <c r="M115" i="100"/>
  <c r="F112" i="100"/>
  <c r="J109" i="100"/>
  <c r="F110" i="100"/>
  <c r="G109" i="100"/>
  <c r="G112" i="100"/>
  <c r="H112" i="100"/>
  <c r="I112" i="100"/>
  <c r="J112" i="100"/>
  <c r="K112" i="100"/>
  <c r="M111" i="100"/>
  <c r="F108" i="100"/>
  <c r="J105" i="100"/>
  <c r="F106" i="100"/>
  <c r="G105" i="100"/>
  <c r="G108" i="100"/>
  <c r="H108" i="100"/>
  <c r="I108" i="100"/>
  <c r="J108" i="100"/>
  <c r="K108" i="100"/>
  <c r="M107" i="100"/>
  <c r="F104" i="100"/>
  <c r="J101" i="100"/>
  <c r="F102" i="100"/>
  <c r="G101" i="100"/>
  <c r="G104" i="100"/>
  <c r="H104" i="100"/>
  <c r="I104" i="100"/>
  <c r="J104" i="100"/>
  <c r="K104" i="100"/>
  <c r="M103" i="100"/>
  <c r="F100" i="100"/>
  <c r="J97" i="100"/>
  <c r="F98" i="100"/>
  <c r="G97" i="100"/>
  <c r="G100" i="100"/>
  <c r="H100" i="100"/>
  <c r="I100" i="100"/>
  <c r="J100" i="100"/>
  <c r="K100" i="100"/>
  <c r="M99" i="100"/>
  <c r="K96" i="100"/>
  <c r="M95" i="100"/>
  <c r="M96" i="100"/>
  <c r="M100" i="100"/>
  <c r="M104" i="100"/>
  <c r="M108" i="100"/>
  <c r="M112" i="100"/>
  <c r="M116" i="100"/>
  <c r="M120" i="100"/>
  <c r="M124" i="100"/>
  <c r="F128" i="100"/>
  <c r="J125" i="100"/>
  <c r="F126" i="100"/>
  <c r="G125" i="100"/>
  <c r="G128" i="100"/>
  <c r="H128" i="100"/>
  <c r="I128" i="100"/>
  <c r="J128" i="100"/>
  <c r="K128" i="100"/>
  <c r="C94" i="100"/>
  <c r="C96" i="100"/>
  <c r="C100" i="100"/>
  <c r="C104" i="100"/>
  <c r="C108" i="100"/>
  <c r="C112" i="100"/>
  <c r="C116" i="100"/>
  <c r="C120" i="100"/>
  <c r="C124" i="100"/>
  <c r="C128" i="100"/>
  <c r="O128" i="100"/>
  <c r="N128" i="100"/>
  <c r="M127" i="100"/>
  <c r="M128" i="100"/>
  <c r="D100" i="100"/>
  <c r="D104" i="100"/>
  <c r="D108" i="100"/>
  <c r="D112" i="100"/>
  <c r="D116" i="100"/>
  <c r="D120" i="100"/>
  <c r="D124" i="100"/>
  <c r="D128" i="100"/>
  <c r="C126" i="100"/>
  <c r="C122" i="100"/>
  <c r="C118" i="100"/>
  <c r="C114" i="100"/>
  <c r="C110" i="100"/>
  <c r="C106" i="100"/>
  <c r="C102" i="100"/>
  <c r="C98" i="100"/>
  <c r="E94" i="100"/>
  <c r="F95" i="100"/>
  <c r="G95" i="100"/>
  <c r="H95" i="100"/>
  <c r="I95" i="100"/>
  <c r="J95" i="100"/>
  <c r="K94" i="100"/>
  <c r="I93" i="100"/>
  <c r="E98" i="100"/>
  <c r="F99" i="100"/>
  <c r="G99" i="100"/>
  <c r="H99" i="100"/>
  <c r="I99" i="100"/>
  <c r="J99" i="100"/>
  <c r="K98" i="100"/>
  <c r="I97" i="100"/>
  <c r="E102" i="100"/>
  <c r="F103" i="100"/>
  <c r="G103" i="100"/>
  <c r="H103" i="100"/>
  <c r="I103" i="100"/>
  <c r="J103" i="100"/>
  <c r="K102" i="100"/>
  <c r="I101" i="100"/>
  <c r="E106" i="100"/>
  <c r="F107" i="100"/>
  <c r="G107" i="100"/>
  <c r="H107" i="100"/>
  <c r="I107" i="100"/>
  <c r="J107" i="100"/>
  <c r="K106" i="100"/>
  <c r="I105" i="100"/>
  <c r="E110" i="100"/>
  <c r="F111" i="100"/>
  <c r="G111" i="100"/>
  <c r="H111" i="100"/>
  <c r="I111" i="100"/>
  <c r="J111" i="100"/>
  <c r="K110" i="100"/>
  <c r="I109" i="100"/>
  <c r="E114" i="100"/>
  <c r="F115" i="100"/>
  <c r="G115" i="100"/>
  <c r="H115" i="100"/>
  <c r="I115" i="100"/>
  <c r="J115" i="100"/>
  <c r="K114" i="100"/>
  <c r="I113" i="100"/>
  <c r="E118" i="100"/>
  <c r="F119" i="100"/>
  <c r="G119" i="100"/>
  <c r="H119" i="100"/>
  <c r="I119" i="100"/>
  <c r="J119" i="100"/>
  <c r="K118" i="100"/>
  <c r="I117" i="100"/>
  <c r="E122" i="100"/>
  <c r="F123" i="100"/>
  <c r="G123" i="100"/>
  <c r="H123" i="100"/>
  <c r="I123" i="100"/>
  <c r="J123" i="100"/>
  <c r="K122" i="100"/>
  <c r="I121" i="100"/>
  <c r="E126" i="100"/>
  <c r="F127" i="100"/>
  <c r="G127" i="100"/>
  <c r="H127" i="100"/>
  <c r="I127" i="100"/>
  <c r="J127" i="100"/>
  <c r="O126" i="100"/>
  <c r="B127" i="100"/>
  <c r="N126" i="100"/>
  <c r="K126" i="100"/>
  <c r="M125" i="100"/>
  <c r="M121" i="100"/>
  <c r="M117" i="100"/>
  <c r="M113" i="100"/>
  <c r="M109" i="100"/>
  <c r="M105" i="100"/>
  <c r="M101" i="100"/>
  <c r="M97" i="100"/>
  <c r="M93" i="100"/>
  <c r="M94" i="100"/>
  <c r="M98" i="100"/>
  <c r="M102" i="100"/>
  <c r="M106" i="100"/>
  <c r="M110" i="100"/>
  <c r="M114" i="100"/>
  <c r="M118" i="100"/>
  <c r="M122" i="100"/>
  <c r="M126" i="100"/>
  <c r="G126" i="100"/>
  <c r="H126" i="100"/>
  <c r="I126" i="100"/>
  <c r="J126" i="100"/>
  <c r="D98" i="100"/>
  <c r="D102" i="100"/>
  <c r="D106" i="100"/>
  <c r="D110" i="100"/>
  <c r="D114" i="100"/>
  <c r="D118" i="100"/>
  <c r="D122" i="100"/>
  <c r="D126" i="100"/>
  <c r="I125" i="100"/>
  <c r="C125" i="100"/>
  <c r="B125" i="100"/>
  <c r="C1" i="100"/>
  <c r="A2" i="100"/>
  <c r="S8" i="100"/>
  <c r="S7" i="100"/>
  <c r="A89" i="100"/>
  <c r="A93" i="100"/>
  <c r="A97" i="100"/>
  <c r="A101" i="100"/>
  <c r="A105" i="100"/>
  <c r="A109" i="100"/>
  <c r="A113" i="100"/>
  <c r="A117" i="100"/>
  <c r="A121" i="100"/>
  <c r="A125" i="100"/>
  <c r="O124" i="100"/>
  <c r="N124" i="100"/>
  <c r="O122" i="100"/>
  <c r="B123" i="100"/>
  <c r="N122" i="100"/>
  <c r="G122" i="100"/>
  <c r="H122" i="100"/>
  <c r="I122" i="100"/>
  <c r="J122" i="100"/>
  <c r="C121" i="100"/>
  <c r="B121" i="100"/>
  <c r="O120" i="100"/>
  <c r="N120" i="100"/>
  <c r="O118" i="100"/>
  <c r="B119" i="100"/>
  <c r="N118" i="100"/>
  <c r="G118" i="100"/>
  <c r="H118" i="100"/>
  <c r="I118" i="100"/>
  <c r="J118" i="100"/>
  <c r="C117" i="100"/>
  <c r="B117" i="100"/>
  <c r="O116" i="100"/>
  <c r="N116" i="100"/>
  <c r="O114" i="100"/>
  <c r="B115" i="100"/>
  <c r="N114" i="100"/>
  <c r="G114" i="100"/>
  <c r="H114" i="100"/>
  <c r="I114" i="100"/>
  <c r="J114" i="100"/>
  <c r="C113" i="100"/>
  <c r="B113" i="100"/>
  <c r="O112" i="100"/>
  <c r="N112" i="100"/>
  <c r="O110" i="100"/>
  <c r="B111" i="100"/>
  <c r="N110" i="100"/>
  <c r="G110" i="100"/>
  <c r="H110" i="100"/>
  <c r="I110" i="100"/>
  <c r="J110" i="100"/>
  <c r="C109" i="100"/>
  <c r="B109" i="100"/>
  <c r="O108" i="100"/>
  <c r="N108" i="100"/>
  <c r="O106" i="100"/>
  <c r="B107" i="100"/>
  <c r="N106" i="100"/>
  <c r="G106" i="100"/>
  <c r="H106" i="100"/>
  <c r="I106" i="100"/>
  <c r="J106" i="100"/>
  <c r="C105" i="100"/>
  <c r="B105" i="100"/>
  <c r="O104" i="100"/>
  <c r="N104" i="100"/>
  <c r="O102" i="100"/>
  <c r="B103" i="100"/>
  <c r="N102" i="100"/>
  <c r="G102" i="100"/>
  <c r="H102" i="100"/>
  <c r="I102" i="100"/>
  <c r="J102" i="100"/>
  <c r="C101" i="100"/>
  <c r="B101" i="100"/>
  <c r="O100" i="100"/>
  <c r="N100" i="100"/>
  <c r="O98" i="100"/>
  <c r="B99" i="100"/>
  <c r="N98" i="100"/>
  <c r="G98" i="100"/>
  <c r="H98" i="100"/>
  <c r="I98" i="100"/>
  <c r="J98" i="100"/>
  <c r="C97" i="100"/>
  <c r="B97" i="100"/>
  <c r="J121" i="105"/>
  <c r="F122" i="105"/>
  <c r="G121" i="105"/>
  <c r="F124" i="105"/>
  <c r="G124" i="105"/>
  <c r="H124" i="105"/>
  <c r="I124" i="105"/>
  <c r="J124" i="105"/>
  <c r="K124" i="105"/>
  <c r="M123" i="105"/>
  <c r="M124" i="105"/>
  <c r="J125" i="105"/>
  <c r="F126" i="105"/>
  <c r="G125" i="105"/>
  <c r="F128" i="105"/>
  <c r="G128" i="105"/>
  <c r="H128" i="105"/>
  <c r="I128" i="105"/>
  <c r="J128" i="105"/>
  <c r="K128" i="105"/>
  <c r="C124" i="105"/>
  <c r="C128" i="105"/>
  <c r="O128" i="105"/>
  <c r="N128" i="105"/>
  <c r="M127" i="105"/>
  <c r="M128" i="105"/>
  <c r="D124" i="105"/>
  <c r="D128" i="105"/>
  <c r="C126" i="105"/>
  <c r="C122" i="105"/>
  <c r="E122" i="105"/>
  <c r="F123" i="105"/>
  <c r="G123" i="105"/>
  <c r="H123" i="105"/>
  <c r="I123" i="105"/>
  <c r="J123" i="105"/>
  <c r="K122" i="105"/>
  <c r="I121" i="105"/>
  <c r="E126" i="105"/>
  <c r="F127" i="105"/>
  <c r="G127" i="105"/>
  <c r="H127" i="105"/>
  <c r="I127" i="105"/>
  <c r="J127" i="105"/>
  <c r="O126" i="105"/>
  <c r="B127" i="105"/>
  <c r="N126" i="105"/>
  <c r="K126" i="105"/>
  <c r="M125" i="105"/>
  <c r="M121" i="105"/>
  <c r="M122" i="105"/>
  <c r="M126" i="105"/>
  <c r="G126" i="105"/>
  <c r="H126" i="105"/>
  <c r="I126" i="105"/>
  <c r="J126" i="105"/>
  <c r="D122" i="105"/>
  <c r="D126" i="105"/>
  <c r="I125" i="105"/>
  <c r="C125" i="105"/>
  <c r="B125" i="105"/>
  <c r="C1" i="105"/>
  <c r="A2" i="105"/>
  <c r="S6" i="105"/>
  <c r="S5" i="105"/>
  <c r="A89" i="105"/>
  <c r="A93" i="105"/>
  <c r="A97" i="105"/>
  <c r="A101" i="105"/>
  <c r="A105" i="105"/>
  <c r="A109" i="105"/>
  <c r="A113" i="105"/>
  <c r="A117" i="105"/>
  <c r="A121" i="105"/>
  <c r="A125" i="105"/>
  <c r="O124" i="105"/>
  <c r="N124" i="105"/>
  <c r="O122" i="105"/>
  <c r="B123" i="105"/>
  <c r="N122" i="105"/>
  <c r="G122" i="105"/>
  <c r="H122" i="105"/>
  <c r="I122" i="105"/>
  <c r="J122" i="105"/>
  <c r="C121" i="105"/>
  <c r="B121" i="105"/>
  <c r="J113" i="105"/>
  <c r="F114" i="105"/>
  <c r="G113" i="105"/>
  <c r="F116" i="105"/>
  <c r="G116" i="105"/>
  <c r="H116" i="105"/>
  <c r="I116" i="105"/>
  <c r="J116" i="105"/>
  <c r="K116" i="105"/>
  <c r="M115" i="105"/>
  <c r="M116" i="105"/>
  <c r="J117" i="105"/>
  <c r="F118" i="105"/>
  <c r="G117" i="105"/>
  <c r="F120" i="105"/>
  <c r="G120" i="105"/>
  <c r="H120" i="105"/>
  <c r="I120" i="105"/>
  <c r="J120" i="105"/>
  <c r="K120" i="105"/>
  <c r="C116" i="105"/>
  <c r="C120" i="105"/>
  <c r="O120" i="105"/>
  <c r="N120" i="105"/>
  <c r="M119" i="105"/>
  <c r="M120" i="105"/>
  <c r="D116" i="105"/>
  <c r="D120" i="105"/>
  <c r="C118" i="105"/>
  <c r="C114" i="105"/>
  <c r="E114" i="105"/>
  <c r="F115" i="105"/>
  <c r="G115" i="105"/>
  <c r="H115" i="105"/>
  <c r="I115" i="105"/>
  <c r="J115" i="105"/>
  <c r="K114" i="105"/>
  <c r="I113" i="105"/>
  <c r="E118" i="105"/>
  <c r="F119" i="105"/>
  <c r="G119" i="105"/>
  <c r="H119" i="105"/>
  <c r="I119" i="105"/>
  <c r="J119" i="105"/>
  <c r="O118" i="105"/>
  <c r="B119" i="105"/>
  <c r="N118" i="105"/>
  <c r="K118" i="105"/>
  <c r="M117" i="105"/>
  <c r="M113" i="105"/>
  <c r="M114" i="105"/>
  <c r="M118" i="105"/>
  <c r="G118" i="105"/>
  <c r="H118" i="105"/>
  <c r="I118" i="105"/>
  <c r="J118" i="105"/>
  <c r="D114" i="105"/>
  <c r="D118" i="105"/>
  <c r="I117" i="105"/>
  <c r="C117" i="105"/>
  <c r="B117" i="105"/>
  <c r="O116" i="105"/>
  <c r="N116" i="105"/>
  <c r="O114" i="105"/>
  <c r="B115" i="105"/>
  <c r="N114" i="105"/>
  <c r="G114" i="105"/>
  <c r="H114" i="105"/>
  <c r="I114" i="105"/>
  <c r="J114" i="105"/>
  <c r="C113" i="105"/>
  <c r="B113" i="105"/>
  <c r="J105" i="105"/>
  <c r="F106" i="105"/>
  <c r="G105" i="105"/>
  <c r="F108" i="105"/>
  <c r="G108" i="105"/>
  <c r="H108" i="105"/>
  <c r="I108" i="105"/>
  <c r="J108" i="105"/>
  <c r="K108" i="105"/>
  <c r="M107" i="105"/>
  <c r="M108" i="105"/>
  <c r="J109" i="105"/>
  <c r="F110" i="105"/>
  <c r="G109" i="105"/>
  <c r="F112" i="105"/>
  <c r="G112" i="105"/>
  <c r="H112" i="105"/>
  <c r="I112" i="105"/>
  <c r="J112" i="105"/>
  <c r="K112" i="105"/>
  <c r="C108" i="105"/>
  <c r="C112" i="105"/>
  <c r="O112" i="105"/>
  <c r="N112" i="105"/>
  <c r="M111" i="105"/>
  <c r="M112" i="105"/>
  <c r="D108" i="105"/>
  <c r="D112" i="105"/>
  <c r="C110" i="105"/>
  <c r="C106" i="105"/>
  <c r="E106" i="105"/>
  <c r="F107" i="105"/>
  <c r="G107" i="105"/>
  <c r="H107" i="105"/>
  <c r="I107" i="105"/>
  <c r="J107" i="105"/>
  <c r="K106" i="105"/>
  <c r="I105" i="105"/>
  <c r="E110" i="105"/>
  <c r="F111" i="105"/>
  <c r="G111" i="105"/>
  <c r="H111" i="105"/>
  <c r="I111" i="105"/>
  <c r="J111" i="105"/>
  <c r="O110" i="105"/>
  <c r="B111" i="105"/>
  <c r="N110" i="105"/>
  <c r="K110" i="105"/>
  <c r="M109" i="105"/>
  <c r="M105" i="105"/>
  <c r="M106" i="105"/>
  <c r="M110" i="105"/>
  <c r="G110" i="105"/>
  <c r="H110" i="105"/>
  <c r="I110" i="105"/>
  <c r="J110" i="105"/>
  <c r="D106" i="105"/>
  <c r="D110" i="105"/>
  <c r="I109" i="105"/>
  <c r="C109" i="105"/>
  <c r="B109" i="105"/>
  <c r="O108" i="105"/>
  <c r="N108" i="105"/>
  <c r="O106" i="105"/>
  <c r="B107" i="105"/>
  <c r="N106" i="105"/>
  <c r="G106" i="105"/>
  <c r="H106" i="105"/>
  <c r="I106" i="105"/>
  <c r="J106" i="105"/>
  <c r="C105" i="105"/>
  <c r="B105" i="105"/>
  <c r="C92" i="100"/>
  <c r="F92" i="100"/>
  <c r="J89" i="100"/>
  <c r="F90" i="100"/>
  <c r="C90" i="100"/>
  <c r="E90" i="100"/>
  <c r="F91" i="100"/>
  <c r="G91" i="100"/>
  <c r="H91" i="100"/>
  <c r="I91" i="100"/>
  <c r="J91" i="100"/>
  <c r="B91" i="100"/>
  <c r="G90" i="100"/>
  <c r="H90" i="100"/>
  <c r="I90" i="100"/>
  <c r="J90" i="100"/>
  <c r="K90" i="100"/>
  <c r="K92" i="100"/>
  <c r="I89" i="100"/>
  <c r="G89" i="100"/>
  <c r="C89" i="100"/>
  <c r="B89" i="100"/>
  <c r="C92" i="105"/>
  <c r="C96" i="105"/>
  <c r="C100" i="105"/>
  <c r="C101" i="105"/>
  <c r="C97" i="105"/>
  <c r="C93" i="105"/>
  <c r="C89" i="105"/>
  <c r="D96" i="105"/>
  <c r="C94" i="105"/>
  <c r="J93" i="105"/>
  <c r="F94" i="105"/>
  <c r="E94" i="105"/>
  <c r="F95" i="105"/>
  <c r="G95" i="105"/>
  <c r="H95" i="105"/>
  <c r="I95" i="105"/>
  <c r="J95" i="105"/>
  <c r="K92" i="105"/>
  <c r="M91" i="105"/>
  <c r="M92" i="105"/>
  <c r="O94" i="105"/>
  <c r="B95" i="105"/>
  <c r="G94" i="105"/>
  <c r="H94" i="105"/>
  <c r="I94" i="105"/>
  <c r="J94" i="105"/>
  <c r="K94" i="105"/>
  <c r="K96" i="105"/>
  <c r="I93" i="105"/>
  <c r="G93" i="105"/>
  <c r="N94" i="105"/>
  <c r="J89" i="105"/>
  <c r="F90" i="105"/>
  <c r="C90" i="105"/>
  <c r="E90" i="105"/>
  <c r="F91" i="105"/>
  <c r="G91" i="105"/>
  <c r="H91" i="105"/>
  <c r="I91" i="105"/>
  <c r="J91" i="105"/>
  <c r="K90" i="105"/>
  <c r="I89" i="105"/>
  <c r="B93" i="105"/>
  <c r="B91" i="105"/>
  <c r="G90" i="105"/>
  <c r="H90" i="105"/>
  <c r="I90" i="105"/>
  <c r="J90" i="105"/>
  <c r="D90" i="105"/>
  <c r="G89" i="105"/>
  <c r="B89" i="105"/>
  <c r="F60" i="107"/>
  <c r="J57" i="107"/>
  <c r="F58" i="107"/>
  <c r="G57" i="107"/>
  <c r="G60" i="107"/>
  <c r="H60" i="107"/>
  <c r="I60" i="107"/>
  <c r="J60" i="107"/>
  <c r="K60" i="107"/>
  <c r="M59" i="107"/>
  <c r="F56" i="107"/>
  <c r="J53" i="107"/>
  <c r="F54" i="107"/>
  <c r="G53" i="107"/>
  <c r="G56" i="107"/>
  <c r="H56" i="107"/>
  <c r="I56" i="107"/>
  <c r="J56" i="107"/>
  <c r="K56" i="107"/>
  <c r="M55" i="107"/>
  <c r="F52" i="107"/>
  <c r="J49" i="107"/>
  <c r="F50" i="107"/>
  <c r="G49" i="107"/>
  <c r="G52" i="107"/>
  <c r="H52" i="107"/>
  <c r="I52" i="107"/>
  <c r="J52" i="107"/>
  <c r="K52" i="107"/>
  <c r="M51" i="107"/>
  <c r="F48" i="107"/>
  <c r="J45" i="107"/>
  <c r="F46" i="107"/>
  <c r="G45" i="107"/>
  <c r="G48" i="107"/>
  <c r="H48" i="107"/>
  <c r="I48" i="107"/>
  <c r="J48" i="107"/>
  <c r="K48" i="107"/>
  <c r="M47" i="107"/>
  <c r="F44" i="107"/>
  <c r="J41" i="107"/>
  <c r="F42" i="107"/>
  <c r="G41" i="107"/>
  <c r="G44" i="107"/>
  <c r="H44" i="107"/>
  <c r="I44" i="107"/>
  <c r="J44" i="107"/>
  <c r="K44" i="107"/>
  <c r="M43" i="107"/>
  <c r="F40" i="107"/>
  <c r="J37" i="107"/>
  <c r="F38" i="107"/>
  <c r="G37" i="107"/>
  <c r="G40" i="107"/>
  <c r="H40" i="107"/>
  <c r="I40" i="107"/>
  <c r="J40" i="107"/>
  <c r="K40" i="107"/>
  <c r="M39" i="107"/>
  <c r="F36" i="107"/>
  <c r="J33" i="107"/>
  <c r="F34" i="107"/>
  <c r="G33" i="107"/>
  <c r="G36" i="107"/>
  <c r="H36" i="107"/>
  <c r="I36" i="107"/>
  <c r="J36" i="107"/>
  <c r="K36" i="107"/>
  <c r="M35" i="107"/>
  <c r="F32" i="107"/>
  <c r="J29" i="107"/>
  <c r="F30" i="107"/>
  <c r="G29" i="107"/>
  <c r="G32" i="107"/>
  <c r="H32" i="107"/>
  <c r="I32" i="107"/>
  <c r="J32" i="107"/>
  <c r="K32" i="107"/>
  <c r="M31" i="107"/>
  <c r="F28" i="107"/>
  <c r="J25" i="107"/>
  <c r="F26" i="107"/>
  <c r="G25" i="107"/>
  <c r="G28" i="107"/>
  <c r="H28" i="107"/>
  <c r="I28" i="107"/>
  <c r="J28" i="107"/>
  <c r="K28" i="107"/>
  <c r="M27" i="107"/>
  <c r="F24" i="107"/>
  <c r="J21" i="107"/>
  <c r="F22" i="107"/>
  <c r="G21" i="107"/>
  <c r="G24" i="107"/>
  <c r="H24" i="107"/>
  <c r="I24" i="107"/>
  <c r="J24" i="107"/>
  <c r="K24" i="107"/>
  <c r="M23" i="107"/>
  <c r="F20" i="107"/>
  <c r="J17" i="107"/>
  <c r="F18" i="107"/>
  <c r="G17" i="107"/>
  <c r="G20" i="107"/>
  <c r="H20" i="107"/>
  <c r="I20" i="107"/>
  <c r="J20" i="107"/>
  <c r="K20" i="107"/>
  <c r="M19" i="107"/>
  <c r="F16" i="107"/>
  <c r="J13" i="107"/>
  <c r="F14" i="107"/>
  <c r="G13" i="107"/>
  <c r="G16" i="107"/>
  <c r="H16" i="107"/>
  <c r="I16" i="107"/>
  <c r="J16" i="107"/>
  <c r="K16" i="107"/>
  <c r="M15" i="107"/>
  <c r="F12" i="107"/>
  <c r="J9" i="107"/>
  <c r="F10" i="107"/>
  <c r="G9" i="107"/>
  <c r="G12" i="107"/>
  <c r="H12" i="107"/>
  <c r="I12" i="107"/>
  <c r="J12" i="107"/>
  <c r="K12" i="107"/>
  <c r="M11" i="107"/>
  <c r="F8" i="107"/>
  <c r="J5" i="107"/>
  <c r="F6" i="107"/>
  <c r="G5" i="107"/>
  <c r="G8" i="107"/>
  <c r="H8" i="107"/>
  <c r="I8" i="107"/>
  <c r="J8" i="107"/>
  <c r="K8" i="107"/>
  <c r="M7" i="107"/>
  <c r="M8" i="107"/>
  <c r="M12" i="107"/>
  <c r="M16" i="107"/>
  <c r="M20" i="107"/>
  <c r="M24" i="107"/>
  <c r="M28" i="107"/>
  <c r="M32" i="107"/>
  <c r="M36" i="107"/>
  <c r="M40" i="107"/>
  <c r="M44" i="107"/>
  <c r="M48" i="107"/>
  <c r="M52" i="107"/>
  <c r="M56" i="107"/>
  <c r="M60" i="107"/>
  <c r="F64" i="107"/>
  <c r="J61" i="107"/>
  <c r="F62" i="107"/>
  <c r="G61" i="107"/>
  <c r="G64" i="107"/>
  <c r="H64" i="107"/>
  <c r="I64" i="107"/>
  <c r="J64" i="107"/>
  <c r="K64" i="107"/>
  <c r="C8" i="107"/>
  <c r="C12" i="107"/>
  <c r="C16" i="107"/>
  <c r="C20" i="107"/>
  <c r="C24" i="107"/>
  <c r="C28" i="107"/>
  <c r="C32" i="107"/>
  <c r="C36" i="107"/>
  <c r="C40" i="107"/>
  <c r="C44" i="107"/>
  <c r="C48" i="107"/>
  <c r="C52" i="107"/>
  <c r="C56" i="107"/>
  <c r="C60" i="107"/>
  <c r="C64" i="107"/>
  <c r="O64" i="107"/>
  <c r="N64" i="107"/>
  <c r="M63" i="107"/>
  <c r="M64" i="107"/>
  <c r="D12" i="107"/>
  <c r="D16" i="107"/>
  <c r="D20" i="107"/>
  <c r="D24" i="107"/>
  <c r="D28" i="107"/>
  <c r="D32" i="107"/>
  <c r="D36" i="107"/>
  <c r="D40" i="107"/>
  <c r="D44" i="107"/>
  <c r="D48" i="107"/>
  <c r="D52" i="107"/>
  <c r="D56" i="107"/>
  <c r="D60" i="107"/>
  <c r="D64" i="107"/>
  <c r="C62" i="107"/>
  <c r="C58" i="107"/>
  <c r="C54" i="107"/>
  <c r="C50" i="107"/>
  <c r="C46" i="107"/>
  <c r="C42" i="107"/>
  <c r="C38" i="107"/>
  <c r="C34" i="107"/>
  <c r="C30" i="107"/>
  <c r="C26" i="107"/>
  <c r="C22" i="107"/>
  <c r="C18" i="107"/>
  <c r="C14" i="107"/>
  <c r="C10" i="107"/>
  <c r="C6" i="107"/>
  <c r="E6" i="107"/>
  <c r="F7" i="107"/>
  <c r="G7" i="107"/>
  <c r="H7" i="107"/>
  <c r="I7" i="107"/>
  <c r="J7" i="107"/>
  <c r="K6" i="107"/>
  <c r="I5" i="107"/>
  <c r="E10" i="107"/>
  <c r="F11" i="107"/>
  <c r="G11" i="107"/>
  <c r="H11" i="107"/>
  <c r="I11" i="107"/>
  <c r="J11" i="107"/>
  <c r="K10" i="107"/>
  <c r="I9" i="107"/>
  <c r="E14" i="107"/>
  <c r="F15" i="107"/>
  <c r="G15" i="107"/>
  <c r="H15" i="107"/>
  <c r="I15" i="107"/>
  <c r="J15" i="107"/>
  <c r="K14" i="107"/>
  <c r="I13" i="107"/>
  <c r="E18" i="107"/>
  <c r="F19" i="107"/>
  <c r="G19" i="107"/>
  <c r="H19" i="107"/>
  <c r="I19" i="107"/>
  <c r="J19" i="107"/>
  <c r="K18" i="107"/>
  <c r="I17" i="107"/>
  <c r="E22" i="107"/>
  <c r="F23" i="107"/>
  <c r="G23" i="107"/>
  <c r="H23" i="107"/>
  <c r="I23" i="107"/>
  <c r="J23" i="107"/>
  <c r="K22" i="107"/>
  <c r="I21" i="107"/>
  <c r="E26" i="107"/>
  <c r="F27" i="107"/>
  <c r="G27" i="107"/>
  <c r="H27" i="107"/>
  <c r="I27" i="107"/>
  <c r="J27" i="107"/>
  <c r="K26" i="107"/>
  <c r="I25" i="107"/>
  <c r="E30" i="107"/>
  <c r="F31" i="107"/>
  <c r="G31" i="107"/>
  <c r="H31" i="107"/>
  <c r="I31" i="107"/>
  <c r="J31" i="107"/>
  <c r="K30" i="107"/>
  <c r="I29" i="107"/>
  <c r="E34" i="107"/>
  <c r="F35" i="107"/>
  <c r="G35" i="107"/>
  <c r="H35" i="107"/>
  <c r="I35" i="107"/>
  <c r="J35" i="107"/>
  <c r="K34" i="107"/>
  <c r="I33" i="107"/>
  <c r="E38" i="107"/>
  <c r="F39" i="107"/>
  <c r="G39" i="107"/>
  <c r="H39" i="107"/>
  <c r="I39" i="107"/>
  <c r="J39" i="107"/>
  <c r="K38" i="107"/>
  <c r="I37" i="107"/>
  <c r="E42" i="107"/>
  <c r="F43" i="107"/>
  <c r="G43" i="107"/>
  <c r="H43" i="107"/>
  <c r="I43" i="107"/>
  <c r="J43" i="107"/>
  <c r="K42" i="107"/>
  <c r="I41" i="107"/>
  <c r="E46" i="107"/>
  <c r="F47" i="107"/>
  <c r="G47" i="107"/>
  <c r="H47" i="107"/>
  <c r="I47" i="107"/>
  <c r="J47" i="107"/>
  <c r="K46" i="107"/>
  <c r="I45" i="107"/>
  <c r="E50" i="107"/>
  <c r="F51" i="107"/>
  <c r="G51" i="107"/>
  <c r="H51" i="107"/>
  <c r="I51" i="107"/>
  <c r="J51" i="107"/>
  <c r="K50" i="107"/>
  <c r="I49" i="107"/>
  <c r="E54" i="107"/>
  <c r="F55" i="107"/>
  <c r="G55" i="107"/>
  <c r="H55" i="107"/>
  <c r="I55" i="107"/>
  <c r="J55" i="107"/>
  <c r="K54" i="107"/>
  <c r="I53" i="107"/>
  <c r="E58" i="107"/>
  <c r="F59" i="107"/>
  <c r="G59" i="107"/>
  <c r="H59" i="107"/>
  <c r="I59" i="107"/>
  <c r="J59" i="107"/>
  <c r="K58" i="107"/>
  <c r="I57" i="107"/>
  <c r="E62" i="107"/>
  <c r="F63" i="107"/>
  <c r="G63" i="107"/>
  <c r="H63" i="107"/>
  <c r="I63" i="107"/>
  <c r="J63" i="107"/>
  <c r="O62" i="107"/>
  <c r="B63" i="107"/>
  <c r="N62" i="107"/>
  <c r="K62" i="107"/>
  <c r="M61" i="107"/>
  <c r="M57" i="107"/>
  <c r="M53" i="107"/>
  <c r="M49" i="107"/>
  <c r="M45" i="107"/>
  <c r="M41" i="107"/>
  <c r="M37" i="107"/>
  <c r="M33" i="107"/>
  <c r="M29" i="107"/>
  <c r="M25" i="107"/>
  <c r="M21" i="107"/>
  <c r="M17" i="107"/>
  <c r="M13" i="107"/>
  <c r="M9" i="107"/>
  <c r="M5" i="107"/>
  <c r="M6" i="107"/>
  <c r="M10" i="107"/>
  <c r="M14" i="107"/>
  <c r="M18" i="107"/>
  <c r="M22" i="107"/>
  <c r="M26" i="107"/>
  <c r="M30" i="107"/>
  <c r="M34" i="107"/>
  <c r="M38" i="107"/>
  <c r="M42" i="107"/>
  <c r="M46" i="107"/>
  <c r="M50" i="107"/>
  <c r="M54" i="107"/>
  <c r="M58" i="107"/>
  <c r="M62" i="107"/>
  <c r="G62" i="107"/>
  <c r="H62" i="107"/>
  <c r="I62" i="107"/>
  <c r="J62" i="107"/>
  <c r="D6" i="107"/>
  <c r="D10" i="107"/>
  <c r="D14" i="107"/>
  <c r="D18" i="107"/>
  <c r="D22" i="107"/>
  <c r="D26" i="107"/>
  <c r="D30" i="107"/>
  <c r="D34" i="107"/>
  <c r="D38" i="107"/>
  <c r="D42" i="107"/>
  <c r="D46" i="107"/>
  <c r="D50" i="107"/>
  <c r="D54" i="107"/>
  <c r="D58" i="107"/>
  <c r="D62" i="107"/>
  <c r="I61" i="107"/>
  <c r="C61" i="107"/>
  <c r="B61" i="107"/>
  <c r="G1" i="107"/>
  <c r="C1" i="107"/>
  <c r="A2" i="107"/>
  <c r="S8" i="107"/>
  <c r="S7" i="107"/>
  <c r="A37" i="107"/>
  <c r="A41" i="107"/>
  <c r="A45" i="107"/>
  <c r="A49" i="107"/>
  <c r="A53" i="107"/>
  <c r="A57" i="107"/>
  <c r="A61" i="107"/>
  <c r="O60" i="107"/>
  <c r="N60" i="107"/>
  <c r="O58" i="107"/>
  <c r="B59" i="107"/>
  <c r="N58" i="107"/>
  <c r="G58" i="107"/>
  <c r="H58" i="107"/>
  <c r="I58" i="107"/>
  <c r="J58" i="107"/>
  <c r="C57" i="107"/>
  <c r="B57" i="107"/>
  <c r="O56" i="107"/>
  <c r="N56" i="107"/>
  <c r="O54" i="107"/>
  <c r="B55" i="107"/>
  <c r="N54" i="107"/>
  <c r="G54" i="107"/>
  <c r="H54" i="107"/>
  <c r="I54" i="107"/>
  <c r="J54" i="107"/>
  <c r="C53" i="107"/>
  <c r="B53" i="107"/>
  <c r="O52" i="107"/>
  <c r="N52" i="107"/>
  <c r="O50" i="107"/>
  <c r="B51" i="107"/>
  <c r="N50" i="107"/>
  <c r="G50" i="107"/>
  <c r="H50" i="107"/>
  <c r="I50" i="107"/>
  <c r="J50" i="107"/>
  <c r="C49" i="107"/>
  <c r="B49" i="107"/>
  <c r="A29" i="107"/>
  <c r="A33" i="107"/>
  <c r="O48" i="107"/>
  <c r="N48" i="107"/>
  <c r="O46" i="107"/>
  <c r="B47" i="107"/>
  <c r="N46" i="107"/>
  <c r="G46" i="107"/>
  <c r="H46" i="107"/>
  <c r="I46" i="107"/>
  <c r="J46" i="107"/>
  <c r="C45" i="107"/>
  <c r="B45" i="107"/>
  <c r="O44" i="107"/>
  <c r="N44" i="107"/>
  <c r="O42" i="107"/>
  <c r="B43" i="107"/>
  <c r="N42" i="107"/>
  <c r="G42" i="107"/>
  <c r="H42" i="107"/>
  <c r="I42" i="107"/>
  <c r="J42" i="107"/>
  <c r="C41" i="107"/>
  <c r="B41" i="107"/>
  <c r="O40" i="107"/>
  <c r="N40" i="107"/>
  <c r="O38" i="107"/>
  <c r="B39" i="107"/>
  <c r="N38" i="107"/>
  <c r="G38" i="107"/>
  <c r="H38" i="107"/>
  <c r="I38" i="107"/>
  <c r="J38" i="107"/>
  <c r="C37" i="107"/>
  <c r="B37" i="107"/>
  <c r="A21" i="107"/>
  <c r="A25" i="107"/>
  <c r="O36" i="107"/>
  <c r="N36" i="107"/>
  <c r="O34" i="107"/>
  <c r="B35" i="107"/>
  <c r="N34" i="107"/>
  <c r="G34" i="107"/>
  <c r="H34" i="107"/>
  <c r="I34" i="107"/>
  <c r="J34" i="107"/>
  <c r="C33" i="107"/>
  <c r="B33" i="107"/>
  <c r="O32" i="107"/>
  <c r="N32" i="107"/>
  <c r="O30" i="107"/>
  <c r="B31" i="107"/>
  <c r="N30" i="107"/>
  <c r="G30" i="107"/>
  <c r="H30" i="107"/>
  <c r="I30" i="107"/>
  <c r="J30" i="107"/>
  <c r="C29" i="107"/>
  <c r="B29" i="107"/>
  <c r="O28" i="107"/>
  <c r="N28" i="107"/>
  <c r="O26" i="107"/>
  <c r="B27" i="107"/>
  <c r="N26" i="107"/>
  <c r="G26" i="107"/>
  <c r="H26" i="107"/>
  <c r="I26" i="107"/>
  <c r="J26" i="107"/>
  <c r="C25" i="107"/>
  <c r="B25" i="107"/>
  <c r="A13" i="107"/>
  <c r="A17" i="107"/>
  <c r="O24" i="107"/>
  <c r="N24" i="107"/>
  <c r="O22" i="107"/>
  <c r="B23" i="107"/>
  <c r="N22" i="107"/>
  <c r="G22" i="107"/>
  <c r="H22" i="107"/>
  <c r="I22" i="107"/>
  <c r="J22" i="107"/>
  <c r="C21" i="107"/>
  <c r="B21" i="107"/>
  <c r="O20" i="107"/>
  <c r="N20" i="107"/>
  <c r="O18" i="107"/>
  <c r="B19" i="107"/>
  <c r="N18" i="107"/>
  <c r="G18" i="107"/>
  <c r="H18" i="107"/>
  <c r="I18" i="107"/>
  <c r="J18" i="107"/>
  <c r="C17" i="107"/>
  <c r="B17" i="107"/>
  <c r="O16" i="107"/>
  <c r="N16" i="107"/>
  <c r="O14" i="107"/>
  <c r="B15" i="107"/>
  <c r="N14" i="107"/>
  <c r="G14" i="107"/>
  <c r="H14" i="107"/>
  <c r="I14" i="107"/>
  <c r="J14" i="107"/>
  <c r="C13" i="107"/>
  <c r="B13" i="107"/>
  <c r="A5" i="107"/>
  <c r="A9" i="107"/>
  <c r="O12" i="107"/>
  <c r="N12" i="107"/>
  <c r="O10" i="107"/>
  <c r="B11" i="107"/>
  <c r="N10" i="107"/>
  <c r="G10" i="107"/>
  <c r="H10" i="107"/>
  <c r="I10" i="107"/>
  <c r="J10" i="107"/>
  <c r="C9" i="107"/>
  <c r="B9" i="107"/>
  <c r="O8" i="107"/>
  <c r="N8" i="107"/>
  <c r="O6" i="107"/>
  <c r="B7" i="107"/>
  <c r="S6" i="107"/>
  <c r="N6" i="107"/>
  <c r="G6" i="107"/>
  <c r="H6" i="107"/>
  <c r="I6" i="107"/>
  <c r="J6" i="107"/>
  <c r="S5" i="107"/>
  <c r="C5" i="107"/>
  <c r="B5" i="107"/>
  <c r="A4" i="107"/>
  <c r="J3" i="107"/>
  <c r="F3" i="107"/>
  <c r="F88" i="100"/>
  <c r="A81" i="105"/>
  <c r="A85" i="105"/>
  <c r="F84" i="100"/>
  <c r="F80" i="100"/>
  <c r="F76" i="100"/>
  <c r="F72" i="100"/>
  <c r="J97" i="105"/>
  <c r="F98" i="105"/>
  <c r="G97" i="105"/>
  <c r="F100" i="105"/>
  <c r="G100" i="105"/>
  <c r="H100" i="105"/>
  <c r="I100" i="105"/>
  <c r="J100" i="105"/>
  <c r="K100" i="105"/>
  <c r="M99" i="105"/>
  <c r="M95" i="105"/>
  <c r="K76" i="105"/>
  <c r="M75" i="105"/>
  <c r="M76" i="105"/>
  <c r="K80" i="105"/>
  <c r="M79" i="105"/>
  <c r="M80" i="105"/>
  <c r="K84" i="105"/>
  <c r="M83" i="105"/>
  <c r="M84" i="105"/>
  <c r="K88" i="105"/>
  <c r="M87" i="105"/>
  <c r="M88" i="105"/>
  <c r="M96" i="105"/>
  <c r="M100" i="105"/>
  <c r="J101" i="105"/>
  <c r="F102" i="105"/>
  <c r="G101" i="105"/>
  <c r="F104" i="105"/>
  <c r="G104" i="105"/>
  <c r="H104" i="105"/>
  <c r="I104" i="105"/>
  <c r="J104" i="105"/>
  <c r="K104" i="105"/>
  <c r="C74" i="105"/>
  <c r="C76" i="105"/>
  <c r="C78" i="105"/>
  <c r="C80" i="105"/>
  <c r="C82" i="105"/>
  <c r="C84" i="105"/>
  <c r="C86" i="105"/>
  <c r="C88" i="105"/>
  <c r="C104" i="105"/>
  <c r="O104" i="105"/>
  <c r="N104" i="105"/>
  <c r="M103" i="105"/>
  <c r="M104" i="105"/>
  <c r="D100" i="105"/>
  <c r="D104" i="105"/>
  <c r="C102" i="105"/>
  <c r="C98" i="105"/>
  <c r="E74" i="105"/>
  <c r="F75" i="105"/>
  <c r="G75" i="105"/>
  <c r="H75" i="105"/>
  <c r="I75" i="105"/>
  <c r="J75" i="105"/>
  <c r="K74" i="105"/>
  <c r="I73" i="105"/>
  <c r="E78" i="105"/>
  <c r="F79" i="105"/>
  <c r="G79" i="105"/>
  <c r="H79" i="105"/>
  <c r="I79" i="105"/>
  <c r="J79" i="105"/>
  <c r="K78" i="105"/>
  <c r="I77" i="105"/>
  <c r="E82" i="105"/>
  <c r="F83" i="105"/>
  <c r="G83" i="105"/>
  <c r="H83" i="105"/>
  <c r="I83" i="105"/>
  <c r="J83" i="105"/>
  <c r="K82" i="105"/>
  <c r="I81" i="105"/>
  <c r="E86" i="105"/>
  <c r="F87" i="105"/>
  <c r="G87" i="105"/>
  <c r="H87" i="105"/>
  <c r="I87" i="105"/>
  <c r="J87" i="105"/>
  <c r="K86" i="105"/>
  <c r="I85" i="105"/>
  <c r="E98" i="105"/>
  <c r="F99" i="105"/>
  <c r="G99" i="105"/>
  <c r="H99" i="105"/>
  <c r="I99" i="105"/>
  <c r="J99" i="105"/>
  <c r="K98" i="105"/>
  <c r="I97" i="105"/>
  <c r="E102" i="105"/>
  <c r="F103" i="105"/>
  <c r="G103" i="105"/>
  <c r="H103" i="105"/>
  <c r="I103" i="105"/>
  <c r="J103" i="105"/>
  <c r="O102" i="105"/>
  <c r="B103" i="105"/>
  <c r="N102" i="105"/>
  <c r="K102" i="105"/>
  <c r="M101" i="105"/>
  <c r="M97" i="105"/>
  <c r="M93" i="105"/>
  <c r="M89" i="105"/>
  <c r="M85" i="105"/>
  <c r="M81" i="105"/>
  <c r="M77" i="105"/>
  <c r="M73" i="105"/>
  <c r="M74" i="105"/>
  <c r="M78" i="105"/>
  <c r="M82" i="105"/>
  <c r="M86" i="105"/>
  <c r="M90" i="105"/>
  <c r="M94" i="105"/>
  <c r="M98" i="105"/>
  <c r="M102" i="105"/>
  <c r="G102" i="105"/>
  <c r="H102" i="105"/>
  <c r="I102" i="105"/>
  <c r="J102" i="105"/>
  <c r="D78" i="105"/>
  <c r="D82" i="105"/>
  <c r="D98" i="105"/>
  <c r="D102" i="105"/>
  <c r="I101" i="105"/>
  <c r="B101" i="105"/>
  <c r="A69" i="105"/>
  <c r="A73" i="105"/>
  <c r="A77" i="105"/>
  <c r="O100" i="105"/>
  <c r="N100" i="105"/>
  <c r="O98" i="105"/>
  <c r="B99" i="105"/>
  <c r="N98" i="105"/>
  <c r="G98" i="105"/>
  <c r="H98" i="105"/>
  <c r="I98" i="105"/>
  <c r="J98" i="105"/>
  <c r="B97" i="105"/>
  <c r="O96" i="105"/>
  <c r="N96" i="105"/>
  <c r="A61" i="105"/>
  <c r="A65" i="105"/>
  <c r="F96" i="100"/>
  <c r="J93" i="100"/>
  <c r="F94" i="100"/>
  <c r="G93" i="100"/>
  <c r="I72" i="100"/>
  <c r="J72" i="100"/>
  <c r="K72" i="100"/>
  <c r="M71" i="100"/>
  <c r="M72" i="100"/>
  <c r="K76" i="100"/>
  <c r="M75" i="100"/>
  <c r="M76" i="100"/>
  <c r="K80" i="100"/>
  <c r="M79" i="100"/>
  <c r="M80" i="100"/>
  <c r="K84" i="100"/>
  <c r="M83" i="100"/>
  <c r="M84" i="100"/>
  <c r="K88" i="100"/>
  <c r="M87" i="100"/>
  <c r="M88" i="100"/>
  <c r="M91" i="100"/>
  <c r="M92" i="100"/>
  <c r="C74" i="100"/>
  <c r="C76" i="100"/>
  <c r="C78" i="100"/>
  <c r="C80" i="100"/>
  <c r="C82" i="100"/>
  <c r="C84" i="100"/>
  <c r="C86" i="100"/>
  <c r="C88" i="100"/>
  <c r="D96" i="100"/>
  <c r="K70" i="100"/>
  <c r="I69" i="100"/>
  <c r="E74" i="100"/>
  <c r="F75" i="100"/>
  <c r="G75" i="100"/>
  <c r="H75" i="100"/>
  <c r="I75" i="100"/>
  <c r="J75" i="100"/>
  <c r="K74" i="100"/>
  <c r="I73" i="100"/>
  <c r="E78" i="100"/>
  <c r="F79" i="100"/>
  <c r="G79" i="100"/>
  <c r="H79" i="100"/>
  <c r="I79" i="100"/>
  <c r="J79" i="100"/>
  <c r="K78" i="100"/>
  <c r="I77" i="100"/>
  <c r="E82" i="100"/>
  <c r="F83" i="100"/>
  <c r="G83" i="100"/>
  <c r="H83" i="100"/>
  <c r="I83" i="100"/>
  <c r="J83" i="100"/>
  <c r="K82" i="100"/>
  <c r="I81" i="100"/>
  <c r="E86" i="100"/>
  <c r="F87" i="100"/>
  <c r="G87" i="100"/>
  <c r="H87" i="100"/>
  <c r="I87" i="100"/>
  <c r="J87" i="100"/>
  <c r="K86" i="100"/>
  <c r="I85" i="100"/>
  <c r="M89" i="100"/>
  <c r="M85" i="100"/>
  <c r="M81" i="100"/>
  <c r="M77" i="100"/>
  <c r="M73" i="100"/>
  <c r="M69" i="100"/>
  <c r="M70" i="100"/>
  <c r="M74" i="100"/>
  <c r="M78" i="100"/>
  <c r="M82" i="100"/>
  <c r="M86" i="100"/>
  <c r="M90" i="100"/>
  <c r="D78" i="100"/>
  <c r="D86" i="100"/>
  <c r="A57" i="100"/>
  <c r="A61" i="100"/>
  <c r="A65" i="100"/>
  <c r="A69" i="100"/>
  <c r="A73" i="100"/>
  <c r="A77" i="100"/>
  <c r="A81" i="100"/>
  <c r="A85" i="100"/>
  <c r="O96" i="100"/>
  <c r="N96" i="100"/>
  <c r="O94" i="100"/>
  <c r="B95" i="100"/>
  <c r="N94" i="100"/>
  <c r="G94" i="100"/>
  <c r="H94" i="100"/>
  <c r="I94" i="100"/>
  <c r="J94" i="100"/>
  <c r="C93" i="100"/>
  <c r="B93" i="100"/>
  <c r="F68" i="100"/>
  <c r="J85" i="105"/>
  <c r="F86" i="105"/>
  <c r="G85" i="105"/>
  <c r="J81" i="105"/>
  <c r="F82" i="105"/>
  <c r="G81" i="105"/>
  <c r="K60" i="105"/>
  <c r="M59" i="105"/>
  <c r="M60" i="105"/>
  <c r="K64" i="105"/>
  <c r="M63" i="105"/>
  <c r="M64" i="105"/>
  <c r="K68" i="105"/>
  <c r="M67" i="105"/>
  <c r="M68" i="105"/>
  <c r="K72" i="105"/>
  <c r="M71" i="105"/>
  <c r="M72" i="105"/>
  <c r="C62" i="105"/>
  <c r="C64" i="105"/>
  <c r="C66" i="105"/>
  <c r="C68" i="105"/>
  <c r="C70" i="105"/>
  <c r="C72" i="105"/>
  <c r="O92" i="105"/>
  <c r="N92" i="105"/>
  <c r="D84" i="105"/>
  <c r="D88" i="105"/>
  <c r="K58" i="105"/>
  <c r="I57" i="105"/>
  <c r="E62" i="105"/>
  <c r="F63" i="105"/>
  <c r="G63" i="105"/>
  <c r="H63" i="105"/>
  <c r="I63" i="105"/>
  <c r="J63" i="105"/>
  <c r="K62" i="105"/>
  <c r="I61" i="105"/>
  <c r="E66" i="105"/>
  <c r="G67" i="105"/>
  <c r="H67" i="105"/>
  <c r="I67" i="105"/>
  <c r="J67" i="105"/>
  <c r="K66" i="105"/>
  <c r="I65" i="105"/>
  <c r="E70" i="105"/>
  <c r="F71" i="105"/>
  <c r="G71" i="105"/>
  <c r="H71" i="105"/>
  <c r="I71" i="105"/>
  <c r="J71" i="105"/>
  <c r="K70" i="105"/>
  <c r="I69" i="105"/>
  <c r="O90" i="105"/>
  <c r="N90" i="105"/>
  <c r="M69" i="105"/>
  <c r="M65" i="105"/>
  <c r="M61" i="105"/>
  <c r="M57" i="105"/>
  <c r="M58" i="105"/>
  <c r="M62" i="105"/>
  <c r="M66" i="105"/>
  <c r="M70" i="105"/>
  <c r="D70" i="105"/>
  <c r="A53" i="105"/>
  <c r="A57" i="105"/>
  <c r="O88" i="105"/>
  <c r="N88" i="105"/>
  <c r="O86" i="105"/>
  <c r="B87" i="105"/>
  <c r="N86" i="105"/>
  <c r="G86" i="105"/>
  <c r="H86" i="105"/>
  <c r="I86" i="105"/>
  <c r="J86" i="105"/>
  <c r="C85" i="105"/>
  <c r="B85" i="105"/>
  <c r="O84" i="105"/>
  <c r="N84" i="105"/>
  <c r="O82" i="105"/>
  <c r="B83" i="105"/>
  <c r="N82" i="105"/>
  <c r="G82" i="105"/>
  <c r="H82" i="105"/>
  <c r="I82" i="105"/>
  <c r="J82" i="105"/>
  <c r="C81" i="105"/>
  <c r="B81" i="105"/>
  <c r="J85" i="100"/>
  <c r="F86" i="100"/>
  <c r="G85" i="100"/>
  <c r="J81" i="100"/>
  <c r="F82" i="100"/>
  <c r="G81" i="100"/>
  <c r="K60" i="100"/>
  <c r="M59" i="100"/>
  <c r="M60" i="100"/>
  <c r="M64" i="100"/>
  <c r="K68" i="100"/>
  <c r="M67" i="100"/>
  <c r="M68" i="100"/>
  <c r="C62" i="100"/>
  <c r="C64" i="100"/>
  <c r="C68" i="100"/>
  <c r="C72" i="100"/>
  <c r="O92" i="100"/>
  <c r="N92" i="100"/>
  <c r="D84" i="100"/>
  <c r="D88" i="100"/>
  <c r="K58" i="100"/>
  <c r="I57" i="100"/>
  <c r="E62" i="100"/>
  <c r="F63" i="100"/>
  <c r="G63" i="100"/>
  <c r="H63" i="100"/>
  <c r="I63" i="100"/>
  <c r="J63" i="100"/>
  <c r="K62" i="100"/>
  <c r="I61" i="100"/>
  <c r="E66" i="100"/>
  <c r="F67" i="100"/>
  <c r="G67" i="100"/>
  <c r="H67" i="100"/>
  <c r="I67" i="100"/>
  <c r="J67" i="100"/>
  <c r="K66" i="100"/>
  <c r="I65" i="100"/>
  <c r="E70" i="100"/>
  <c r="F71" i="100"/>
  <c r="G71" i="100"/>
  <c r="H71" i="100"/>
  <c r="I71" i="100"/>
  <c r="J71" i="100"/>
  <c r="O90" i="100"/>
  <c r="N90" i="100"/>
  <c r="M65" i="100"/>
  <c r="M61" i="100"/>
  <c r="M57" i="100"/>
  <c r="M58" i="100"/>
  <c r="M62" i="100"/>
  <c r="M66" i="100"/>
  <c r="A53" i="100"/>
  <c r="O88" i="100"/>
  <c r="N88" i="100"/>
  <c r="O86" i="100"/>
  <c r="B87" i="100"/>
  <c r="N86" i="100"/>
  <c r="G86" i="100"/>
  <c r="H86" i="100"/>
  <c r="I86" i="100"/>
  <c r="J86" i="100"/>
  <c r="C85" i="100"/>
  <c r="B85" i="100"/>
  <c r="O84" i="100"/>
  <c r="N84" i="100"/>
  <c r="O82" i="100"/>
  <c r="B83" i="100"/>
  <c r="N82" i="100"/>
  <c r="G82" i="100"/>
  <c r="H82" i="100"/>
  <c r="I82" i="100"/>
  <c r="J82" i="100"/>
  <c r="C81" i="100"/>
  <c r="B81" i="100"/>
  <c r="F52" i="100"/>
  <c r="D50" i="100"/>
  <c r="I45" i="100"/>
  <c r="J73" i="100"/>
  <c r="F74" i="100"/>
  <c r="G73" i="100"/>
  <c r="J69" i="100"/>
  <c r="F70" i="100"/>
  <c r="G69" i="100"/>
  <c r="J65" i="100"/>
  <c r="F66" i="100"/>
  <c r="G65" i="100"/>
  <c r="K52" i="100"/>
  <c r="M51" i="100"/>
  <c r="M52" i="100"/>
  <c r="M56" i="100"/>
  <c r="J77" i="100"/>
  <c r="F78" i="100"/>
  <c r="G77" i="100"/>
  <c r="C50" i="100"/>
  <c r="C52" i="100"/>
  <c r="C54" i="100"/>
  <c r="C56" i="100"/>
  <c r="C60" i="100"/>
  <c r="O80" i="100"/>
  <c r="N80" i="100"/>
  <c r="D68" i="100"/>
  <c r="D72" i="100"/>
  <c r="D76" i="100"/>
  <c r="D80" i="100"/>
  <c r="C70" i="100"/>
  <c r="C66" i="100"/>
  <c r="E50" i="100"/>
  <c r="F51" i="100"/>
  <c r="G51" i="100"/>
  <c r="H51" i="100"/>
  <c r="I51" i="100"/>
  <c r="J51" i="100"/>
  <c r="K50" i="100"/>
  <c r="I49" i="100"/>
  <c r="E54" i="100"/>
  <c r="F55" i="100"/>
  <c r="G55" i="100"/>
  <c r="H55" i="100"/>
  <c r="I55" i="100"/>
  <c r="J55" i="100"/>
  <c r="K54" i="100"/>
  <c r="I53" i="100"/>
  <c r="E58" i="100"/>
  <c r="F59" i="100"/>
  <c r="G59" i="100"/>
  <c r="H59" i="100"/>
  <c r="I59" i="100"/>
  <c r="J59" i="100"/>
  <c r="O78" i="100"/>
  <c r="B79" i="100"/>
  <c r="N78" i="100"/>
  <c r="M53" i="100"/>
  <c r="M49" i="100"/>
  <c r="M50" i="100"/>
  <c r="M54" i="100"/>
  <c r="G78" i="100"/>
  <c r="H78" i="100"/>
  <c r="I78" i="100"/>
  <c r="J78" i="100"/>
  <c r="D54" i="100"/>
  <c r="D58" i="100"/>
  <c r="D62" i="100"/>
  <c r="D66" i="100"/>
  <c r="D70" i="100"/>
  <c r="C77" i="100"/>
  <c r="B77" i="100"/>
  <c r="O76" i="100"/>
  <c r="N76" i="100"/>
  <c r="O74" i="100"/>
  <c r="B75" i="100"/>
  <c r="N74" i="100"/>
  <c r="G74" i="100"/>
  <c r="H74" i="100"/>
  <c r="I74" i="100"/>
  <c r="J74" i="100"/>
  <c r="C73" i="100"/>
  <c r="B73" i="100"/>
  <c r="O72" i="100"/>
  <c r="N72" i="100"/>
  <c r="O70" i="100"/>
  <c r="B71" i="100"/>
  <c r="N70" i="100"/>
  <c r="G70" i="100"/>
  <c r="H70" i="100"/>
  <c r="I70" i="100"/>
  <c r="J70" i="100"/>
  <c r="C69" i="100"/>
  <c r="B69" i="100"/>
  <c r="A45" i="100"/>
  <c r="A49" i="100"/>
  <c r="O68" i="100"/>
  <c r="N68" i="100"/>
  <c r="O66" i="100"/>
  <c r="B67" i="100"/>
  <c r="N66" i="100"/>
  <c r="G66" i="100"/>
  <c r="H66" i="100"/>
  <c r="I66" i="100"/>
  <c r="J66" i="100"/>
  <c r="C65" i="100"/>
  <c r="B65" i="100"/>
  <c r="J73" i="105"/>
  <c r="F74" i="105"/>
  <c r="G73" i="105"/>
  <c r="J69" i="105"/>
  <c r="F70" i="105"/>
  <c r="G69" i="105"/>
  <c r="J65" i="105"/>
  <c r="F66" i="105"/>
  <c r="G65" i="105"/>
  <c r="K52" i="105"/>
  <c r="M51" i="105"/>
  <c r="M52" i="105"/>
  <c r="K56" i="105"/>
  <c r="M55" i="105"/>
  <c r="M56" i="105"/>
  <c r="J77" i="105"/>
  <c r="F78" i="105"/>
  <c r="G77" i="105"/>
  <c r="C50" i="105"/>
  <c r="C52" i="105"/>
  <c r="C56" i="105"/>
  <c r="C60" i="105"/>
  <c r="O80" i="105"/>
  <c r="N80" i="105"/>
  <c r="D68" i="105"/>
  <c r="D72" i="105"/>
  <c r="D76" i="105"/>
  <c r="D80" i="105"/>
  <c r="E50" i="105"/>
  <c r="F51" i="105"/>
  <c r="G51" i="105"/>
  <c r="H51" i="105"/>
  <c r="I51" i="105"/>
  <c r="J51" i="105"/>
  <c r="K50" i="105"/>
  <c r="I49" i="105"/>
  <c r="E54" i="105"/>
  <c r="F55" i="105"/>
  <c r="G55" i="105"/>
  <c r="H55" i="105"/>
  <c r="I55" i="105"/>
  <c r="J55" i="105"/>
  <c r="K54" i="105"/>
  <c r="I53" i="105"/>
  <c r="E58" i="105"/>
  <c r="F59" i="105"/>
  <c r="G59" i="105"/>
  <c r="H59" i="105"/>
  <c r="I59" i="105"/>
  <c r="J59" i="105"/>
  <c r="O78" i="105"/>
  <c r="B79" i="105"/>
  <c r="N78" i="105"/>
  <c r="M53" i="105"/>
  <c r="M49" i="105"/>
  <c r="M50" i="105"/>
  <c r="M54" i="105"/>
  <c r="G78" i="105"/>
  <c r="H78" i="105"/>
  <c r="I78" i="105"/>
  <c r="J78" i="105"/>
  <c r="C77" i="105"/>
  <c r="B77" i="105"/>
  <c r="O76" i="105"/>
  <c r="N76" i="105"/>
  <c r="O74" i="105"/>
  <c r="B75" i="105"/>
  <c r="N74" i="105"/>
  <c r="G74" i="105"/>
  <c r="H74" i="105"/>
  <c r="I74" i="105"/>
  <c r="J74" i="105"/>
  <c r="C73" i="105"/>
  <c r="B73" i="105"/>
  <c r="O72" i="105"/>
  <c r="N72" i="105"/>
  <c r="O70" i="105"/>
  <c r="B71" i="105"/>
  <c r="N70" i="105"/>
  <c r="G70" i="105"/>
  <c r="H70" i="105"/>
  <c r="I70" i="105"/>
  <c r="J70" i="105"/>
  <c r="C69" i="105"/>
  <c r="B69" i="105"/>
  <c r="A45" i="105"/>
  <c r="A49" i="105"/>
  <c r="O68" i="105"/>
  <c r="N68" i="105"/>
  <c r="O66" i="105"/>
  <c r="B67" i="105"/>
  <c r="N66" i="105"/>
  <c r="G66" i="105"/>
  <c r="H66" i="105"/>
  <c r="I66" i="105"/>
  <c r="J66" i="105"/>
  <c r="C65" i="105"/>
  <c r="B65" i="105"/>
  <c r="F48" i="100"/>
  <c r="F40" i="100"/>
  <c r="J43" i="105"/>
  <c r="F36" i="100"/>
  <c r="K34" i="100"/>
  <c r="K36" i="100"/>
  <c r="I33" i="100"/>
  <c r="C38" i="100"/>
  <c r="E38" i="100"/>
  <c r="K32" i="100"/>
  <c r="M31" i="100"/>
  <c r="M32" i="100"/>
  <c r="M35" i="100"/>
  <c r="M36" i="100"/>
  <c r="K40" i="100"/>
  <c r="M39" i="100"/>
  <c r="M40" i="100"/>
  <c r="F44" i="100"/>
  <c r="K44" i="100"/>
  <c r="M43" i="100"/>
  <c r="M44" i="100"/>
  <c r="K48" i="100"/>
  <c r="M47" i="100"/>
  <c r="M48" i="100"/>
  <c r="A37" i="100"/>
  <c r="A41" i="100"/>
  <c r="A29" i="100"/>
  <c r="A33" i="100"/>
  <c r="A25" i="100"/>
  <c r="A21" i="100"/>
  <c r="A17" i="100"/>
  <c r="A13" i="100"/>
  <c r="A9" i="100"/>
  <c r="A5" i="100"/>
  <c r="A21" i="105"/>
  <c r="A25" i="105"/>
  <c r="K32" i="105"/>
  <c r="M31" i="105"/>
  <c r="M32" i="105"/>
  <c r="A29" i="105"/>
  <c r="A5" i="105"/>
  <c r="A9" i="105"/>
  <c r="A13" i="105"/>
  <c r="A17" i="105"/>
  <c r="H36" i="105"/>
  <c r="J36" i="105"/>
  <c r="K36" i="105"/>
  <c r="M35" i="105"/>
  <c r="M36" i="105"/>
  <c r="A33" i="105"/>
  <c r="K40" i="105"/>
  <c r="M39" i="105"/>
  <c r="M40" i="105"/>
  <c r="K44" i="105"/>
  <c r="M43" i="105"/>
  <c r="M44" i="105"/>
  <c r="K48" i="105"/>
  <c r="M47" i="105"/>
  <c r="M48" i="105"/>
  <c r="A37" i="105"/>
  <c r="A41" i="105"/>
  <c r="S6" i="100"/>
  <c r="G30" i="100"/>
  <c r="C30" i="100"/>
  <c r="E30" i="100"/>
  <c r="F31" i="100"/>
  <c r="G31" i="100"/>
  <c r="G33" i="100"/>
  <c r="F28" i="100"/>
  <c r="H28" i="100"/>
  <c r="I16" i="100"/>
  <c r="F24" i="100"/>
  <c r="J16" i="105"/>
  <c r="J3" i="105"/>
  <c r="J57" i="105"/>
  <c r="F58" i="105"/>
  <c r="G57" i="105"/>
  <c r="J53" i="105"/>
  <c r="F54" i="105"/>
  <c r="G53" i="105"/>
  <c r="J49" i="105"/>
  <c r="F50" i="105"/>
  <c r="G49" i="105"/>
  <c r="J45" i="105"/>
  <c r="F46" i="105"/>
  <c r="G45" i="105"/>
  <c r="J41" i="105"/>
  <c r="F42" i="105"/>
  <c r="G41" i="105"/>
  <c r="F44" i="105"/>
  <c r="J37" i="105"/>
  <c r="F38" i="105"/>
  <c r="G37" i="105"/>
  <c r="J33" i="105"/>
  <c r="F34" i="105"/>
  <c r="G33" i="105"/>
  <c r="F36" i="105"/>
  <c r="J29" i="105"/>
  <c r="F30" i="105"/>
  <c r="G29" i="105"/>
  <c r="J25" i="105"/>
  <c r="F26" i="105"/>
  <c r="G25" i="105"/>
  <c r="H28" i="105"/>
  <c r="I28" i="105"/>
  <c r="J28" i="105"/>
  <c r="K28" i="105"/>
  <c r="M27" i="105"/>
  <c r="J21" i="105"/>
  <c r="F22" i="105"/>
  <c r="G21" i="105"/>
  <c r="K24" i="105"/>
  <c r="M23" i="105"/>
  <c r="J17" i="105"/>
  <c r="F18" i="105"/>
  <c r="G17" i="105"/>
  <c r="K20" i="105"/>
  <c r="M19" i="105"/>
  <c r="J13" i="105"/>
  <c r="F14" i="105"/>
  <c r="G13" i="105"/>
  <c r="H16" i="105"/>
  <c r="I16" i="105"/>
  <c r="K16" i="105"/>
  <c r="M15" i="105"/>
  <c r="J9" i="105"/>
  <c r="F10" i="105"/>
  <c r="G9" i="105"/>
  <c r="K12" i="105"/>
  <c r="M11" i="105"/>
  <c r="J5" i="105"/>
  <c r="F6" i="105"/>
  <c r="G5" i="105"/>
  <c r="K8" i="105"/>
  <c r="M7" i="105"/>
  <c r="M8" i="105"/>
  <c r="M12" i="105"/>
  <c r="M16" i="105"/>
  <c r="M20" i="105"/>
  <c r="M24" i="105"/>
  <c r="M28" i="105"/>
  <c r="J61" i="105"/>
  <c r="F62" i="105"/>
  <c r="G61" i="105"/>
  <c r="C8" i="105"/>
  <c r="C12" i="105"/>
  <c r="C16" i="105"/>
  <c r="C18" i="105"/>
  <c r="C20" i="105"/>
  <c r="C24" i="105"/>
  <c r="C26" i="105"/>
  <c r="C28" i="105"/>
  <c r="C32" i="105"/>
  <c r="C34" i="105"/>
  <c r="C36" i="105"/>
  <c r="C38" i="105"/>
  <c r="C40" i="105"/>
  <c r="C44" i="105"/>
  <c r="C46" i="105"/>
  <c r="C48" i="105"/>
  <c r="O64" i="105"/>
  <c r="N64" i="105"/>
  <c r="D12" i="105"/>
  <c r="D16" i="105"/>
  <c r="D20" i="105"/>
  <c r="D24" i="105"/>
  <c r="D28" i="105"/>
  <c r="D32" i="105"/>
  <c r="D36" i="105"/>
  <c r="D40" i="105"/>
  <c r="D44" i="105"/>
  <c r="D48" i="105"/>
  <c r="D52" i="105"/>
  <c r="D56" i="105"/>
  <c r="D60" i="105"/>
  <c r="D64" i="105"/>
  <c r="C58" i="105"/>
  <c r="C54" i="105"/>
  <c r="C42" i="105"/>
  <c r="C30" i="105"/>
  <c r="C22" i="105"/>
  <c r="C14" i="105"/>
  <c r="C10" i="105"/>
  <c r="C6" i="105"/>
  <c r="E6" i="105"/>
  <c r="F7" i="105"/>
  <c r="G7" i="105"/>
  <c r="H7" i="105"/>
  <c r="I7" i="105"/>
  <c r="J7" i="105"/>
  <c r="K6" i="105"/>
  <c r="I5" i="105"/>
  <c r="E10" i="105"/>
  <c r="F11" i="105"/>
  <c r="G11" i="105"/>
  <c r="H11" i="105"/>
  <c r="I11" i="105"/>
  <c r="J11" i="105"/>
  <c r="K10" i="105"/>
  <c r="I9" i="105"/>
  <c r="E14" i="105"/>
  <c r="F15" i="105"/>
  <c r="G15" i="105"/>
  <c r="H15" i="105"/>
  <c r="I15" i="105"/>
  <c r="J15" i="105"/>
  <c r="K14" i="105"/>
  <c r="I13" i="105"/>
  <c r="E18" i="105"/>
  <c r="F19" i="105"/>
  <c r="G19" i="105"/>
  <c r="H19" i="105"/>
  <c r="I19" i="105"/>
  <c r="J19" i="105"/>
  <c r="K18" i="105"/>
  <c r="I17" i="105"/>
  <c r="E22" i="105"/>
  <c r="F23" i="105"/>
  <c r="G23" i="105"/>
  <c r="H23" i="105"/>
  <c r="I23" i="105"/>
  <c r="J23" i="105"/>
  <c r="K22" i="105"/>
  <c r="I21" i="105"/>
  <c r="E26" i="105"/>
  <c r="F27" i="105"/>
  <c r="G27" i="105"/>
  <c r="H27" i="105"/>
  <c r="I27" i="105"/>
  <c r="J27" i="105"/>
  <c r="K26" i="105"/>
  <c r="I25" i="105"/>
  <c r="E30" i="105"/>
  <c r="F31" i="105"/>
  <c r="G31" i="105"/>
  <c r="H31" i="105"/>
  <c r="I31" i="105"/>
  <c r="J31" i="105"/>
  <c r="K30" i="105"/>
  <c r="I29" i="105"/>
  <c r="E34" i="105"/>
  <c r="F35" i="105"/>
  <c r="G35" i="105"/>
  <c r="H35" i="105"/>
  <c r="I35" i="105"/>
  <c r="J35" i="105"/>
  <c r="K34" i="105"/>
  <c r="I33" i="105"/>
  <c r="E38" i="105"/>
  <c r="F39" i="105"/>
  <c r="G39" i="105"/>
  <c r="H39" i="105"/>
  <c r="I39" i="105"/>
  <c r="J39" i="105"/>
  <c r="K38" i="105"/>
  <c r="I37" i="105"/>
  <c r="E42" i="105"/>
  <c r="H43" i="105"/>
  <c r="I43" i="105"/>
  <c r="K42" i="105"/>
  <c r="I41" i="105"/>
  <c r="E46" i="105"/>
  <c r="G47" i="105"/>
  <c r="H47" i="105"/>
  <c r="I47" i="105"/>
  <c r="J47" i="105"/>
  <c r="K46" i="105"/>
  <c r="I45" i="105"/>
  <c r="O62" i="105"/>
  <c r="B63" i="105"/>
  <c r="N62" i="105"/>
  <c r="M45" i="105"/>
  <c r="M41" i="105"/>
  <c r="M37" i="105"/>
  <c r="M33" i="105"/>
  <c r="M29" i="105"/>
  <c r="M25" i="105"/>
  <c r="M21" i="105"/>
  <c r="M17" i="105"/>
  <c r="M13" i="105"/>
  <c r="M9" i="105"/>
  <c r="M5" i="105"/>
  <c r="M6" i="105"/>
  <c r="M10" i="105"/>
  <c r="M14" i="105"/>
  <c r="M18" i="105"/>
  <c r="M22" i="105"/>
  <c r="M26" i="105"/>
  <c r="M30" i="105"/>
  <c r="M34" i="105"/>
  <c r="M38" i="105"/>
  <c r="M42" i="105"/>
  <c r="M46" i="105"/>
  <c r="G62" i="105"/>
  <c r="H62" i="105"/>
  <c r="I62" i="105"/>
  <c r="J62" i="105"/>
  <c r="D6" i="105"/>
  <c r="D10" i="105"/>
  <c r="D14" i="105"/>
  <c r="D18" i="105"/>
  <c r="D22" i="105"/>
  <c r="D26" i="105"/>
  <c r="D30" i="105"/>
  <c r="D34" i="105"/>
  <c r="D38" i="105"/>
  <c r="D42" i="105"/>
  <c r="D46" i="105"/>
  <c r="D50" i="105"/>
  <c r="D54" i="105"/>
  <c r="D58" i="105"/>
  <c r="D62" i="105"/>
  <c r="C61" i="105"/>
  <c r="B61" i="105"/>
  <c r="O60" i="105"/>
  <c r="N60" i="105"/>
  <c r="O58" i="105"/>
  <c r="B59" i="105"/>
  <c r="N58" i="105"/>
  <c r="G58" i="105"/>
  <c r="H58" i="105"/>
  <c r="I58" i="105"/>
  <c r="J58" i="105"/>
  <c r="C57" i="105"/>
  <c r="B57" i="105"/>
  <c r="O56" i="105"/>
  <c r="N56" i="105"/>
  <c r="O54" i="105"/>
  <c r="B55" i="105"/>
  <c r="N54" i="105"/>
  <c r="G54" i="105"/>
  <c r="H54" i="105"/>
  <c r="I54" i="105"/>
  <c r="J54" i="105"/>
  <c r="C53" i="105"/>
  <c r="B53" i="105"/>
  <c r="O52" i="105"/>
  <c r="N52" i="105"/>
  <c r="O50" i="105"/>
  <c r="B51" i="105"/>
  <c r="N50" i="105"/>
  <c r="G50" i="105"/>
  <c r="H50" i="105"/>
  <c r="I50" i="105"/>
  <c r="J50" i="105"/>
  <c r="C49" i="105"/>
  <c r="B49" i="105"/>
  <c r="O48" i="105"/>
  <c r="N48" i="105"/>
  <c r="O46" i="105"/>
  <c r="B47" i="105"/>
  <c r="N46" i="105"/>
  <c r="G46" i="105"/>
  <c r="H46" i="105"/>
  <c r="I46" i="105"/>
  <c r="J46" i="105"/>
  <c r="C45" i="105"/>
  <c r="B45" i="105"/>
  <c r="O44" i="105"/>
  <c r="N44" i="105"/>
  <c r="O42" i="105"/>
  <c r="B43" i="105"/>
  <c r="N42" i="105"/>
  <c r="G42" i="105"/>
  <c r="H42" i="105"/>
  <c r="I42" i="105"/>
  <c r="J42" i="105"/>
  <c r="C41" i="105"/>
  <c r="B41" i="105"/>
  <c r="O40" i="105"/>
  <c r="N40" i="105"/>
  <c r="O38" i="105"/>
  <c r="B39" i="105"/>
  <c r="N38" i="105"/>
  <c r="G38" i="105"/>
  <c r="H38" i="105"/>
  <c r="I38" i="105"/>
  <c r="J38" i="105"/>
  <c r="C37" i="105"/>
  <c r="B37" i="105"/>
  <c r="O36" i="105"/>
  <c r="N36" i="105"/>
  <c r="O34" i="105"/>
  <c r="B35" i="105"/>
  <c r="N34" i="105"/>
  <c r="G34" i="105"/>
  <c r="H34" i="105"/>
  <c r="I34" i="105"/>
  <c r="J34" i="105"/>
  <c r="C33" i="105"/>
  <c r="B33" i="105"/>
  <c r="O32" i="105"/>
  <c r="N32" i="105"/>
  <c r="O30" i="105"/>
  <c r="B31" i="105"/>
  <c r="N30" i="105"/>
  <c r="G30" i="105"/>
  <c r="H30" i="105"/>
  <c r="I30" i="105"/>
  <c r="J30" i="105"/>
  <c r="C29" i="105"/>
  <c r="B29" i="105"/>
  <c r="O28" i="105"/>
  <c r="N28" i="105"/>
  <c r="O26" i="105"/>
  <c r="B27" i="105"/>
  <c r="N26" i="105"/>
  <c r="G26" i="105"/>
  <c r="H26" i="105"/>
  <c r="I26" i="105"/>
  <c r="J26" i="105"/>
  <c r="C25" i="105"/>
  <c r="B25" i="105"/>
  <c r="O24" i="105"/>
  <c r="N24" i="105"/>
  <c r="O22" i="105"/>
  <c r="B23" i="105"/>
  <c r="N22" i="105"/>
  <c r="G22" i="105"/>
  <c r="H22" i="105"/>
  <c r="I22" i="105"/>
  <c r="J22" i="105"/>
  <c r="C21" i="105"/>
  <c r="B21" i="105"/>
  <c r="O20" i="105"/>
  <c r="N20" i="105"/>
  <c r="O18" i="105"/>
  <c r="B19" i="105"/>
  <c r="N18" i="105"/>
  <c r="G18" i="105"/>
  <c r="H18" i="105"/>
  <c r="I18" i="105"/>
  <c r="J18" i="105"/>
  <c r="C17" i="105"/>
  <c r="B17" i="105"/>
  <c r="O16" i="105"/>
  <c r="N16" i="105"/>
  <c r="O14" i="105"/>
  <c r="B15" i="105"/>
  <c r="N14" i="105"/>
  <c r="G14" i="105"/>
  <c r="H14" i="105"/>
  <c r="I14" i="105"/>
  <c r="J14" i="105"/>
  <c r="C13" i="105"/>
  <c r="B13" i="105"/>
  <c r="O12" i="105"/>
  <c r="N12" i="105"/>
  <c r="O10" i="105"/>
  <c r="B11" i="105"/>
  <c r="N10" i="105"/>
  <c r="G10" i="105"/>
  <c r="H10" i="105"/>
  <c r="I10" i="105"/>
  <c r="J10" i="105"/>
  <c r="C9" i="105"/>
  <c r="B9" i="105"/>
  <c r="S8" i="105"/>
  <c r="O8" i="105"/>
  <c r="N8" i="105"/>
  <c r="S7" i="105"/>
  <c r="O6" i="105"/>
  <c r="B7" i="105"/>
  <c r="N6" i="105"/>
  <c r="G6" i="105"/>
  <c r="H6" i="105"/>
  <c r="I6" i="105"/>
  <c r="J6" i="105"/>
  <c r="C5" i="105"/>
  <c r="B5" i="105"/>
  <c r="A4" i="105"/>
  <c r="F3" i="105"/>
  <c r="J57" i="100"/>
  <c r="F58" i="100"/>
  <c r="G57" i="100"/>
  <c r="F60" i="100"/>
  <c r="J53" i="100"/>
  <c r="F54" i="100"/>
  <c r="G53" i="100"/>
  <c r="F56" i="100"/>
  <c r="G56" i="100"/>
  <c r="H56" i="100"/>
  <c r="I56" i="100"/>
  <c r="J56" i="100"/>
  <c r="K56" i="100"/>
  <c r="M55" i="100"/>
  <c r="J49" i="100"/>
  <c r="F50" i="100"/>
  <c r="G49" i="100"/>
  <c r="J45" i="100"/>
  <c r="F46" i="100"/>
  <c r="G45" i="100"/>
  <c r="J41" i="100"/>
  <c r="F42" i="100"/>
  <c r="G41" i="100"/>
  <c r="J37" i="100"/>
  <c r="F38" i="100"/>
  <c r="G37" i="100"/>
  <c r="J33" i="100"/>
  <c r="F34" i="100"/>
  <c r="J29" i="100"/>
  <c r="F30" i="100"/>
  <c r="G29" i="100"/>
  <c r="F32" i="100"/>
  <c r="J25" i="100"/>
  <c r="F26" i="100"/>
  <c r="G25" i="100"/>
  <c r="K28" i="100"/>
  <c r="M27" i="100"/>
  <c r="J21" i="100"/>
  <c r="F22" i="100"/>
  <c r="G21" i="100"/>
  <c r="K24" i="100"/>
  <c r="M23" i="100"/>
  <c r="J17" i="100"/>
  <c r="F18" i="100"/>
  <c r="G17" i="100"/>
  <c r="F20" i="100"/>
  <c r="G20" i="100"/>
  <c r="H20" i="100"/>
  <c r="I20" i="100"/>
  <c r="J20" i="100"/>
  <c r="K20" i="100"/>
  <c r="M19" i="100"/>
  <c r="J13" i="100"/>
  <c r="F14" i="100"/>
  <c r="G13" i="100"/>
  <c r="F16" i="100"/>
  <c r="K16" i="100"/>
  <c r="M15" i="100"/>
  <c r="J9" i="100"/>
  <c r="F10" i="100"/>
  <c r="G9" i="100"/>
  <c r="F12" i="100"/>
  <c r="G12" i="100"/>
  <c r="H12" i="100"/>
  <c r="K12" i="100"/>
  <c r="M11" i="100"/>
  <c r="J5" i="100"/>
  <c r="F6" i="100"/>
  <c r="G5" i="100"/>
  <c r="F8" i="100"/>
  <c r="G8" i="100"/>
  <c r="K8" i="100"/>
  <c r="M7" i="100"/>
  <c r="M8" i="100"/>
  <c r="M12" i="100"/>
  <c r="M16" i="100"/>
  <c r="M20" i="100"/>
  <c r="M24" i="100"/>
  <c r="M28" i="100"/>
  <c r="J61" i="100"/>
  <c r="F62" i="100"/>
  <c r="G61" i="100"/>
  <c r="F64" i="100"/>
  <c r="G64" i="100"/>
  <c r="H64" i="100"/>
  <c r="I64" i="100"/>
  <c r="J64" i="100"/>
  <c r="K64" i="100"/>
  <c r="C8" i="100"/>
  <c r="C12" i="100"/>
  <c r="C16" i="100"/>
  <c r="C20" i="100"/>
  <c r="C22" i="100"/>
  <c r="C24" i="100"/>
  <c r="C26" i="100"/>
  <c r="C28" i="100"/>
  <c r="C32" i="100"/>
  <c r="C36" i="100"/>
  <c r="C40" i="100"/>
  <c r="C44" i="100"/>
  <c r="C48" i="100"/>
  <c r="O64" i="100"/>
  <c r="N64" i="100"/>
  <c r="M63" i="100"/>
  <c r="D12" i="100"/>
  <c r="D16" i="100"/>
  <c r="D20" i="100"/>
  <c r="D24" i="100"/>
  <c r="D28" i="100"/>
  <c r="D32" i="100"/>
  <c r="D36" i="100"/>
  <c r="D40" i="100"/>
  <c r="D44" i="100"/>
  <c r="D48" i="100"/>
  <c r="D52" i="100"/>
  <c r="D56" i="100"/>
  <c r="D60" i="100"/>
  <c r="D64" i="100"/>
  <c r="C58" i="100"/>
  <c r="C46" i="100"/>
  <c r="C42" i="100"/>
  <c r="C34" i="100"/>
  <c r="C18" i="100"/>
  <c r="C14" i="100"/>
  <c r="C10" i="100"/>
  <c r="C6" i="100"/>
  <c r="E6" i="100"/>
  <c r="F7" i="100"/>
  <c r="G7" i="100"/>
  <c r="H7" i="100"/>
  <c r="I7" i="100"/>
  <c r="J7" i="100"/>
  <c r="K6" i="100"/>
  <c r="I5" i="100"/>
  <c r="E10" i="100"/>
  <c r="F11" i="100"/>
  <c r="G11" i="100"/>
  <c r="H11" i="100"/>
  <c r="I11" i="100"/>
  <c r="J11" i="100"/>
  <c r="K10" i="100"/>
  <c r="I9" i="100"/>
  <c r="E14" i="100"/>
  <c r="F15" i="100"/>
  <c r="G15" i="100"/>
  <c r="H15" i="100"/>
  <c r="I15" i="100"/>
  <c r="J15" i="100"/>
  <c r="K14" i="100"/>
  <c r="I13" i="100"/>
  <c r="E18" i="100"/>
  <c r="F19" i="100"/>
  <c r="G19" i="100"/>
  <c r="H19" i="100"/>
  <c r="I19" i="100"/>
  <c r="J19" i="100"/>
  <c r="K18" i="100"/>
  <c r="I17" i="100"/>
  <c r="E22" i="100"/>
  <c r="F23" i="100"/>
  <c r="G23" i="100"/>
  <c r="H23" i="100"/>
  <c r="I23" i="100"/>
  <c r="J23" i="100"/>
  <c r="K22" i="100"/>
  <c r="I21" i="100"/>
  <c r="E26" i="100"/>
  <c r="F27" i="100"/>
  <c r="G27" i="100"/>
  <c r="H27" i="100"/>
  <c r="I27" i="100"/>
  <c r="J27" i="100"/>
  <c r="K26" i="100"/>
  <c r="I25" i="100"/>
  <c r="H31" i="100"/>
  <c r="I31" i="100"/>
  <c r="J31" i="100"/>
  <c r="K30" i="100"/>
  <c r="I29" i="100"/>
  <c r="E34" i="100"/>
  <c r="F35" i="100"/>
  <c r="G35" i="100"/>
  <c r="H35" i="100"/>
  <c r="I35" i="100"/>
  <c r="J35" i="100"/>
  <c r="F39" i="100"/>
  <c r="G39" i="100"/>
  <c r="H39" i="100"/>
  <c r="I39" i="100"/>
  <c r="J39" i="100"/>
  <c r="K38" i="100"/>
  <c r="I37" i="100"/>
  <c r="F43" i="100"/>
  <c r="H43" i="100"/>
  <c r="I43" i="100"/>
  <c r="J43" i="100"/>
  <c r="K42" i="100"/>
  <c r="I41" i="100"/>
  <c r="E46" i="100"/>
  <c r="G47" i="100"/>
  <c r="H47" i="100"/>
  <c r="I47" i="100"/>
  <c r="J47" i="100"/>
  <c r="K46" i="100"/>
  <c r="O62" i="100"/>
  <c r="B63" i="100"/>
  <c r="N62" i="100"/>
  <c r="M45" i="100"/>
  <c r="M41" i="100"/>
  <c r="M37" i="100"/>
  <c r="M33" i="100"/>
  <c r="M29" i="100"/>
  <c r="M25" i="100"/>
  <c r="M21" i="100"/>
  <c r="M17" i="100"/>
  <c r="M13" i="100"/>
  <c r="M9" i="100"/>
  <c r="M5" i="100"/>
  <c r="M6" i="100"/>
  <c r="M10" i="100"/>
  <c r="M14" i="100"/>
  <c r="M18" i="100"/>
  <c r="M22" i="100"/>
  <c r="M26" i="100"/>
  <c r="M30" i="100"/>
  <c r="M34" i="100"/>
  <c r="M38" i="100"/>
  <c r="M42" i="100"/>
  <c r="M46" i="100"/>
  <c r="G62" i="100"/>
  <c r="H62" i="100"/>
  <c r="I62" i="100"/>
  <c r="J62" i="100"/>
  <c r="D6" i="100"/>
  <c r="D10" i="100"/>
  <c r="D14" i="100"/>
  <c r="D18" i="100"/>
  <c r="D22" i="100"/>
  <c r="D26" i="100"/>
  <c r="D30" i="100"/>
  <c r="D34" i="100"/>
  <c r="D38" i="100"/>
  <c r="D46" i="100"/>
  <c r="C61" i="100"/>
  <c r="B61" i="100"/>
  <c r="S5" i="100"/>
  <c r="O60" i="100"/>
  <c r="N60" i="100"/>
  <c r="O58" i="100"/>
  <c r="B59" i="100"/>
  <c r="N58" i="100"/>
  <c r="G58" i="100"/>
  <c r="H58" i="100"/>
  <c r="I58" i="100"/>
  <c r="J58" i="100"/>
  <c r="C57" i="100"/>
  <c r="B57" i="100"/>
  <c r="O56" i="100"/>
  <c r="N56" i="100"/>
  <c r="O54" i="100"/>
  <c r="B55" i="100"/>
  <c r="N54" i="100"/>
  <c r="G54" i="100"/>
  <c r="H54" i="100"/>
  <c r="I54" i="100"/>
  <c r="J54" i="100"/>
  <c r="C53" i="100"/>
  <c r="B53" i="100"/>
  <c r="O52" i="100"/>
  <c r="N52" i="100"/>
  <c r="O50" i="100"/>
  <c r="B51" i="100"/>
  <c r="N50" i="100"/>
  <c r="G50" i="100"/>
  <c r="H50" i="100"/>
  <c r="I50" i="100"/>
  <c r="J50" i="100"/>
  <c r="C49" i="100"/>
  <c r="B49" i="100"/>
  <c r="O48" i="100"/>
  <c r="N48" i="100"/>
  <c r="O46" i="100"/>
  <c r="B47" i="100"/>
  <c r="N46" i="100"/>
  <c r="G46" i="100"/>
  <c r="H46" i="100"/>
  <c r="I46" i="100"/>
  <c r="J46" i="100"/>
  <c r="C45" i="100"/>
  <c r="B45" i="100"/>
  <c r="O44" i="100"/>
  <c r="N44" i="100"/>
  <c r="O42" i="100"/>
  <c r="B43" i="100"/>
  <c r="N42" i="100"/>
  <c r="G42" i="100"/>
  <c r="H42" i="100"/>
  <c r="I42" i="100"/>
  <c r="J42" i="100"/>
  <c r="C41" i="100"/>
  <c r="B41" i="100"/>
  <c r="O40" i="100"/>
  <c r="N40" i="100"/>
  <c r="O38" i="100"/>
  <c r="B39" i="100"/>
  <c r="N38" i="100"/>
  <c r="G38" i="100"/>
  <c r="H38" i="100"/>
  <c r="I38" i="100"/>
  <c r="J38" i="100"/>
  <c r="C37" i="100"/>
  <c r="B37" i="100"/>
  <c r="O36" i="100"/>
  <c r="N36" i="100"/>
  <c r="O34" i="100"/>
  <c r="B35" i="100"/>
  <c r="N34" i="100"/>
  <c r="G34" i="100"/>
  <c r="H34" i="100"/>
  <c r="I34" i="100"/>
  <c r="J34" i="100"/>
  <c r="C33" i="100"/>
  <c r="B33" i="100"/>
  <c r="O32" i="100"/>
  <c r="N32" i="100"/>
  <c r="O30" i="100"/>
  <c r="B31" i="100"/>
  <c r="N30" i="100"/>
  <c r="H30" i="100"/>
  <c r="I30" i="100"/>
  <c r="J30" i="100"/>
  <c r="C29" i="100"/>
  <c r="B29" i="100"/>
  <c r="O28" i="100"/>
  <c r="N28" i="100"/>
  <c r="O26" i="100"/>
  <c r="B27" i="100"/>
  <c r="N26" i="100"/>
  <c r="G26" i="100"/>
  <c r="H26" i="100"/>
  <c r="I26" i="100"/>
  <c r="J26" i="100"/>
  <c r="C25" i="100"/>
  <c r="B25" i="100"/>
  <c r="O24" i="100"/>
  <c r="N24" i="100"/>
  <c r="O22" i="100"/>
  <c r="B23" i="100"/>
  <c r="N22" i="100"/>
  <c r="G22" i="100"/>
  <c r="H22" i="100"/>
  <c r="I22" i="100"/>
  <c r="J22" i="100"/>
  <c r="C21" i="100"/>
  <c r="B21" i="100"/>
  <c r="O20" i="100"/>
  <c r="N20" i="100"/>
  <c r="O18" i="100"/>
  <c r="B19" i="100"/>
  <c r="N18" i="100"/>
  <c r="G18" i="100"/>
  <c r="H18" i="100"/>
  <c r="I18" i="100"/>
  <c r="J18" i="100"/>
  <c r="C17" i="100"/>
  <c r="B17" i="100"/>
  <c r="O16" i="100"/>
  <c r="N16" i="100"/>
  <c r="O14" i="100"/>
  <c r="B15" i="100"/>
  <c r="N14" i="100"/>
  <c r="G14" i="100"/>
  <c r="H14" i="100"/>
  <c r="I14" i="100"/>
  <c r="J14" i="100"/>
  <c r="C13" i="100"/>
  <c r="B13" i="100"/>
  <c r="O12" i="100"/>
  <c r="N12" i="100"/>
  <c r="O10" i="100"/>
  <c r="B11" i="100"/>
  <c r="N10" i="100"/>
  <c r="G10" i="100"/>
  <c r="H10" i="100"/>
  <c r="I10" i="100"/>
  <c r="J10" i="100"/>
  <c r="C9" i="100"/>
  <c r="B9" i="100"/>
  <c r="O8" i="100"/>
  <c r="N8" i="100"/>
  <c r="O6" i="100"/>
  <c r="B7" i="100"/>
  <c r="N6" i="100"/>
  <c r="G6" i="100"/>
  <c r="H6" i="100"/>
  <c r="I6" i="100"/>
  <c r="J6" i="100"/>
  <c r="C5" i="100"/>
  <c r="B5" i="100"/>
  <c r="A4" i="100"/>
  <c r="J3" i="100"/>
  <c r="F3" i="100"/>
  <c r="P12" i="95"/>
  <c r="P16" i="95"/>
  <c r="P20" i="95"/>
  <c r="P24" i="95"/>
  <c r="P28" i="95"/>
  <c r="P32" i="95"/>
  <c r="P36" i="95"/>
  <c r="P40" i="95"/>
  <c r="P44" i="95"/>
  <c r="E44" i="95"/>
  <c r="K57" i="95"/>
  <c r="G58" i="95"/>
  <c r="H57" i="95"/>
  <c r="G60" i="95"/>
  <c r="H60" i="95"/>
  <c r="I60" i="95"/>
  <c r="J60" i="95"/>
  <c r="K60" i="95"/>
  <c r="L60" i="95"/>
  <c r="V57" i="95"/>
  <c r="R60" i="95"/>
  <c r="S60" i="95"/>
  <c r="T60" i="95"/>
  <c r="U60" i="95"/>
  <c r="V60" i="95"/>
  <c r="W60" i="95"/>
  <c r="Y59" i="95"/>
  <c r="K53" i="95"/>
  <c r="G54" i="95"/>
  <c r="H53" i="95"/>
  <c r="G56" i="95"/>
  <c r="H56" i="95"/>
  <c r="I56" i="95"/>
  <c r="J56" i="95"/>
  <c r="K56" i="95"/>
  <c r="L56" i="95"/>
  <c r="V53" i="95"/>
  <c r="R56" i="95"/>
  <c r="S56" i="95"/>
  <c r="T56" i="95"/>
  <c r="U56" i="95"/>
  <c r="V56" i="95"/>
  <c r="W56" i="95"/>
  <c r="Y55" i="95"/>
  <c r="K49" i="95"/>
  <c r="G50" i="95"/>
  <c r="H49" i="95"/>
  <c r="G52" i="95"/>
  <c r="H52" i="95"/>
  <c r="I52" i="95"/>
  <c r="J52" i="95"/>
  <c r="K52" i="95"/>
  <c r="L52" i="95"/>
  <c r="V49" i="95"/>
  <c r="R52" i="95"/>
  <c r="S52" i="95"/>
  <c r="T52" i="95"/>
  <c r="U52" i="95"/>
  <c r="V52" i="95"/>
  <c r="W52" i="95"/>
  <c r="Y51" i="95"/>
  <c r="K45" i="95"/>
  <c r="G46" i="95"/>
  <c r="H45" i="95"/>
  <c r="G48" i="95"/>
  <c r="H48" i="95"/>
  <c r="I48" i="95"/>
  <c r="J48" i="95"/>
  <c r="K48" i="95"/>
  <c r="L48" i="95"/>
  <c r="V45" i="95"/>
  <c r="R48" i="95"/>
  <c r="S48" i="95"/>
  <c r="T48" i="95"/>
  <c r="U48" i="95"/>
  <c r="V48" i="95"/>
  <c r="W48" i="95"/>
  <c r="Y47" i="95"/>
  <c r="D48" i="95"/>
  <c r="O48" i="95"/>
  <c r="Y48" i="95"/>
  <c r="D52" i="95"/>
  <c r="O52" i="95"/>
  <c r="Y52" i="95"/>
  <c r="D56" i="95"/>
  <c r="O56" i="95"/>
  <c r="Y56" i="95"/>
  <c r="D60" i="95"/>
  <c r="O60" i="95"/>
  <c r="Y60" i="95"/>
  <c r="K61" i="95"/>
  <c r="G62" i="95"/>
  <c r="H61" i="95"/>
  <c r="G64" i="95"/>
  <c r="H64" i="95"/>
  <c r="I64" i="95"/>
  <c r="J64" i="95"/>
  <c r="K64" i="95"/>
  <c r="L64" i="95"/>
  <c r="D64" i="95"/>
  <c r="AA64" i="95"/>
  <c r="Z64" i="95"/>
  <c r="V61" i="95"/>
  <c r="R64" i="95"/>
  <c r="S64" i="95"/>
  <c r="T64" i="95"/>
  <c r="U64" i="95"/>
  <c r="V64" i="95"/>
  <c r="W64" i="95"/>
  <c r="Y63" i="95"/>
  <c r="O64" i="95"/>
  <c r="Y64" i="95"/>
  <c r="P48" i="95"/>
  <c r="P52" i="95"/>
  <c r="P56" i="95"/>
  <c r="P60" i="95"/>
  <c r="P64" i="95"/>
  <c r="E48" i="95"/>
  <c r="E52" i="95"/>
  <c r="E56" i="95"/>
  <c r="E60" i="95"/>
  <c r="E64" i="95"/>
  <c r="R62" i="95"/>
  <c r="O62" i="95"/>
  <c r="R58" i="95"/>
  <c r="O58" i="95"/>
  <c r="R54" i="95"/>
  <c r="O54" i="95"/>
  <c r="R50" i="95"/>
  <c r="O50" i="95"/>
  <c r="R46" i="95"/>
  <c r="O46" i="95"/>
  <c r="R11" i="95"/>
  <c r="S11" i="95"/>
  <c r="T11" i="95"/>
  <c r="U11" i="95"/>
  <c r="V11" i="95"/>
  <c r="W10" i="95"/>
  <c r="U9" i="95"/>
  <c r="Q14" i="95"/>
  <c r="R15" i="95"/>
  <c r="S15" i="95"/>
  <c r="T15" i="95"/>
  <c r="U15" i="95"/>
  <c r="V15" i="95"/>
  <c r="W14" i="95"/>
  <c r="U13" i="95"/>
  <c r="Q18" i="95"/>
  <c r="R19" i="95"/>
  <c r="S19" i="95"/>
  <c r="T19" i="95"/>
  <c r="U19" i="95"/>
  <c r="V19" i="95"/>
  <c r="W18" i="95"/>
  <c r="U17" i="95"/>
  <c r="Q22" i="95"/>
  <c r="R23" i="95"/>
  <c r="S23" i="95"/>
  <c r="T23" i="95"/>
  <c r="U23" i="95"/>
  <c r="V23" i="95"/>
  <c r="W22" i="95"/>
  <c r="U21" i="95"/>
  <c r="Q26" i="95"/>
  <c r="R27" i="95"/>
  <c r="S27" i="95"/>
  <c r="T27" i="95"/>
  <c r="U27" i="95"/>
  <c r="V27" i="95"/>
  <c r="W26" i="95"/>
  <c r="U25" i="95"/>
  <c r="Q30" i="95"/>
  <c r="R31" i="95"/>
  <c r="S31" i="95"/>
  <c r="T31" i="95"/>
  <c r="U31" i="95"/>
  <c r="V31" i="95"/>
  <c r="W30" i="95"/>
  <c r="U29" i="95"/>
  <c r="Q34" i="95"/>
  <c r="R35" i="95"/>
  <c r="S35" i="95"/>
  <c r="T35" i="95"/>
  <c r="U35" i="95"/>
  <c r="V35" i="95"/>
  <c r="W34" i="95"/>
  <c r="U33" i="95"/>
  <c r="Q38" i="95"/>
  <c r="R39" i="95"/>
  <c r="S39" i="95"/>
  <c r="T39" i="95"/>
  <c r="U39" i="95"/>
  <c r="V39" i="95"/>
  <c r="W38" i="95"/>
  <c r="U37" i="95"/>
  <c r="Q42" i="95"/>
  <c r="R43" i="95"/>
  <c r="S43" i="95"/>
  <c r="T43" i="95"/>
  <c r="U43" i="95"/>
  <c r="V43" i="95"/>
  <c r="W42" i="95"/>
  <c r="U41" i="95"/>
  <c r="Q46" i="95"/>
  <c r="R47" i="95"/>
  <c r="S47" i="95"/>
  <c r="T47" i="95"/>
  <c r="U47" i="95"/>
  <c r="V47" i="95"/>
  <c r="W46" i="95"/>
  <c r="U45" i="95"/>
  <c r="Q50" i="95"/>
  <c r="R51" i="95"/>
  <c r="S51" i="95"/>
  <c r="T51" i="95"/>
  <c r="U51" i="95"/>
  <c r="V51" i="95"/>
  <c r="W50" i="95"/>
  <c r="U49" i="95"/>
  <c r="Q54" i="95"/>
  <c r="R55" i="95"/>
  <c r="S55" i="95"/>
  <c r="T55" i="95"/>
  <c r="U55" i="95"/>
  <c r="V55" i="95"/>
  <c r="W54" i="95"/>
  <c r="U53" i="95"/>
  <c r="Q58" i="95"/>
  <c r="R59" i="95"/>
  <c r="S59" i="95"/>
  <c r="T59" i="95"/>
  <c r="U59" i="95"/>
  <c r="V59" i="95"/>
  <c r="W58" i="95"/>
  <c r="U57" i="95"/>
  <c r="Q62" i="95"/>
  <c r="R63" i="95"/>
  <c r="S63" i="95"/>
  <c r="T63" i="95"/>
  <c r="U63" i="95"/>
  <c r="V63" i="95"/>
  <c r="N63" i="95"/>
  <c r="D62" i="95"/>
  <c r="D58" i="95"/>
  <c r="D54" i="95"/>
  <c r="D50" i="95"/>
  <c r="D46" i="95"/>
  <c r="G43" i="95"/>
  <c r="H43" i="95"/>
  <c r="I43" i="95"/>
  <c r="J43" i="95"/>
  <c r="K43" i="95"/>
  <c r="L42" i="95"/>
  <c r="J41" i="95"/>
  <c r="F46" i="95"/>
  <c r="G47" i="95"/>
  <c r="H47" i="95"/>
  <c r="I47" i="95"/>
  <c r="J47" i="95"/>
  <c r="K47" i="95"/>
  <c r="L46" i="95"/>
  <c r="J45" i="95"/>
  <c r="F50" i="95"/>
  <c r="G51" i="95"/>
  <c r="H51" i="95"/>
  <c r="I51" i="95"/>
  <c r="J51" i="95"/>
  <c r="K51" i="95"/>
  <c r="L50" i="95"/>
  <c r="J49" i="95"/>
  <c r="F54" i="95"/>
  <c r="G55" i="95"/>
  <c r="H55" i="95"/>
  <c r="I55" i="95"/>
  <c r="J55" i="95"/>
  <c r="K55" i="95"/>
  <c r="L54" i="95"/>
  <c r="J53" i="95"/>
  <c r="F58" i="95"/>
  <c r="G59" i="95"/>
  <c r="H59" i="95"/>
  <c r="I59" i="95"/>
  <c r="J59" i="95"/>
  <c r="K59" i="95"/>
  <c r="L58" i="95"/>
  <c r="J57" i="95"/>
  <c r="F62" i="95"/>
  <c r="G63" i="95"/>
  <c r="H63" i="95"/>
  <c r="I63" i="95"/>
  <c r="J63" i="95"/>
  <c r="K63" i="95"/>
  <c r="AA62" i="95"/>
  <c r="C63" i="95"/>
  <c r="Z62" i="95"/>
  <c r="L62" i="95"/>
  <c r="W62" i="95"/>
  <c r="Y61" i="95"/>
  <c r="Y57" i="95"/>
  <c r="Y53" i="95"/>
  <c r="Y49" i="95"/>
  <c r="Y45" i="95"/>
  <c r="Y41" i="95"/>
  <c r="Y37" i="95"/>
  <c r="Y33" i="95"/>
  <c r="Y29" i="95"/>
  <c r="Y25" i="95"/>
  <c r="Y21" i="95"/>
  <c r="Y17" i="95"/>
  <c r="Y13" i="95"/>
  <c r="Y9" i="95"/>
  <c r="Y10" i="95"/>
  <c r="Y14" i="95"/>
  <c r="Y18" i="95"/>
  <c r="Y22" i="95"/>
  <c r="Y26" i="95"/>
  <c r="Y30" i="95"/>
  <c r="Y34" i="95"/>
  <c r="Y38" i="95"/>
  <c r="Y42" i="95"/>
  <c r="Y46" i="95"/>
  <c r="Y50" i="95"/>
  <c r="Y54" i="95"/>
  <c r="Y58" i="95"/>
  <c r="Y62" i="95"/>
  <c r="S62" i="95"/>
  <c r="T62" i="95"/>
  <c r="U62" i="95"/>
  <c r="V62" i="95"/>
  <c r="P46" i="95"/>
  <c r="P50" i="95"/>
  <c r="P54" i="95"/>
  <c r="P58" i="95"/>
  <c r="P62" i="95"/>
  <c r="H62" i="95"/>
  <c r="I62" i="95"/>
  <c r="J62" i="95"/>
  <c r="K62" i="95"/>
  <c r="E46" i="95"/>
  <c r="E50" i="95"/>
  <c r="E54" i="95"/>
  <c r="E58" i="95"/>
  <c r="E62" i="95"/>
  <c r="U61" i="95"/>
  <c r="O61" i="95"/>
  <c r="N61" i="95"/>
  <c r="H1" i="95"/>
  <c r="AH1" i="95"/>
  <c r="AG1" i="95"/>
  <c r="A3" i="95"/>
  <c r="B2" i="95"/>
  <c r="AE6" i="95"/>
  <c r="AE5" i="95"/>
  <c r="B29" i="95"/>
  <c r="B17" i="95"/>
  <c r="M13" i="95"/>
  <c r="M17" i="95"/>
  <c r="B21" i="95"/>
  <c r="M21" i="95"/>
  <c r="B25" i="95"/>
  <c r="M25" i="95"/>
  <c r="M29" i="95"/>
  <c r="B33" i="95"/>
  <c r="M33" i="95"/>
  <c r="B37" i="95"/>
  <c r="M37" i="95"/>
  <c r="B41" i="95"/>
  <c r="M41" i="95"/>
  <c r="B45" i="95"/>
  <c r="M45" i="95"/>
  <c r="B49" i="95"/>
  <c r="M49" i="95"/>
  <c r="B53" i="95"/>
  <c r="M53" i="95"/>
  <c r="B57" i="95"/>
  <c r="M57" i="95"/>
  <c r="B61" i="95"/>
  <c r="M61" i="95"/>
  <c r="J61" i="95"/>
  <c r="D61" i="95"/>
  <c r="C61" i="95"/>
  <c r="A45" i="95"/>
  <c r="A49" i="95"/>
  <c r="A53" i="95"/>
  <c r="A57" i="95"/>
  <c r="A61" i="95"/>
  <c r="AA60" i="95"/>
  <c r="Z60" i="95"/>
  <c r="N59" i="95"/>
  <c r="AA58" i="95"/>
  <c r="C59" i="95"/>
  <c r="Z58" i="95"/>
  <c r="S58" i="95"/>
  <c r="T58" i="95"/>
  <c r="U58" i="95"/>
  <c r="V58" i="95"/>
  <c r="H58" i="95"/>
  <c r="I58" i="95"/>
  <c r="J58" i="95"/>
  <c r="K58" i="95"/>
  <c r="O57" i="95"/>
  <c r="N57" i="95"/>
  <c r="D57" i="95"/>
  <c r="C57" i="95"/>
  <c r="AA56" i="95"/>
  <c r="Z56" i="95"/>
  <c r="N55" i="95"/>
  <c r="AA54" i="95"/>
  <c r="C55" i="95"/>
  <c r="Z54" i="95"/>
  <c r="S54" i="95"/>
  <c r="T54" i="95"/>
  <c r="U54" i="95"/>
  <c r="V54" i="95"/>
  <c r="H54" i="95"/>
  <c r="I54" i="95"/>
  <c r="J54" i="95"/>
  <c r="K54" i="95"/>
  <c r="O53" i="95"/>
  <c r="N53" i="95"/>
  <c r="D53" i="95"/>
  <c r="C53" i="95"/>
  <c r="AA52" i="95"/>
  <c r="Z52" i="95"/>
  <c r="N51" i="95"/>
  <c r="AA50" i="95"/>
  <c r="C51" i="95"/>
  <c r="Z50" i="95"/>
  <c r="S50" i="95"/>
  <c r="T50" i="95"/>
  <c r="U50" i="95"/>
  <c r="V50" i="95"/>
  <c r="H50" i="95"/>
  <c r="I50" i="95"/>
  <c r="J50" i="95"/>
  <c r="K50" i="95"/>
  <c r="O49" i="95"/>
  <c r="N49" i="95"/>
  <c r="D49" i="95"/>
  <c r="C49" i="95"/>
  <c r="AA48" i="95"/>
  <c r="Z48" i="95"/>
  <c r="N47" i="95"/>
  <c r="AA46" i="95"/>
  <c r="C47" i="95"/>
  <c r="Z46" i="95"/>
  <c r="S46" i="95"/>
  <c r="T46" i="95"/>
  <c r="U46" i="95"/>
  <c r="V46" i="95"/>
  <c r="H46" i="95"/>
  <c r="I46" i="95"/>
  <c r="J46" i="95"/>
  <c r="K46" i="95"/>
  <c r="O45" i="95"/>
  <c r="N45" i="95"/>
  <c r="D45" i="95"/>
  <c r="C45" i="95"/>
  <c r="K33" i="95"/>
  <c r="G34" i="95"/>
  <c r="H33" i="95"/>
  <c r="G36" i="95"/>
  <c r="H36" i="95"/>
  <c r="I36" i="95"/>
  <c r="J36" i="95"/>
  <c r="K36" i="95"/>
  <c r="L36" i="95"/>
  <c r="V33" i="95"/>
  <c r="R36" i="95"/>
  <c r="S36" i="95"/>
  <c r="T36" i="95"/>
  <c r="U36" i="95"/>
  <c r="V36" i="95"/>
  <c r="W36" i="95"/>
  <c r="Y35" i="95"/>
  <c r="K29" i="95"/>
  <c r="G30" i="95"/>
  <c r="H29" i="95"/>
  <c r="G32" i="95"/>
  <c r="H32" i="95"/>
  <c r="I32" i="95"/>
  <c r="J32" i="95"/>
  <c r="K32" i="95"/>
  <c r="L32" i="95"/>
  <c r="V29" i="95"/>
  <c r="R32" i="95"/>
  <c r="S32" i="95"/>
  <c r="T32" i="95"/>
  <c r="U32" i="95"/>
  <c r="V32" i="95"/>
  <c r="W32" i="95"/>
  <c r="Y31" i="95"/>
  <c r="K25" i="95"/>
  <c r="G26" i="95"/>
  <c r="H25" i="95"/>
  <c r="G28" i="95"/>
  <c r="H28" i="95"/>
  <c r="I28" i="95"/>
  <c r="J28" i="95"/>
  <c r="K28" i="95"/>
  <c r="L28" i="95"/>
  <c r="V25" i="95"/>
  <c r="R28" i="95"/>
  <c r="S28" i="95"/>
  <c r="T28" i="95"/>
  <c r="U28" i="95"/>
  <c r="V28" i="95"/>
  <c r="W28" i="95"/>
  <c r="Y27" i="95"/>
  <c r="K21" i="95"/>
  <c r="G22" i="95"/>
  <c r="H21" i="95"/>
  <c r="G24" i="95"/>
  <c r="H24" i="95"/>
  <c r="I24" i="95"/>
  <c r="J24" i="95"/>
  <c r="K24" i="95"/>
  <c r="L24" i="95"/>
  <c r="V21" i="95"/>
  <c r="R24" i="95"/>
  <c r="S24" i="95"/>
  <c r="T24" i="95"/>
  <c r="U24" i="95"/>
  <c r="V24" i="95"/>
  <c r="W24" i="95"/>
  <c r="Y23" i="95"/>
  <c r="K17" i="95"/>
  <c r="G18" i="95"/>
  <c r="H17" i="95"/>
  <c r="G20" i="95"/>
  <c r="H20" i="95"/>
  <c r="I20" i="95"/>
  <c r="J20" i="95"/>
  <c r="K20" i="95"/>
  <c r="L20" i="95"/>
  <c r="V17" i="95"/>
  <c r="R20" i="95"/>
  <c r="S20" i="95"/>
  <c r="T20" i="95"/>
  <c r="U20" i="95"/>
  <c r="V20" i="95"/>
  <c r="W20" i="95"/>
  <c r="Y19" i="95"/>
  <c r="K13" i="95"/>
  <c r="G14" i="95"/>
  <c r="H13" i="95"/>
  <c r="G16" i="95"/>
  <c r="H16" i="95"/>
  <c r="I16" i="95"/>
  <c r="J16" i="95"/>
  <c r="K16" i="95"/>
  <c r="L16" i="95"/>
  <c r="V13" i="95"/>
  <c r="R16" i="95"/>
  <c r="S16" i="95"/>
  <c r="T16" i="95"/>
  <c r="U16" i="95"/>
  <c r="V16" i="95"/>
  <c r="W16" i="95"/>
  <c r="Y15" i="95"/>
  <c r="D16" i="95"/>
  <c r="O16" i="95"/>
  <c r="Y16" i="95"/>
  <c r="D20" i="95"/>
  <c r="O20" i="95"/>
  <c r="Y20" i="95"/>
  <c r="D24" i="95"/>
  <c r="O24" i="95"/>
  <c r="Y24" i="95"/>
  <c r="D28" i="95"/>
  <c r="O28" i="95"/>
  <c r="Y28" i="95"/>
  <c r="D32" i="95"/>
  <c r="O32" i="95"/>
  <c r="Y32" i="95"/>
  <c r="D36" i="95"/>
  <c r="O36" i="95"/>
  <c r="Y36" i="95"/>
  <c r="K37" i="95"/>
  <c r="G38" i="95"/>
  <c r="H37" i="95"/>
  <c r="G40" i="95"/>
  <c r="H40" i="95"/>
  <c r="I40" i="95"/>
  <c r="J40" i="95"/>
  <c r="K40" i="95"/>
  <c r="L40" i="95"/>
  <c r="D40" i="95"/>
  <c r="AA40" i="95"/>
  <c r="Z40" i="95"/>
  <c r="V37" i="95"/>
  <c r="R40" i="95"/>
  <c r="S40" i="95"/>
  <c r="T40" i="95"/>
  <c r="U40" i="95"/>
  <c r="V40" i="95"/>
  <c r="W40" i="95"/>
  <c r="Y39" i="95"/>
  <c r="O40" i="95"/>
  <c r="Y40" i="95"/>
  <c r="E16" i="95"/>
  <c r="E20" i="95"/>
  <c r="E24" i="95"/>
  <c r="E28" i="95"/>
  <c r="E32" i="95"/>
  <c r="E36" i="95"/>
  <c r="E40" i="95"/>
  <c r="R38" i="95"/>
  <c r="O38" i="95"/>
  <c r="R34" i="95"/>
  <c r="O34" i="95"/>
  <c r="R30" i="95"/>
  <c r="O30" i="95"/>
  <c r="R26" i="95"/>
  <c r="O26" i="95"/>
  <c r="R22" i="95"/>
  <c r="O22" i="95"/>
  <c r="R18" i="95"/>
  <c r="O18" i="95"/>
  <c r="R14" i="95"/>
  <c r="O14" i="95"/>
  <c r="N39" i="95"/>
  <c r="D38" i="95"/>
  <c r="D34" i="95"/>
  <c r="D30" i="95"/>
  <c r="D26" i="95"/>
  <c r="D22" i="95"/>
  <c r="D18" i="95"/>
  <c r="D14" i="95"/>
  <c r="F14" i="95"/>
  <c r="G15" i="95"/>
  <c r="H15" i="95"/>
  <c r="I15" i="95"/>
  <c r="J15" i="95"/>
  <c r="K15" i="95"/>
  <c r="L14" i="95"/>
  <c r="J13" i="95"/>
  <c r="F18" i="95"/>
  <c r="G19" i="95"/>
  <c r="H19" i="95"/>
  <c r="I19" i="95"/>
  <c r="J19" i="95"/>
  <c r="K19" i="95"/>
  <c r="L18" i="95"/>
  <c r="J17" i="95"/>
  <c r="F22" i="95"/>
  <c r="G23" i="95"/>
  <c r="H23" i="95"/>
  <c r="I23" i="95"/>
  <c r="J23" i="95"/>
  <c r="K23" i="95"/>
  <c r="L22" i="95"/>
  <c r="J21" i="95"/>
  <c r="F26" i="95"/>
  <c r="G27" i="95"/>
  <c r="H27" i="95"/>
  <c r="I27" i="95"/>
  <c r="J27" i="95"/>
  <c r="K27" i="95"/>
  <c r="L26" i="95"/>
  <c r="J25" i="95"/>
  <c r="F30" i="95"/>
  <c r="G31" i="95"/>
  <c r="H31" i="95"/>
  <c r="I31" i="95"/>
  <c r="J31" i="95"/>
  <c r="K31" i="95"/>
  <c r="L30" i="95"/>
  <c r="J29" i="95"/>
  <c r="F34" i="95"/>
  <c r="G35" i="95"/>
  <c r="H35" i="95"/>
  <c r="I35" i="95"/>
  <c r="J35" i="95"/>
  <c r="K35" i="95"/>
  <c r="L34" i="95"/>
  <c r="J33" i="95"/>
  <c r="F38" i="95"/>
  <c r="G39" i="95"/>
  <c r="H39" i="95"/>
  <c r="I39" i="95"/>
  <c r="J39" i="95"/>
  <c r="K39" i="95"/>
  <c r="AA38" i="95"/>
  <c r="C39" i="95"/>
  <c r="Z38" i="95"/>
  <c r="L38" i="95"/>
  <c r="S38" i="95"/>
  <c r="T38" i="95"/>
  <c r="U38" i="95"/>
  <c r="V38" i="95"/>
  <c r="P14" i="95"/>
  <c r="P18" i="95"/>
  <c r="P22" i="95"/>
  <c r="P26" i="95"/>
  <c r="P30" i="95"/>
  <c r="P34" i="95"/>
  <c r="P38" i="95"/>
  <c r="H38" i="95"/>
  <c r="I38" i="95"/>
  <c r="J38" i="95"/>
  <c r="K38" i="95"/>
  <c r="E14" i="95"/>
  <c r="E18" i="95"/>
  <c r="E22" i="95"/>
  <c r="E26" i="95"/>
  <c r="E30" i="95"/>
  <c r="E34" i="95"/>
  <c r="E38" i="95"/>
  <c r="O37" i="95"/>
  <c r="N37" i="95"/>
  <c r="J37" i="95"/>
  <c r="D37" i="95"/>
  <c r="C37" i="95"/>
  <c r="A13" i="95"/>
  <c r="A17" i="95"/>
  <c r="A21" i="95"/>
  <c r="A25" i="95"/>
  <c r="A29" i="95"/>
  <c r="A33" i="95"/>
  <c r="A37" i="95"/>
  <c r="AA36" i="95"/>
  <c r="Z36" i="95"/>
  <c r="N35" i="95"/>
  <c r="AA34" i="95"/>
  <c r="C35" i="95"/>
  <c r="Z34" i="95"/>
  <c r="S34" i="95"/>
  <c r="T34" i="95"/>
  <c r="U34" i="95"/>
  <c r="V34" i="95"/>
  <c r="H34" i="95"/>
  <c r="I34" i="95"/>
  <c r="J34" i="95"/>
  <c r="K34" i="95"/>
  <c r="O33" i="95"/>
  <c r="N33" i="95"/>
  <c r="D33" i="95"/>
  <c r="C33" i="95"/>
  <c r="AA32" i="95"/>
  <c r="Z32" i="95"/>
  <c r="N31" i="95"/>
  <c r="AA30" i="95"/>
  <c r="C31" i="95"/>
  <c r="Z30" i="95"/>
  <c r="S30" i="95"/>
  <c r="T30" i="95"/>
  <c r="U30" i="95"/>
  <c r="V30" i="95"/>
  <c r="H30" i="95"/>
  <c r="I30" i="95"/>
  <c r="J30" i="95"/>
  <c r="K30" i="95"/>
  <c r="O29" i="95"/>
  <c r="N29" i="95"/>
  <c r="D29" i="95"/>
  <c r="C29" i="95"/>
  <c r="AA28" i="95"/>
  <c r="Z28" i="95"/>
  <c r="N27" i="95"/>
  <c r="AA26" i="95"/>
  <c r="C27" i="95"/>
  <c r="Z26" i="95"/>
  <c r="S26" i="95"/>
  <c r="T26" i="95"/>
  <c r="U26" i="95"/>
  <c r="V26" i="95"/>
  <c r="H26" i="95"/>
  <c r="I26" i="95"/>
  <c r="J26" i="95"/>
  <c r="K26" i="95"/>
  <c r="O25" i="95"/>
  <c r="N25" i="95"/>
  <c r="D25" i="95"/>
  <c r="C25" i="95"/>
  <c r="AA24" i="95"/>
  <c r="Z24" i="95"/>
  <c r="N23" i="95"/>
  <c r="AA22" i="95"/>
  <c r="C23" i="95"/>
  <c r="Z22" i="95"/>
  <c r="S22" i="95"/>
  <c r="T22" i="95"/>
  <c r="U22" i="95"/>
  <c r="V22" i="95"/>
  <c r="H22" i="95"/>
  <c r="I22" i="95"/>
  <c r="J22" i="95"/>
  <c r="K22" i="95"/>
  <c r="O21" i="95"/>
  <c r="N21" i="95"/>
  <c r="D21" i="95"/>
  <c r="C21" i="95"/>
  <c r="B9" i="95"/>
  <c r="M5" i="95"/>
  <c r="M9" i="95"/>
  <c r="B13" i="95"/>
  <c r="AA20" i="95"/>
  <c r="Z20" i="95"/>
  <c r="N19" i="95"/>
  <c r="AA18" i="95"/>
  <c r="C19" i="95"/>
  <c r="Z18" i="95"/>
  <c r="S18" i="95"/>
  <c r="T18" i="95"/>
  <c r="U18" i="95"/>
  <c r="V18" i="95"/>
  <c r="H18" i="95"/>
  <c r="I18" i="95"/>
  <c r="J18" i="95"/>
  <c r="K18" i="95"/>
  <c r="O17" i="95"/>
  <c r="N17" i="95"/>
  <c r="D17" i="95"/>
  <c r="C17" i="95"/>
  <c r="AA16" i="95"/>
  <c r="Z16" i="95"/>
  <c r="N15" i="95"/>
  <c r="AA14" i="95"/>
  <c r="C15" i="95"/>
  <c r="Z14" i="95"/>
  <c r="S14" i="95"/>
  <c r="T14" i="95"/>
  <c r="U14" i="95"/>
  <c r="V14" i="95"/>
  <c r="H14" i="95"/>
  <c r="I14" i="95"/>
  <c r="J14" i="95"/>
  <c r="K14" i="95"/>
  <c r="O13" i="95"/>
  <c r="N13" i="95"/>
  <c r="B5" i="95"/>
  <c r="D13" i="95"/>
  <c r="C13" i="95"/>
  <c r="E12" i="95"/>
  <c r="O8" i="95"/>
  <c r="Y8" i="95"/>
  <c r="D12" i="95"/>
  <c r="O12" i="95"/>
  <c r="Y12" i="95"/>
  <c r="D44" i="95"/>
  <c r="O44" i="95"/>
  <c r="Y44" i="95"/>
  <c r="O42" i="95"/>
  <c r="O10" i="95"/>
  <c r="O6" i="95"/>
  <c r="Q6" i="95"/>
  <c r="R7" i="95"/>
  <c r="S7" i="95"/>
  <c r="T7" i="95"/>
  <c r="U7" i="95"/>
  <c r="V7" i="95"/>
  <c r="W6" i="95"/>
  <c r="U5" i="95"/>
  <c r="Q10" i="95"/>
  <c r="AA44" i="95"/>
  <c r="N43" i="95"/>
  <c r="N41" i="95"/>
  <c r="AA12" i="95"/>
  <c r="N11" i="95"/>
  <c r="N9" i="95"/>
  <c r="N7" i="95"/>
  <c r="N5" i="95"/>
  <c r="P8" i="95"/>
  <c r="D10" i="95"/>
  <c r="F10" i="95"/>
  <c r="G11" i="95"/>
  <c r="H11" i="95"/>
  <c r="I11" i="95"/>
  <c r="J11" i="95"/>
  <c r="K11" i="95"/>
  <c r="L10" i="95"/>
  <c r="J9" i="95"/>
  <c r="F42" i="95"/>
  <c r="AA10" i="95"/>
  <c r="C9" i="95"/>
  <c r="AA42" i="95"/>
  <c r="C43" i="95"/>
  <c r="C41" i="95"/>
  <c r="C11" i="95"/>
  <c r="C7" i="95"/>
  <c r="C5" i="95"/>
  <c r="A41" i="95"/>
  <c r="D42" i="95"/>
  <c r="Y5" i="95"/>
  <c r="Y6" i="95"/>
  <c r="P42" i="95"/>
  <c r="E42" i="95"/>
  <c r="K41" i="95"/>
  <c r="G42" i="95"/>
  <c r="H41" i="95"/>
  <c r="G44" i="95"/>
  <c r="H44" i="95"/>
  <c r="I44" i="95"/>
  <c r="J44" i="95"/>
  <c r="K44" i="95"/>
  <c r="L44" i="95"/>
  <c r="Z42" i="95"/>
  <c r="D41" i="95"/>
  <c r="V41" i="95"/>
  <c r="R44" i="95"/>
  <c r="S44" i="95"/>
  <c r="T44" i="95"/>
  <c r="U44" i="95"/>
  <c r="V44" i="95"/>
  <c r="W44" i="95"/>
  <c r="Y43" i="95"/>
  <c r="Z44" i="95"/>
  <c r="O41" i="95"/>
  <c r="R42" i="95"/>
  <c r="H42" i="95"/>
  <c r="I42" i="95"/>
  <c r="J42" i="95"/>
  <c r="K42" i="95"/>
  <c r="S42" i="95"/>
  <c r="T42" i="95"/>
  <c r="U42" i="95"/>
  <c r="V42" i="95"/>
  <c r="G10" i="95"/>
  <c r="H9" i="95"/>
  <c r="G12" i="95"/>
  <c r="H12" i="95"/>
  <c r="I12" i="95"/>
  <c r="J12" i="95"/>
  <c r="K12" i="95"/>
  <c r="L12" i="95"/>
  <c r="R12" i="95"/>
  <c r="S12" i="95"/>
  <c r="T12" i="95"/>
  <c r="U12" i="95"/>
  <c r="V12" i="95"/>
  <c r="W12" i="95"/>
  <c r="Y11" i="95"/>
  <c r="R10" i="95"/>
  <c r="K9" i="95"/>
  <c r="V9" i="95"/>
  <c r="K5" i="95"/>
  <c r="G6" i="95"/>
  <c r="H5" i="95"/>
  <c r="G8" i="95"/>
  <c r="H8" i="95"/>
  <c r="I8" i="95"/>
  <c r="J8" i="95"/>
  <c r="K8" i="95"/>
  <c r="L8" i="95"/>
  <c r="V5" i="95"/>
  <c r="R8" i="95"/>
  <c r="S8" i="95"/>
  <c r="T8" i="95"/>
  <c r="U8" i="95"/>
  <c r="V8" i="95"/>
  <c r="W8" i="95"/>
  <c r="Y7" i="95"/>
  <c r="D8" i="95"/>
  <c r="R6" i="95"/>
  <c r="D6" i="95"/>
  <c r="F6" i="95"/>
  <c r="G7" i="95"/>
  <c r="H7" i="95"/>
  <c r="I7" i="95"/>
  <c r="J7" i="95"/>
  <c r="K7" i="95"/>
  <c r="L6" i="95"/>
  <c r="J5" i="95"/>
  <c r="P6" i="95"/>
  <c r="P10" i="95"/>
  <c r="E6" i="95"/>
  <c r="E10" i="95"/>
  <c r="M3" i="95"/>
  <c r="A9" i="95"/>
  <c r="Z12" i="95"/>
  <c r="Z10" i="95"/>
  <c r="S10" i="95"/>
  <c r="T10" i="95"/>
  <c r="U10" i="95"/>
  <c r="V10" i="95"/>
  <c r="H10" i="95"/>
  <c r="I10" i="95"/>
  <c r="J10" i="95"/>
  <c r="K10" i="95"/>
  <c r="O9" i="95"/>
  <c r="D9" i="95"/>
  <c r="AE8" i="95"/>
  <c r="AA8" i="95"/>
  <c r="Z8" i="95"/>
  <c r="AE7" i="95"/>
  <c r="AA6" i="95"/>
  <c r="Z6" i="95"/>
  <c r="S6" i="95"/>
  <c r="T6" i="95"/>
  <c r="U6" i="95"/>
  <c r="V6" i="95"/>
  <c r="H6" i="95"/>
  <c r="I6" i="95"/>
  <c r="J6" i="95"/>
  <c r="K6" i="95"/>
  <c r="O5" i="95"/>
  <c r="D5" i="95"/>
  <c r="M4" i="95"/>
  <c r="B4" i="95"/>
  <c r="V3" i="95"/>
  <c r="R3" i="95"/>
  <c r="K3" i="95"/>
  <c r="G3" i="95"/>
  <c r="M2" i="95"/>
  <c r="H1" i="72"/>
  <c r="AH1" i="72"/>
  <c r="AG1" i="72"/>
  <c r="A3" i="72"/>
  <c r="K57" i="72"/>
  <c r="G58" i="72"/>
  <c r="H57" i="72"/>
  <c r="G60" i="72"/>
  <c r="H60" i="72"/>
  <c r="I60" i="72"/>
  <c r="J60" i="72"/>
  <c r="K60" i="72"/>
  <c r="L60" i="72"/>
  <c r="V57" i="72"/>
  <c r="R60" i="72"/>
  <c r="S60" i="72"/>
  <c r="T60" i="72"/>
  <c r="U60" i="72"/>
  <c r="V60" i="72"/>
  <c r="W60" i="72"/>
  <c r="Y59" i="72"/>
  <c r="K53" i="72"/>
  <c r="G54" i="72"/>
  <c r="H53" i="72"/>
  <c r="G56" i="72"/>
  <c r="H56" i="72"/>
  <c r="I56" i="72"/>
  <c r="J56" i="72"/>
  <c r="K56" i="72"/>
  <c r="L56" i="72"/>
  <c r="V53" i="72"/>
  <c r="R56" i="72"/>
  <c r="S56" i="72"/>
  <c r="T56" i="72"/>
  <c r="U56" i="72"/>
  <c r="V56" i="72"/>
  <c r="W56" i="72"/>
  <c r="Y55" i="72"/>
  <c r="K49" i="72"/>
  <c r="G50" i="72"/>
  <c r="H49" i="72"/>
  <c r="G52" i="72"/>
  <c r="H52" i="72"/>
  <c r="I52" i="72"/>
  <c r="J52" i="72"/>
  <c r="K52" i="72"/>
  <c r="L52" i="72"/>
  <c r="V49" i="72"/>
  <c r="R52" i="72"/>
  <c r="S52" i="72"/>
  <c r="T52" i="72"/>
  <c r="U52" i="72"/>
  <c r="V52" i="72"/>
  <c r="W52" i="72"/>
  <c r="Y51" i="72"/>
  <c r="D52" i="72"/>
  <c r="O52" i="72"/>
  <c r="Y52" i="72"/>
  <c r="D56" i="72"/>
  <c r="O56" i="72"/>
  <c r="Y56" i="72"/>
  <c r="D60" i="72"/>
  <c r="O60" i="72"/>
  <c r="Y60" i="72"/>
  <c r="K61" i="72"/>
  <c r="G62" i="72"/>
  <c r="H61" i="72"/>
  <c r="G64" i="72"/>
  <c r="H64" i="72"/>
  <c r="I64" i="72"/>
  <c r="J64" i="72"/>
  <c r="K64" i="72"/>
  <c r="L64" i="72"/>
  <c r="D64" i="72"/>
  <c r="AA64" i="72"/>
  <c r="Z64" i="72"/>
  <c r="V61" i="72"/>
  <c r="R64" i="72"/>
  <c r="S64" i="72"/>
  <c r="T64" i="72"/>
  <c r="U64" i="72"/>
  <c r="V64" i="72"/>
  <c r="W64" i="72"/>
  <c r="Y63" i="72"/>
  <c r="O64" i="72"/>
  <c r="Y64" i="72"/>
  <c r="E52" i="72"/>
  <c r="P56" i="72"/>
  <c r="E60" i="72"/>
  <c r="P64" i="72"/>
  <c r="P52" i="72"/>
  <c r="E56" i="72"/>
  <c r="P60" i="72"/>
  <c r="E64" i="72"/>
  <c r="R62" i="72"/>
  <c r="O62" i="72"/>
  <c r="R58" i="72"/>
  <c r="O58" i="72"/>
  <c r="R54" i="72"/>
  <c r="O54" i="72"/>
  <c r="R50" i="72"/>
  <c r="O50" i="72"/>
  <c r="Q50" i="72"/>
  <c r="R51" i="72"/>
  <c r="S51" i="72"/>
  <c r="T51" i="72"/>
  <c r="U51" i="72"/>
  <c r="V51" i="72"/>
  <c r="W50" i="72"/>
  <c r="U49" i="72"/>
  <c r="Q54" i="72"/>
  <c r="R55" i="72"/>
  <c r="S55" i="72"/>
  <c r="T55" i="72"/>
  <c r="U55" i="72"/>
  <c r="V55" i="72"/>
  <c r="W54" i="72"/>
  <c r="U53" i="72"/>
  <c r="Q58" i="72"/>
  <c r="R59" i="72"/>
  <c r="S59" i="72"/>
  <c r="T59" i="72"/>
  <c r="U59" i="72"/>
  <c r="V59" i="72"/>
  <c r="W58" i="72"/>
  <c r="U57" i="72"/>
  <c r="Q62" i="72"/>
  <c r="R63" i="72"/>
  <c r="S63" i="72"/>
  <c r="T63" i="72"/>
  <c r="U63" i="72"/>
  <c r="V63" i="72"/>
  <c r="N63" i="72"/>
  <c r="D62" i="72"/>
  <c r="D58" i="72"/>
  <c r="D54" i="72"/>
  <c r="D50" i="72"/>
  <c r="F50" i="72"/>
  <c r="G51" i="72"/>
  <c r="H51" i="72"/>
  <c r="I51" i="72"/>
  <c r="J51" i="72"/>
  <c r="K51" i="72"/>
  <c r="L50" i="72"/>
  <c r="J49" i="72"/>
  <c r="F54" i="72"/>
  <c r="G55" i="72"/>
  <c r="H55" i="72"/>
  <c r="I55" i="72"/>
  <c r="J55" i="72"/>
  <c r="K55" i="72"/>
  <c r="L54" i="72"/>
  <c r="J53" i="72"/>
  <c r="F58" i="72"/>
  <c r="G59" i="72"/>
  <c r="H59" i="72"/>
  <c r="I59" i="72"/>
  <c r="J59" i="72"/>
  <c r="K59" i="72"/>
  <c r="L58" i="72"/>
  <c r="J57" i="72"/>
  <c r="F62" i="72"/>
  <c r="G63" i="72"/>
  <c r="H63" i="72"/>
  <c r="I63" i="72"/>
  <c r="J63" i="72"/>
  <c r="K63" i="72"/>
  <c r="AA62" i="72"/>
  <c r="C63" i="72"/>
  <c r="Z62" i="72"/>
  <c r="L62" i="72"/>
  <c r="W62" i="72"/>
  <c r="Y61" i="72"/>
  <c r="Y57" i="72"/>
  <c r="Y53" i="72"/>
  <c r="Y49" i="72"/>
  <c r="Y50" i="72"/>
  <c r="Y54" i="72"/>
  <c r="Y58" i="72"/>
  <c r="Y62" i="72"/>
  <c r="S62" i="72"/>
  <c r="T62" i="72"/>
  <c r="U62" i="72"/>
  <c r="V62" i="72"/>
  <c r="P50" i="72"/>
  <c r="P54" i="72"/>
  <c r="P58" i="72"/>
  <c r="P62" i="72"/>
  <c r="H62" i="72"/>
  <c r="I62" i="72"/>
  <c r="J62" i="72"/>
  <c r="K62" i="72"/>
  <c r="E50" i="72"/>
  <c r="E54" i="72"/>
  <c r="E58" i="72"/>
  <c r="E62" i="72"/>
  <c r="U61" i="72"/>
  <c r="O61" i="72"/>
  <c r="N61" i="72"/>
  <c r="B2" i="72"/>
  <c r="AE6" i="72"/>
  <c r="AE5" i="72"/>
  <c r="B41" i="72"/>
  <c r="M37" i="72"/>
  <c r="M41" i="72"/>
  <c r="B45" i="72"/>
  <c r="M45" i="72"/>
  <c r="B49" i="72"/>
  <c r="M49" i="72"/>
  <c r="B53" i="72"/>
  <c r="M53" i="72"/>
  <c r="B57" i="72"/>
  <c r="M57" i="72"/>
  <c r="B61" i="72"/>
  <c r="M61" i="72"/>
  <c r="J61" i="72"/>
  <c r="D61" i="72"/>
  <c r="C61" i="72"/>
  <c r="A49" i="72"/>
  <c r="A53" i="72"/>
  <c r="A57" i="72"/>
  <c r="A61" i="72"/>
  <c r="AA60" i="72"/>
  <c r="Z60" i="72"/>
  <c r="N59" i="72"/>
  <c r="AA58" i="72"/>
  <c r="C59" i="72"/>
  <c r="Z58" i="72"/>
  <c r="S58" i="72"/>
  <c r="T58" i="72"/>
  <c r="U58" i="72"/>
  <c r="V58" i="72"/>
  <c r="H58" i="72"/>
  <c r="I58" i="72"/>
  <c r="J58" i="72"/>
  <c r="K58" i="72"/>
  <c r="O57" i="72"/>
  <c r="N57" i="72"/>
  <c r="D57" i="72"/>
  <c r="C57" i="72"/>
  <c r="AA56" i="72"/>
  <c r="Z56" i="72"/>
  <c r="N55" i="72"/>
  <c r="AA54" i="72"/>
  <c r="C55" i="72"/>
  <c r="Z54" i="72"/>
  <c r="S54" i="72"/>
  <c r="T54" i="72"/>
  <c r="U54" i="72"/>
  <c r="V54" i="72"/>
  <c r="H54" i="72"/>
  <c r="I54" i="72"/>
  <c r="J54" i="72"/>
  <c r="K54" i="72"/>
  <c r="O53" i="72"/>
  <c r="N53" i="72"/>
  <c r="D53" i="72"/>
  <c r="C53" i="72"/>
  <c r="AA52" i="72"/>
  <c r="Z52" i="72"/>
  <c r="N51" i="72"/>
  <c r="AA50" i="72"/>
  <c r="C51" i="72"/>
  <c r="Z50" i="72"/>
  <c r="S50" i="72"/>
  <c r="T50" i="72"/>
  <c r="U50" i="72"/>
  <c r="V50" i="72"/>
  <c r="H50" i="72"/>
  <c r="I50" i="72"/>
  <c r="J50" i="72"/>
  <c r="K50" i="72"/>
  <c r="O49" i="72"/>
  <c r="N49" i="72"/>
  <c r="B21" i="72"/>
  <c r="M17" i="72"/>
  <c r="M21" i="72"/>
  <c r="B25" i="72"/>
  <c r="M25" i="72"/>
  <c r="B29" i="72"/>
  <c r="M29" i="72"/>
  <c r="B33" i="72"/>
  <c r="M33" i="72"/>
  <c r="B37" i="72"/>
  <c r="D49" i="72"/>
  <c r="C49" i="72"/>
  <c r="K41" i="72"/>
  <c r="G42" i="72"/>
  <c r="H41" i="72"/>
  <c r="G44" i="72"/>
  <c r="H44" i="72"/>
  <c r="I44" i="72"/>
  <c r="J44" i="72"/>
  <c r="K44" i="72"/>
  <c r="L44" i="72"/>
  <c r="V41" i="72"/>
  <c r="R44" i="72"/>
  <c r="S44" i="72"/>
  <c r="T44" i="72"/>
  <c r="U44" i="72"/>
  <c r="V44" i="72"/>
  <c r="W44" i="72"/>
  <c r="Y43" i="72"/>
  <c r="K37" i="72"/>
  <c r="G38" i="72"/>
  <c r="H37" i="72"/>
  <c r="G40" i="72"/>
  <c r="H40" i="72"/>
  <c r="I40" i="72"/>
  <c r="J40" i="72"/>
  <c r="K40" i="72"/>
  <c r="L40" i="72"/>
  <c r="V37" i="72"/>
  <c r="R40" i="72"/>
  <c r="S40" i="72"/>
  <c r="T40" i="72"/>
  <c r="U40" i="72"/>
  <c r="V40" i="72"/>
  <c r="W40" i="72"/>
  <c r="Y39" i="72"/>
  <c r="K33" i="72"/>
  <c r="G34" i="72"/>
  <c r="H33" i="72"/>
  <c r="G36" i="72"/>
  <c r="H36" i="72"/>
  <c r="I36" i="72"/>
  <c r="J36" i="72"/>
  <c r="K36" i="72"/>
  <c r="L36" i="72"/>
  <c r="V33" i="72"/>
  <c r="R36" i="72"/>
  <c r="S36" i="72"/>
  <c r="T36" i="72"/>
  <c r="U36" i="72"/>
  <c r="V36" i="72"/>
  <c r="W36" i="72"/>
  <c r="Y35" i="72"/>
  <c r="K29" i="72"/>
  <c r="G30" i="72"/>
  <c r="H29" i="72"/>
  <c r="G32" i="72"/>
  <c r="H32" i="72"/>
  <c r="I32" i="72"/>
  <c r="J32" i="72"/>
  <c r="K32" i="72"/>
  <c r="L32" i="72"/>
  <c r="V29" i="72"/>
  <c r="R32" i="72"/>
  <c r="S32" i="72"/>
  <c r="T32" i="72"/>
  <c r="U32" i="72"/>
  <c r="V32" i="72"/>
  <c r="W32" i="72"/>
  <c r="Y31" i="72"/>
  <c r="K25" i="72"/>
  <c r="G26" i="72"/>
  <c r="H25" i="72"/>
  <c r="G28" i="72"/>
  <c r="H28" i="72"/>
  <c r="I28" i="72"/>
  <c r="J28" i="72"/>
  <c r="K28" i="72"/>
  <c r="L28" i="72"/>
  <c r="V25" i="72"/>
  <c r="R28" i="72"/>
  <c r="S28" i="72"/>
  <c r="T28" i="72"/>
  <c r="U28" i="72"/>
  <c r="V28" i="72"/>
  <c r="W28" i="72"/>
  <c r="Y27" i="72"/>
  <c r="D28" i="72"/>
  <c r="O28" i="72"/>
  <c r="Y28" i="72"/>
  <c r="D32" i="72"/>
  <c r="O32" i="72"/>
  <c r="Y32" i="72"/>
  <c r="D36" i="72"/>
  <c r="O36" i="72"/>
  <c r="Y36" i="72"/>
  <c r="D40" i="72"/>
  <c r="O40" i="72"/>
  <c r="Y40" i="72"/>
  <c r="D44" i="72"/>
  <c r="O44" i="72"/>
  <c r="Y44" i="72"/>
  <c r="K45" i="72"/>
  <c r="G46" i="72"/>
  <c r="H45" i="72"/>
  <c r="G48" i="72"/>
  <c r="H48" i="72"/>
  <c r="I48" i="72"/>
  <c r="J48" i="72"/>
  <c r="K48" i="72"/>
  <c r="L48" i="72"/>
  <c r="D48" i="72"/>
  <c r="AA48" i="72"/>
  <c r="Z48" i="72"/>
  <c r="V45" i="72"/>
  <c r="R48" i="72"/>
  <c r="S48" i="72"/>
  <c r="T48" i="72"/>
  <c r="U48" i="72"/>
  <c r="V48" i="72"/>
  <c r="W48" i="72"/>
  <c r="Y47" i="72"/>
  <c r="O48" i="72"/>
  <c r="Y48" i="72"/>
  <c r="E28" i="72"/>
  <c r="P32" i="72"/>
  <c r="E36" i="72"/>
  <c r="P40" i="72"/>
  <c r="E44" i="72"/>
  <c r="P48" i="72"/>
  <c r="P28" i="72"/>
  <c r="E32" i="72"/>
  <c r="P36" i="72"/>
  <c r="E40" i="72"/>
  <c r="P44" i="72"/>
  <c r="E48" i="72"/>
  <c r="R46" i="72"/>
  <c r="O46" i="72"/>
  <c r="R42" i="72"/>
  <c r="O42" i="72"/>
  <c r="R38" i="72"/>
  <c r="O38" i="72"/>
  <c r="R34" i="72"/>
  <c r="O34" i="72"/>
  <c r="R30" i="72"/>
  <c r="O30" i="72"/>
  <c r="R26" i="72"/>
  <c r="O26" i="72"/>
  <c r="Q26" i="72"/>
  <c r="R27" i="72"/>
  <c r="S27" i="72"/>
  <c r="T27" i="72"/>
  <c r="U27" i="72"/>
  <c r="V27" i="72"/>
  <c r="W26" i="72"/>
  <c r="U25" i="72"/>
  <c r="Q30" i="72"/>
  <c r="R31" i="72"/>
  <c r="S31" i="72"/>
  <c r="T31" i="72"/>
  <c r="U31" i="72"/>
  <c r="V31" i="72"/>
  <c r="W30" i="72"/>
  <c r="U29" i="72"/>
  <c r="Q34" i="72"/>
  <c r="R35" i="72"/>
  <c r="S35" i="72"/>
  <c r="T35" i="72"/>
  <c r="U35" i="72"/>
  <c r="V35" i="72"/>
  <c r="W34" i="72"/>
  <c r="U33" i="72"/>
  <c r="Q38" i="72"/>
  <c r="R39" i="72"/>
  <c r="S39" i="72"/>
  <c r="T39" i="72"/>
  <c r="U39" i="72"/>
  <c r="V39" i="72"/>
  <c r="W38" i="72"/>
  <c r="U37" i="72"/>
  <c r="Q42" i="72"/>
  <c r="R43" i="72"/>
  <c r="S43" i="72"/>
  <c r="T43" i="72"/>
  <c r="U43" i="72"/>
  <c r="V43" i="72"/>
  <c r="W42" i="72"/>
  <c r="U41" i="72"/>
  <c r="Q46" i="72"/>
  <c r="R47" i="72"/>
  <c r="S47" i="72"/>
  <c r="T47" i="72"/>
  <c r="U47" i="72"/>
  <c r="V47" i="72"/>
  <c r="N47" i="72"/>
  <c r="D46" i="72"/>
  <c r="D42" i="72"/>
  <c r="D38" i="72"/>
  <c r="D34" i="72"/>
  <c r="D30" i="72"/>
  <c r="D26" i="72"/>
  <c r="F26" i="72"/>
  <c r="G27" i="72"/>
  <c r="H27" i="72"/>
  <c r="I27" i="72"/>
  <c r="J27" i="72"/>
  <c r="K27" i="72"/>
  <c r="L26" i="72"/>
  <c r="J25" i="72"/>
  <c r="F30" i="72"/>
  <c r="G31" i="72"/>
  <c r="H31" i="72"/>
  <c r="I31" i="72"/>
  <c r="J31" i="72"/>
  <c r="K31" i="72"/>
  <c r="L30" i="72"/>
  <c r="J29" i="72"/>
  <c r="F34" i="72"/>
  <c r="G35" i="72"/>
  <c r="H35" i="72"/>
  <c r="I35" i="72"/>
  <c r="J35" i="72"/>
  <c r="K35" i="72"/>
  <c r="L34" i="72"/>
  <c r="J33" i="72"/>
  <c r="F38" i="72"/>
  <c r="G39" i="72"/>
  <c r="H39" i="72"/>
  <c r="I39" i="72"/>
  <c r="J39" i="72"/>
  <c r="K39" i="72"/>
  <c r="L38" i="72"/>
  <c r="J37" i="72"/>
  <c r="F42" i="72"/>
  <c r="G43" i="72"/>
  <c r="H43" i="72"/>
  <c r="I43" i="72"/>
  <c r="J43" i="72"/>
  <c r="K43" i="72"/>
  <c r="L42" i="72"/>
  <c r="J41" i="72"/>
  <c r="F46" i="72"/>
  <c r="G47" i="72"/>
  <c r="H47" i="72"/>
  <c r="I47" i="72"/>
  <c r="J47" i="72"/>
  <c r="K47" i="72"/>
  <c r="AA46" i="72"/>
  <c r="C47" i="72"/>
  <c r="Z46" i="72"/>
  <c r="L46" i="72"/>
  <c r="W46" i="72"/>
  <c r="Y45" i="72"/>
  <c r="Y41" i="72"/>
  <c r="Y37" i="72"/>
  <c r="Y33" i="72"/>
  <c r="Y29" i="72"/>
  <c r="Y25" i="72"/>
  <c r="Y26" i="72"/>
  <c r="Y30" i="72"/>
  <c r="Y34" i="72"/>
  <c r="Y38" i="72"/>
  <c r="Y42" i="72"/>
  <c r="Y46" i="72"/>
  <c r="S46" i="72"/>
  <c r="T46" i="72"/>
  <c r="U46" i="72"/>
  <c r="V46" i="72"/>
  <c r="P26" i="72"/>
  <c r="P30" i="72"/>
  <c r="P34" i="72"/>
  <c r="P38" i="72"/>
  <c r="P42" i="72"/>
  <c r="P46" i="72"/>
  <c r="H46" i="72"/>
  <c r="I46" i="72"/>
  <c r="J46" i="72"/>
  <c r="K46" i="72"/>
  <c r="E26" i="72"/>
  <c r="E30" i="72"/>
  <c r="E34" i="72"/>
  <c r="E38" i="72"/>
  <c r="E42" i="72"/>
  <c r="E46" i="72"/>
  <c r="U45" i="72"/>
  <c r="O45" i="72"/>
  <c r="N45" i="72"/>
  <c r="J45" i="72"/>
  <c r="D45" i="72"/>
  <c r="C45" i="72"/>
  <c r="A25" i="72"/>
  <c r="A29" i="72"/>
  <c r="A33" i="72"/>
  <c r="A37" i="72"/>
  <c r="A41" i="72"/>
  <c r="A45" i="72"/>
  <c r="AA44" i="72"/>
  <c r="Z44" i="72"/>
  <c r="N43" i="72"/>
  <c r="AA42" i="72"/>
  <c r="C43" i="72"/>
  <c r="Z42" i="72"/>
  <c r="S42" i="72"/>
  <c r="T42" i="72"/>
  <c r="U42" i="72"/>
  <c r="V42" i="72"/>
  <c r="H42" i="72"/>
  <c r="I42" i="72"/>
  <c r="J42" i="72"/>
  <c r="K42" i="72"/>
  <c r="O41" i="72"/>
  <c r="N41" i="72"/>
  <c r="D41" i="72"/>
  <c r="C41" i="72"/>
  <c r="AA40" i="72"/>
  <c r="Z40" i="72"/>
  <c r="N39" i="72"/>
  <c r="AA38" i="72"/>
  <c r="C39" i="72"/>
  <c r="Z38" i="72"/>
  <c r="S38" i="72"/>
  <c r="T38" i="72"/>
  <c r="U38" i="72"/>
  <c r="V38" i="72"/>
  <c r="H38" i="72"/>
  <c r="I38" i="72"/>
  <c r="J38" i="72"/>
  <c r="K38" i="72"/>
  <c r="O37" i="72"/>
  <c r="N37" i="72"/>
  <c r="D37" i="72"/>
  <c r="C37" i="72"/>
  <c r="AA36" i="72"/>
  <c r="Z36" i="72"/>
  <c r="N35" i="72"/>
  <c r="AA34" i="72"/>
  <c r="C35" i="72"/>
  <c r="Z34" i="72"/>
  <c r="S34" i="72"/>
  <c r="T34" i="72"/>
  <c r="U34" i="72"/>
  <c r="V34" i="72"/>
  <c r="H34" i="72"/>
  <c r="I34" i="72"/>
  <c r="J34" i="72"/>
  <c r="K34" i="72"/>
  <c r="O33" i="72"/>
  <c r="N33" i="72"/>
  <c r="D33" i="72"/>
  <c r="C33" i="72"/>
  <c r="AA32" i="72"/>
  <c r="Z32" i="72"/>
  <c r="N31" i="72"/>
  <c r="AA30" i="72"/>
  <c r="C31" i="72"/>
  <c r="Z30" i="72"/>
  <c r="S30" i="72"/>
  <c r="T30" i="72"/>
  <c r="U30" i="72"/>
  <c r="V30" i="72"/>
  <c r="H30" i="72"/>
  <c r="I30" i="72"/>
  <c r="J30" i="72"/>
  <c r="K30" i="72"/>
  <c r="O29" i="72"/>
  <c r="N29" i="72"/>
  <c r="D29" i="72"/>
  <c r="C29" i="72"/>
  <c r="AA28" i="72"/>
  <c r="Z28" i="72"/>
  <c r="N27" i="72"/>
  <c r="AA26" i="72"/>
  <c r="C27" i="72"/>
  <c r="Z26" i="72"/>
  <c r="S26" i="72"/>
  <c r="T26" i="72"/>
  <c r="U26" i="72"/>
  <c r="V26" i="72"/>
  <c r="H26" i="72"/>
  <c r="I26" i="72"/>
  <c r="J26" i="72"/>
  <c r="K26" i="72"/>
  <c r="O25" i="72"/>
  <c r="N25" i="72"/>
  <c r="B17" i="72"/>
  <c r="M13" i="72"/>
  <c r="D25" i="72"/>
  <c r="C25" i="72"/>
  <c r="K21" i="72"/>
  <c r="G22" i="72"/>
  <c r="H21" i="72"/>
  <c r="G24" i="72"/>
  <c r="H24" i="72"/>
  <c r="I24" i="72"/>
  <c r="J24" i="72"/>
  <c r="K24" i="72"/>
  <c r="L24" i="72"/>
  <c r="V21" i="72"/>
  <c r="R24" i="72"/>
  <c r="S24" i="72"/>
  <c r="T24" i="72"/>
  <c r="U24" i="72"/>
  <c r="V24" i="72"/>
  <c r="W24" i="72"/>
  <c r="Y23" i="72"/>
  <c r="D24" i="72"/>
  <c r="O24" i="72"/>
  <c r="Y24" i="72"/>
  <c r="P24" i="72"/>
  <c r="E24" i="72"/>
  <c r="R22" i="72"/>
  <c r="O22" i="72"/>
  <c r="Q22" i="72"/>
  <c r="R23" i="72"/>
  <c r="S23" i="72"/>
  <c r="T23" i="72"/>
  <c r="U23" i="72"/>
  <c r="V23" i="72"/>
  <c r="W22" i="72"/>
  <c r="U21" i="72"/>
  <c r="D22" i="72"/>
  <c r="F22" i="72"/>
  <c r="G23" i="72"/>
  <c r="H23" i="72"/>
  <c r="I23" i="72"/>
  <c r="J23" i="72"/>
  <c r="K23" i="72"/>
  <c r="L22" i="72"/>
  <c r="J21" i="72"/>
  <c r="Y21" i="72"/>
  <c r="Y22" i="72"/>
  <c r="P22" i="72"/>
  <c r="E22" i="72"/>
  <c r="A21" i="72"/>
  <c r="AA24" i="72"/>
  <c r="Z24" i="72"/>
  <c r="N23" i="72"/>
  <c r="AA22" i="72"/>
  <c r="C23" i="72"/>
  <c r="Z22" i="72"/>
  <c r="S22" i="72"/>
  <c r="T22" i="72"/>
  <c r="U22" i="72"/>
  <c r="V22" i="72"/>
  <c r="H22" i="72"/>
  <c r="I22" i="72"/>
  <c r="J22" i="72"/>
  <c r="K22" i="72"/>
  <c r="O21" i="72"/>
  <c r="N21" i="72"/>
  <c r="D21" i="72"/>
  <c r="C21" i="72"/>
  <c r="B13" i="72"/>
  <c r="M9" i="72"/>
  <c r="K13" i="72"/>
  <c r="G14" i="72"/>
  <c r="H13" i="72"/>
  <c r="G16" i="72"/>
  <c r="H16" i="72"/>
  <c r="I16" i="72"/>
  <c r="J16" i="72"/>
  <c r="K16" i="72"/>
  <c r="L16" i="72"/>
  <c r="V13" i="72"/>
  <c r="R16" i="72"/>
  <c r="S16" i="72"/>
  <c r="T16" i="72"/>
  <c r="U16" i="72"/>
  <c r="V16" i="72"/>
  <c r="W16" i="72"/>
  <c r="Y15" i="72"/>
  <c r="K9" i="72"/>
  <c r="G10" i="72"/>
  <c r="H9" i="72"/>
  <c r="G12" i="72"/>
  <c r="H12" i="72"/>
  <c r="I12" i="72"/>
  <c r="J12" i="72"/>
  <c r="K12" i="72"/>
  <c r="L12" i="72"/>
  <c r="V9" i="72"/>
  <c r="R12" i="72"/>
  <c r="S12" i="72"/>
  <c r="T12" i="72"/>
  <c r="U12" i="72"/>
  <c r="V12" i="72"/>
  <c r="W12" i="72"/>
  <c r="Y11" i="72"/>
  <c r="D12" i="72"/>
  <c r="O12" i="72"/>
  <c r="Y12" i="72"/>
  <c r="D16" i="72"/>
  <c r="O16" i="72"/>
  <c r="Y16" i="72"/>
  <c r="K17" i="72"/>
  <c r="G18" i="72"/>
  <c r="H17" i="72"/>
  <c r="G20" i="72"/>
  <c r="H20" i="72"/>
  <c r="I20" i="72"/>
  <c r="J20" i="72"/>
  <c r="K20" i="72"/>
  <c r="L20" i="72"/>
  <c r="D20" i="72"/>
  <c r="AA20" i="72"/>
  <c r="Z20" i="72"/>
  <c r="V17" i="72"/>
  <c r="R20" i="72"/>
  <c r="S20" i="72"/>
  <c r="T20" i="72"/>
  <c r="U20" i="72"/>
  <c r="V20" i="72"/>
  <c r="W20" i="72"/>
  <c r="Y19" i="72"/>
  <c r="O20" i="72"/>
  <c r="Y20" i="72"/>
  <c r="P12" i="72"/>
  <c r="E16" i="72"/>
  <c r="P20" i="72"/>
  <c r="E12" i="72"/>
  <c r="P16" i="72"/>
  <c r="E20" i="72"/>
  <c r="R18" i="72"/>
  <c r="O18" i="72"/>
  <c r="R14" i="72"/>
  <c r="O14" i="72"/>
  <c r="R10" i="72"/>
  <c r="O10" i="72"/>
  <c r="Q10" i="72"/>
  <c r="R11" i="72"/>
  <c r="S11" i="72"/>
  <c r="T11" i="72"/>
  <c r="U11" i="72"/>
  <c r="V11" i="72"/>
  <c r="W10" i="72"/>
  <c r="U9" i="72"/>
  <c r="Q14" i="72"/>
  <c r="R15" i="72"/>
  <c r="S15" i="72"/>
  <c r="T15" i="72"/>
  <c r="U15" i="72"/>
  <c r="V15" i="72"/>
  <c r="W14" i="72"/>
  <c r="U13" i="72"/>
  <c r="Q18" i="72"/>
  <c r="R19" i="72"/>
  <c r="S19" i="72"/>
  <c r="T19" i="72"/>
  <c r="U19" i="72"/>
  <c r="V19" i="72"/>
  <c r="N19" i="72"/>
  <c r="D18" i="72"/>
  <c r="D14" i="72"/>
  <c r="D10" i="72"/>
  <c r="F10" i="72"/>
  <c r="G11" i="72"/>
  <c r="H11" i="72"/>
  <c r="I11" i="72"/>
  <c r="J11" i="72"/>
  <c r="K11" i="72"/>
  <c r="L10" i="72"/>
  <c r="J9" i="72"/>
  <c r="F14" i="72"/>
  <c r="G15" i="72"/>
  <c r="H15" i="72"/>
  <c r="I15" i="72"/>
  <c r="J15" i="72"/>
  <c r="K15" i="72"/>
  <c r="L14" i="72"/>
  <c r="J13" i="72"/>
  <c r="F18" i="72"/>
  <c r="G19" i="72"/>
  <c r="H19" i="72"/>
  <c r="I19" i="72"/>
  <c r="J19" i="72"/>
  <c r="K19" i="72"/>
  <c r="AA18" i="72"/>
  <c r="C19" i="72"/>
  <c r="Z18" i="72"/>
  <c r="L18" i="72"/>
  <c r="W18" i="72"/>
  <c r="Y17" i="72"/>
  <c r="Y13" i="72"/>
  <c r="Y9" i="72"/>
  <c r="Y10" i="72"/>
  <c r="Y14" i="72"/>
  <c r="Y18" i="72"/>
  <c r="S18" i="72"/>
  <c r="T18" i="72"/>
  <c r="U18" i="72"/>
  <c r="V18" i="72"/>
  <c r="P10" i="72"/>
  <c r="P14" i="72"/>
  <c r="P18" i="72"/>
  <c r="H18" i="72"/>
  <c r="I18" i="72"/>
  <c r="J18" i="72"/>
  <c r="K18" i="72"/>
  <c r="E10" i="72"/>
  <c r="E14" i="72"/>
  <c r="E18" i="72"/>
  <c r="U17" i="72"/>
  <c r="O17" i="72"/>
  <c r="N17" i="72"/>
  <c r="J17" i="72"/>
  <c r="D17" i="72"/>
  <c r="C17" i="72"/>
  <c r="A9" i="72"/>
  <c r="A13" i="72"/>
  <c r="A17" i="72"/>
  <c r="AA16" i="72"/>
  <c r="Z16" i="72"/>
  <c r="N15" i="72"/>
  <c r="AA14" i="72"/>
  <c r="C15" i="72"/>
  <c r="Z14" i="72"/>
  <c r="S14" i="72"/>
  <c r="T14" i="72"/>
  <c r="U14" i="72"/>
  <c r="V14" i="72"/>
  <c r="H14" i="72"/>
  <c r="I14" i="72"/>
  <c r="J14" i="72"/>
  <c r="K14" i="72"/>
  <c r="O13" i="72"/>
  <c r="N13" i="72"/>
  <c r="B9" i="72"/>
  <c r="M5" i="72"/>
  <c r="D13" i="72"/>
  <c r="C13" i="72"/>
  <c r="AA12" i="72"/>
  <c r="Z12" i="72"/>
  <c r="N11" i="72"/>
  <c r="AA10" i="72"/>
  <c r="C11" i="72"/>
  <c r="Z10" i="72"/>
  <c r="S10" i="72"/>
  <c r="T10" i="72"/>
  <c r="U10" i="72"/>
  <c r="V10" i="72"/>
  <c r="H10" i="72"/>
  <c r="I10" i="72"/>
  <c r="J10" i="72"/>
  <c r="K10" i="72"/>
  <c r="O9" i="72"/>
  <c r="N9" i="72"/>
  <c r="D9" i="72"/>
  <c r="C9" i="72"/>
  <c r="B5" i="72"/>
  <c r="K5" i="72"/>
  <c r="G6" i="72"/>
  <c r="H5" i="72"/>
  <c r="G8" i="72"/>
  <c r="H8" i="72"/>
  <c r="I8" i="72"/>
  <c r="J8" i="72"/>
  <c r="K8" i="72"/>
  <c r="L8" i="72"/>
  <c r="V5" i="72"/>
  <c r="R8" i="72"/>
  <c r="S8" i="72"/>
  <c r="T8" i="72"/>
  <c r="U8" i="72"/>
  <c r="V8" i="72"/>
  <c r="W8" i="72"/>
  <c r="Y7" i="72"/>
  <c r="D8" i="72"/>
  <c r="O8" i="72"/>
  <c r="Y8" i="72"/>
  <c r="R6" i="72"/>
  <c r="O6" i="72"/>
  <c r="Q6" i="72"/>
  <c r="R7" i="72"/>
  <c r="S7" i="72"/>
  <c r="T7" i="72"/>
  <c r="U7" i="72"/>
  <c r="V7" i="72"/>
  <c r="W6" i="72"/>
  <c r="U5" i="72"/>
  <c r="AA8" i="72"/>
  <c r="N7" i="72"/>
  <c r="D6" i="72"/>
  <c r="F6" i="72"/>
  <c r="G7" i="72"/>
  <c r="H7" i="72"/>
  <c r="I7" i="72"/>
  <c r="J7" i="72"/>
  <c r="K7" i="72"/>
  <c r="L6" i="72"/>
  <c r="J5" i="72"/>
  <c r="P6" i="72"/>
  <c r="E6" i="72"/>
  <c r="N5" i="72"/>
  <c r="AA6" i="72"/>
  <c r="C7" i="72"/>
  <c r="C5" i="72"/>
  <c r="Y5" i="72"/>
  <c r="Y6" i="72"/>
  <c r="M3" i="72"/>
  <c r="D5" i="72"/>
  <c r="Z6" i="72"/>
  <c r="AE8" i="72"/>
  <c r="AE7" i="72"/>
  <c r="M4" i="72"/>
  <c r="M2" i="72"/>
  <c r="B4" i="72"/>
  <c r="V3" i="72"/>
  <c r="R3" i="72"/>
  <c r="K3" i="72"/>
  <c r="G3" i="72"/>
  <c r="P15" i="63"/>
  <c r="V7" i="63"/>
  <c r="V12" i="63"/>
  <c r="V17" i="63"/>
  <c r="V22" i="63"/>
  <c r="V27" i="63"/>
  <c r="V32" i="63"/>
  <c r="V37" i="63"/>
  <c r="V42" i="63"/>
  <c r="V47" i="63"/>
  <c r="V52" i="63"/>
  <c r="V57" i="63"/>
  <c r="V62" i="63"/>
  <c r="W62" i="63"/>
  <c r="S62" i="63"/>
  <c r="R63" i="63"/>
  <c r="Q62" i="63"/>
  <c r="P62" i="63"/>
  <c r="R65" i="63"/>
  <c r="S65" i="63"/>
  <c r="T65" i="63"/>
  <c r="U65" i="63"/>
  <c r="V65" i="63"/>
  <c r="Y65" i="63"/>
  <c r="C15" i="63"/>
  <c r="P25" i="63"/>
  <c r="C35" i="63"/>
  <c r="P45" i="63"/>
  <c r="C55" i="63"/>
  <c r="P65" i="63"/>
  <c r="O65" i="63"/>
  <c r="I12" i="63"/>
  <c r="I17" i="63"/>
  <c r="I22" i="63"/>
  <c r="I27" i="63"/>
  <c r="I32" i="63"/>
  <c r="I37" i="63"/>
  <c r="I42" i="63"/>
  <c r="I47" i="63"/>
  <c r="I52" i="63"/>
  <c r="I57" i="63"/>
  <c r="I62" i="63"/>
  <c r="J62" i="63"/>
  <c r="F62" i="63"/>
  <c r="E63" i="63"/>
  <c r="D62" i="63"/>
  <c r="C62" i="63"/>
  <c r="E65" i="63"/>
  <c r="F65" i="63"/>
  <c r="G65" i="63"/>
  <c r="H65" i="63"/>
  <c r="I65" i="63"/>
  <c r="L65" i="63"/>
  <c r="C25" i="63"/>
  <c r="P35" i="63"/>
  <c r="C45" i="63"/>
  <c r="P55" i="63"/>
  <c r="C65" i="63"/>
  <c r="W42" i="63"/>
  <c r="S42" i="63"/>
  <c r="R43" i="63"/>
  <c r="W22" i="63"/>
  <c r="S22" i="63"/>
  <c r="R23" i="63"/>
  <c r="Q23" i="63"/>
  <c r="R24" i="63"/>
  <c r="Q22" i="63"/>
  <c r="P22" i="63"/>
  <c r="R25" i="63"/>
  <c r="S24" i="63"/>
  <c r="S25" i="63"/>
  <c r="T24" i="63"/>
  <c r="T25" i="63"/>
  <c r="U24" i="63"/>
  <c r="U25" i="63"/>
  <c r="V24" i="63"/>
  <c r="V25" i="63"/>
  <c r="Y24" i="63"/>
  <c r="Y25" i="63"/>
  <c r="U22" i="63"/>
  <c r="D33" i="63"/>
  <c r="Q43" i="63"/>
  <c r="R44" i="63"/>
  <c r="Q42" i="63"/>
  <c r="P42" i="63"/>
  <c r="R45" i="63"/>
  <c r="S44" i="63"/>
  <c r="S45" i="63"/>
  <c r="T44" i="63"/>
  <c r="T45" i="63"/>
  <c r="U44" i="63"/>
  <c r="U45" i="63"/>
  <c r="V44" i="63"/>
  <c r="V45" i="63"/>
  <c r="Y44" i="63"/>
  <c r="Y45" i="63"/>
  <c r="U42" i="63"/>
  <c r="D53" i="63"/>
  <c r="Q63" i="63"/>
  <c r="R64" i="63"/>
  <c r="S64" i="63"/>
  <c r="T64" i="63"/>
  <c r="U64" i="63"/>
  <c r="V64" i="63"/>
  <c r="Y64" i="63"/>
  <c r="B9" i="63"/>
  <c r="B14" i="63"/>
  <c r="B19" i="63"/>
  <c r="B24" i="63"/>
  <c r="B29" i="63"/>
  <c r="B34" i="63"/>
  <c r="B39" i="63"/>
  <c r="B44" i="63"/>
  <c r="B49" i="63"/>
  <c r="B54" i="63"/>
  <c r="B59" i="63"/>
  <c r="B64" i="63"/>
  <c r="O64" i="63"/>
  <c r="W52" i="63"/>
  <c r="S52" i="63"/>
  <c r="R53" i="63"/>
  <c r="W32" i="63"/>
  <c r="S32" i="63"/>
  <c r="R33" i="63"/>
  <c r="W12" i="63"/>
  <c r="S12" i="63"/>
  <c r="R13" i="63"/>
  <c r="R14" i="63"/>
  <c r="S14" i="63"/>
  <c r="T14" i="63"/>
  <c r="U14" i="63"/>
  <c r="V14" i="63"/>
  <c r="Q12" i="63"/>
  <c r="P12" i="63"/>
  <c r="R15" i="63"/>
  <c r="S15" i="63"/>
  <c r="T15" i="63"/>
  <c r="U15" i="63"/>
  <c r="V15" i="63"/>
  <c r="Y14" i="63"/>
  <c r="Y15" i="63"/>
  <c r="U12" i="63"/>
  <c r="D23" i="63"/>
  <c r="Q33" i="63"/>
  <c r="R34" i="63"/>
  <c r="Q32" i="63"/>
  <c r="P32" i="63"/>
  <c r="R35" i="63"/>
  <c r="S34" i="63"/>
  <c r="S35" i="63"/>
  <c r="T34" i="63"/>
  <c r="T35" i="63"/>
  <c r="U34" i="63"/>
  <c r="U35" i="63"/>
  <c r="V34" i="63"/>
  <c r="V35" i="63"/>
  <c r="Y34" i="63"/>
  <c r="Y35" i="63"/>
  <c r="U32" i="63"/>
  <c r="D43" i="63"/>
  <c r="Q53" i="63"/>
  <c r="R54" i="63"/>
  <c r="Q52" i="63"/>
  <c r="P52" i="63"/>
  <c r="R55" i="63"/>
  <c r="S54" i="63"/>
  <c r="S55" i="63"/>
  <c r="T54" i="63"/>
  <c r="T55" i="63"/>
  <c r="U54" i="63"/>
  <c r="U55" i="63"/>
  <c r="V54" i="63"/>
  <c r="V55" i="63"/>
  <c r="Y54" i="63"/>
  <c r="Y55" i="63"/>
  <c r="U52" i="63"/>
  <c r="D63" i="63"/>
  <c r="E64" i="63"/>
  <c r="F64" i="63"/>
  <c r="G64" i="63"/>
  <c r="H64" i="63"/>
  <c r="I64" i="63"/>
  <c r="L64" i="63"/>
  <c r="S63" i="63"/>
  <c r="T63" i="63"/>
  <c r="U63" i="63"/>
  <c r="V63" i="63"/>
  <c r="Y63" i="63"/>
  <c r="P23" i="63"/>
  <c r="C33" i="63"/>
  <c r="P43" i="63"/>
  <c r="C53" i="63"/>
  <c r="P63" i="63"/>
  <c r="B8" i="63"/>
  <c r="B13" i="63"/>
  <c r="B18" i="63"/>
  <c r="B23" i="63"/>
  <c r="B28" i="63"/>
  <c r="B33" i="63"/>
  <c r="B38" i="63"/>
  <c r="B43" i="63"/>
  <c r="B48" i="63"/>
  <c r="B53" i="63"/>
  <c r="B58" i="63"/>
  <c r="B63" i="63"/>
  <c r="O63" i="63"/>
  <c r="N13" i="63"/>
  <c r="N18" i="63"/>
  <c r="N23" i="63"/>
  <c r="N28" i="63"/>
  <c r="N33" i="63"/>
  <c r="N38" i="63"/>
  <c r="N43" i="63"/>
  <c r="N48" i="63"/>
  <c r="N53" i="63"/>
  <c r="N58" i="63"/>
  <c r="N63" i="63"/>
  <c r="F63" i="63"/>
  <c r="G63" i="63"/>
  <c r="H63" i="63"/>
  <c r="I63" i="63"/>
  <c r="L63" i="63"/>
  <c r="C23" i="63"/>
  <c r="P33" i="63"/>
  <c r="C43" i="63"/>
  <c r="P53" i="63"/>
  <c r="C63" i="63"/>
  <c r="A13" i="63"/>
  <c r="A18" i="63"/>
  <c r="A23" i="63"/>
  <c r="A28" i="63"/>
  <c r="A33" i="63"/>
  <c r="A38" i="63"/>
  <c r="A43" i="63"/>
  <c r="A48" i="63"/>
  <c r="A53" i="63"/>
  <c r="A58" i="63"/>
  <c r="A63" i="63"/>
  <c r="W17" i="63"/>
  <c r="S17" i="63"/>
  <c r="R18" i="63"/>
  <c r="Q17" i="63"/>
  <c r="P17" i="63"/>
  <c r="R20" i="63"/>
  <c r="S20" i="63"/>
  <c r="T20" i="63"/>
  <c r="U20" i="63"/>
  <c r="V20" i="63"/>
  <c r="Y20" i="63"/>
  <c r="W7" i="63"/>
  <c r="S7" i="63"/>
  <c r="R8" i="63"/>
  <c r="Q7" i="63"/>
  <c r="P7" i="63"/>
  <c r="R10" i="63"/>
  <c r="S10" i="63"/>
  <c r="T10" i="63"/>
  <c r="U10" i="63"/>
  <c r="V10" i="63"/>
  <c r="Y10" i="63"/>
  <c r="Y7" i="63"/>
  <c r="Y12" i="63"/>
  <c r="Y17" i="63"/>
  <c r="Y22" i="63"/>
  <c r="W27" i="63"/>
  <c r="S27" i="63"/>
  <c r="R28" i="63"/>
  <c r="Q27" i="63"/>
  <c r="P27" i="63"/>
  <c r="R30" i="63"/>
  <c r="S30" i="63"/>
  <c r="T30" i="63"/>
  <c r="U30" i="63"/>
  <c r="V30" i="63"/>
  <c r="Y30" i="63"/>
  <c r="Y27" i="63"/>
  <c r="Y32" i="63"/>
  <c r="W37" i="63"/>
  <c r="S37" i="63"/>
  <c r="R38" i="63"/>
  <c r="Q37" i="63"/>
  <c r="P37" i="63"/>
  <c r="R40" i="63"/>
  <c r="S40" i="63"/>
  <c r="T40" i="63"/>
  <c r="U40" i="63"/>
  <c r="V40" i="63"/>
  <c r="Y40" i="63"/>
  <c r="Y37" i="63"/>
  <c r="Y42" i="63"/>
  <c r="W47" i="63"/>
  <c r="S47" i="63"/>
  <c r="R48" i="63"/>
  <c r="Q47" i="63"/>
  <c r="P47" i="63"/>
  <c r="R50" i="63"/>
  <c r="S50" i="63"/>
  <c r="T50" i="63"/>
  <c r="U50" i="63"/>
  <c r="V50" i="63"/>
  <c r="Y50" i="63"/>
  <c r="Y47" i="63"/>
  <c r="Y52" i="63"/>
  <c r="W57" i="63"/>
  <c r="S57" i="63"/>
  <c r="R58" i="63"/>
  <c r="Q57" i="63"/>
  <c r="P57" i="63"/>
  <c r="R60" i="63"/>
  <c r="S60" i="63"/>
  <c r="T60" i="63"/>
  <c r="U60" i="63"/>
  <c r="V60" i="63"/>
  <c r="Y60" i="63"/>
  <c r="Y57" i="63"/>
  <c r="Y62" i="63"/>
  <c r="U62" i="63"/>
  <c r="R12" i="63"/>
  <c r="R17" i="63"/>
  <c r="R22" i="63"/>
  <c r="R27" i="63"/>
  <c r="R32" i="63"/>
  <c r="R37" i="63"/>
  <c r="R42" i="63"/>
  <c r="R47" i="63"/>
  <c r="R52" i="63"/>
  <c r="R57" i="63"/>
  <c r="R62" i="63"/>
  <c r="N7" i="63"/>
  <c r="N12" i="63"/>
  <c r="N17" i="63"/>
  <c r="N22" i="63"/>
  <c r="N27" i="63"/>
  <c r="N32" i="63"/>
  <c r="N37" i="63"/>
  <c r="N42" i="63"/>
  <c r="N47" i="63"/>
  <c r="N52" i="63"/>
  <c r="N57" i="63"/>
  <c r="N62" i="63"/>
  <c r="J17" i="63"/>
  <c r="F17" i="63"/>
  <c r="E18" i="63"/>
  <c r="D17" i="63"/>
  <c r="C17" i="63"/>
  <c r="E20" i="63"/>
  <c r="F20" i="63"/>
  <c r="G20" i="63"/>
  <c r="H20" i="63"/>
  <c r="I20" i="63"/>
  <c r="L20" i="63"/>
  <c r="J7" i="63"/>
  <c r="F7" i="63"/>
  <c r="E8" i="63"/>
  <c r="D7" i="63"/>
  <c r="C7" i="63"/>
  <c r="E10" i="63"/>
  <c r="F10" i="63"/>
  <c r="G10" i="63"/>
  <c r="H10" i="63"/>
  <c r="I10" i="63"/>
  <c r="L10" i="63"/>
  <c r="L7" i="63"/>
  <c r="J12" i="63"/>
  <c r="F12" i="63"/>
  <c r="E13" i="63"/>
  <c r="D12" i="63"/>
  <c r="C12" i="63"/>
  <c r="E15" i="63"/>
  <c r="F15" i="63"/>
  <c r="G15" i="63"/>
  <c r="H15" i="63"/>
  <c r="I15" i="63"/>
  <c r="L15" i="63"/>
  <c r="L12" i="63"/>
  <c r="L17" i="63"/>
  <c r="J22" i="63"/>
  <c r="F22" i="63"/>
  <c r="E23" i="63"/>
  <c r="D22" i="63"/>
  <c r="C22" i="63"/>
  <c r="E25" i="63"/>
  <c r="F25" i="63"/>
  <c r="G25" i="63"/>
  <c r="H25" i="63"/>
  <c r="I25" i="63"/>
  <c r="L25" i="63"/>
  <c r="L22" i="63"/>
  <c r="J27" i="63"/>
  <c r="F27" i="63"/>
  <c r="E28" i="63"/>
  <c r="D27" i="63"/>
  <c r="C27" i="63"/>
  <c r="E30" i="63"/>
  <c r="F30" i="63"/>
  <c r="G30" i="63"/>
  <c r="H30" i="63"/>
  <c r="I30" i="63"/>
  <c r="L30" i="63"/>
  <c r="L27" i="63"/>
  <c r="J32" i="63"/>
  <c r="F32" i="63"/>
  <c r="E33" i="63"/>
  <c r="D32" i="63"/>
  <c r="C32" i="63"/>
  <c r="E35" i="63"/>
  <c r="F35" i="63"/>
  <c r="G35" i="63"/>
  <c r="H35" i="63"/>
  <c r="I35" i="63"/>
  <c r="L35" i="63"/>
  <c r="L32" i="63"/>
  <c r="J37" i="63"/>
  <c r="F37" i="63"/>
  <c r="E38" i="63"/>
  <c r="D37" i="63"/>
  <c r="C37" i="63"/>
  <c r="E40" i="63"/>
  <c r="F40" i="63"/>
  <c r="G40" i="63"/>
  <c r="H40" i="63"/>
  <c r="I40" i="63"/>
  <c r="L40" i="63"/>
  <c r="L37" i="63"/>
  <c r="J42" i="63"/>
  <c r="F42" i="63"/>
  <c r="E43" i="63"/>
  <c r="D42" i="63"/>
  <c r="C42" i="63"/>
  <c r="E45" i="63"/>
  <c r="F45" i="63"/>
  <c r="G45" i="63"/>
  <c r="H45" i="63"/>
  <c r="I45" i="63"/>
  <c r="L45" i="63"/>
  <c r="L42" i="63"/>
  <c r="J47" i="63"/>
  <c r="F47" i="63"/>
  <c r="E48" i="63"/>
  <c r="D47" i="63"/>
  <c r="C47" i="63"/>
  <c r="E50" i="63"/>
  <c r="F50" i="63"/>
  <c r="G50" i="63"/>
  <c r="H50" i="63"/>
  <c r="I50" i="63"/>
  <c r="L50" i="63"/>
  <c r="L47" i="63"/>
  <c r="J52" i="63"/>
  <c r="F52" i="63"/>
  <c r="E53" i="63"/>
  <c r="D52" i="63"/>
  <c r="C52" i="63"/>
  <c r="E55" i="63"/>
  <c r="F55" i="63"/>
  <c r="G55" i="63"/>
  <c r="H55" i="63"/>
  <c r="I55" i="63"/>
  <c r="L55" i="63"/>
  <c r="L52" i="63"/>
  <c r="J57" i="63"/>
  <c r="F57" i="63"/>
  <c r="E58" i="63"/>
  <c r="D57" i="63"/>
  <c r="C57" i="63"/>
  <c r="E60" i="63"/>
  <c r="F60" i="63"/>
  <c r="G60" i="63"/>
  <c r="H60" i="63"/>
  <c r="I60" i="63"/>
  <c r="L60" i="63"/>
  <c r="L57" i="63"/>
  <c r="L62" i="63"/>
  <c r="M62" i="63"/>
  <c r="H62" i="63"/>
  <c r="E12" i="63"/>
  <c r="E17" i="63"/>
  <c r="E22" i="63"/>
  <c r="E27" i="63"/>
  <c r="E32" i="63"/>
  <c r="E37" i="63"/>
  <c r="E42" i="63"/>
  <c r="E47" i="63"/>
  <c r="E52" i="63"/>
  <c r="E57" i="63"/>
  <c r="E62" i="63"/>
  <c r="A62" i="63"/>
  <c r="A61" i="63"/>
  <c r="P20" i="63"/>
  <c r="P30" i="63"/>
  <c r="P40" i="63"/>
  <c r="P50" i="63"/>
  <c r="P60" i="63"/>
  <c r="O60" i="63"/>
  <c r="C20" i="63"/>
  <c r="C30" i="63"/>
  <c r="C40" i="63"/>
  <c r="C50" i="63"/>
  <c r="C60" i="63"/>
  <c r="R59" i="63"/>
  <c r="S59" i="63"/>
  <c r="T59" i="63"/>
  <c r="U59" i="63"/>
  <c r="V59" i="63"/>
  <c r="Y59" i="63"/>
  <c r="O59" i="63"/>
  <c r="E59" i="63"/>
  <c r="F59" i="63"/>
  <c r="G59" i="63"/>
  <c r="H59" i="63"/>
  <c r="I59" i="63"/>
  <c r="L59" i="63"/>
  <c r="S58" i="63"/>
  <c r="T58" i="63"/>
  <c r="U58" i="63"/>
  <c r="V58" i="63"/>
  <c r="Y58" i="63"/>
  <c r="O58" i="63"/>
  <c r="F58" i="63"/>
  <c r="G58" i="63"/>
  <c r="H58" i="63"/>
  <c r="I58" i="63"/>
  <c r="L58" i="63"/>
  <c r="J18" i="63"/>
  <c r="J28" i="63"/>
  <c r="J38" i="63"/>
  <c r="J48" i="63"/>
  <c r="J58" i="63"/>
  <c r="U57" i="63"/>
  <c r="M57" i="63"/>
  <c r="H57" i="63"/>
  <c r="A57" i="63"/>
  <c r="A56" i="63"/>
  <c r="O55" i="63"/>
  <c r="O54" i="63"/>
  <c r="E54" i="63"/>
  <c r="F54" i="63"/>
  <c r="G54" i="63"/>
  <c r="H54" i="63"/>
  <c r="I54" i="63"/>
  <c r="L54" i="63"/>
  <c r="S53" i="63"/>
  <c r="T53" i="63"/>
  <c r="U53" i="63"/>
  <c r="V53" i="63"/>
  <c r="Y53" i="63"/>
  <c r="O53" i="63"/>
  <c r="F53" i="63"/>
  <c r="G53" i="63"/>
  <c r="H53" i="63"/>
  <c r="I53" i="63"/>
  <c r="L53" i="63"/>
  <c r="M52" i="63"/>
  <c r="H52" i="63"/>
  <c r="A52" i="63"/>
  <c r="A51" i="63"/>
  <c r="O50" i="63"/>
  <c r="R49" i="63"/>
  <c r="S49" i="63"/>
  <c r="T49" i="63"/>
  <c r="U49" i="63"/>
  <c r="V49" i="63"/>
  <c r="Y49" i="63"/>
  <c r="O49" i="63"/>
  <c r="E49" i="63"/>
  <c r="F49" i="63"/>
  <c r="G49" i="63"/>
  <c r="H49" i="63"/>
  <c r="I49" i="63"/>
  <c r="L49" i="63"/>
  <c r="S48" i="63"/>
  <c r="T48" i="63"/>
  <c r="U48" i="63"/>
  <c r="V48" i="63"/>
  <c r="Y48" i="63"/>
  <c r="O48" i="63"/>
  <c r="F48" i="63"/>
  <c r="G48" i="63"/>
  <c r="H48" i="63"/>
  <c r="I48" i="63"/>
  <c r="L48" i="63"/>
  <c r="U47" i="63"/>
  <c r="M47" i="63"/>
  <c r="H47" i="63"/>
  <c r="A47" i="63"/>
  <c r="A46" i="63"/>
  <c r="O45" i="63"/>
  <c r="O44" i="63"/>
  <c r="E44" i="63"/>
  <c r="F44" i="63"/>
  <c r="G44" i="63"/>
  <c r="H44" i="63"/>
  <c r="I44" i="63"/>
  <c r="L44" i="63"/>
  <c r="S43" i="63"/>
  <c r="T43" i="63"/>
  <c r="U43" i="63"/>
  <c r="V43" i="63"/>
  <c r="Y43" i="63"/>
  <c r="O43" i="63"/>
  <c r="F43" i="63"/>
  <c r="G43" i="63"/>
  <c r="H43" i="63"/>
  <c r="I43" i="63"/>
  <c r="L43" i="63"/>
  <c r="M42" i="63"/>
  <c r="H42" i="63"/>
  <c r="A42" i="63"/>
  <c r="A41" i="63"/>
  <c r="O40" i="63"/>
  <c r="R39" i="63"/>
  <c r="S39" i="63"/>
  <c r="T39" i="63"/>
  <c r="U39" i="63"/>
  <c r="V39" i="63"/>
  <c r="Y39" i="63"/>
  <c r="O39" i="63"/>
  <c r="E39" i="63"/>
  <c r="F39" i="63"/>
  <c r="G39" i="63"/>
  <c r="H39" i="63"/>
  <c r="I39" i="63"/>
  <c r="L39" i="63"/>
  <c r="S38" i="63"/>
  <c r="T38" i="63"/>
  <c r="U38" i="63"/>
  <c r="V38" i="63"/>
  <c r="Y38" i="63"/>
  <c r="O38" i="63"/>
  <c r="F38" i="63"/>
  <c r="G38" i="63"/>
  <c r="H38" i="63"/>
  <c r="I38" i="63"/>
  <c r="L38" i="63"/>
  <c r="U37" i="63"/>
  <c r="M37" i="63"/>
  <c r="H37" i="63"/>
  <c r="A37" i="63"/>
  <c r="A36" i="63"/>
  <c r="O35" i="63"/>
  <c r="O34" i="63"/>
  <c r="E34" i="63"/>
  <c r="F34" i="63"/>
  <c r="G34" i="63"/>
  <c r="H34" i="63"/>
  <c r="I34" i="63"/>
  <c r="L34" i="63"/>
  <c r="S33" i="63"/>
  <c r="T33" i="63"/>
  <c r="U33" i="63"/>
  <c r="V33" i="63"/>
  <c r="Y33" i="63"/>
  <c r="O33" i="63"/>
  <c r="F33" i="63"/>
  <c r="G33" i="63"/>
  <c r="H33" i="63"/>
  <c r="I33" i="63"/>
  <c r="L33" i="63"/>
  <c r="M32" i="63"/>
  <c r="H32" i="63"/>
  <c r="A32" i="63"/>
  <c r="A31" i="63"/>
  <c r="O30" i="63"/>
  <c r="R29" i="63"/>
  <c r="S29" i="63"/>
  <c r="T29" i="63"/>
  <c r="U29" i="63"/>
  <c r="V29" i="63"/>
  <c r="Y29" i="63"/>
  <c r="O29" i="63"/>
  <c r="E29" i="63"/>
  <c r="F29" i="63"/>
  <c r="G29" i="63"/>
  <c r="H29" i="63"/>
  <c r="I29" i="63"/>
  <c r="L29" i="63"/>
  <c r="S28" i="63"/>
  <c r="T28" i="63"/>
  <c r="U28" i="63"/>
  <c r="V28" i="63"/>
  <c r="Y28" i="63"/>
  <c r="O28" i="63"/>
  <c r="F28" i="63"/>
  <c r="G28" i="63"/>
  <c r="H28" i="63"/>
  <c r="I28" i="63"/>
  <c r="L28" i="63"/>
  <c r="U27" i="63"/>
  <c r="M27" i="63"/>
  <c r="H27" i="63"/>
  <c r="A27" i="63"/>
  <c r="A26" i="63"/>
  <c r="O25" i="63"/>
  <c r="O24" i="63"/>
  <c r="E24" i="63"/>
  <c r="F24" i="63"/>
  <c r="G24" i="63"/>
  <c r="H24" i="63"/>
  <c r="I24" i="63"/>
  <c r="L24" i="63"/>
  <c r="S23" i="63"/>
  <c r="T23" i="63"/>
  <c r="U23" i="63"/>
  <c r="V23" i="63"/>
  <c r="Y23" i="63"/>
  <c r="O23" i="63"/>
  <c r="F23" i="63"/>
  <c r="G23" i="63"/>
  <c r="H23" i="63"/>
  <c r="I23" i="63"/>
  <c r="L23" i="63"/>
  <c r="M22" i="63"/>
  <c r="H22" i="63"/>
  <c r="A22" i="63"/>
  <c r="A21" i="63"/>
  <c r="O20" i="63"/>
  <c r="R19" i="63"/>
  <c r="S19" i="63"/>
  <c r="T19" i="63"/>
  <c r="U19" i="63"/>
  <c r="V19" i="63"/>
  <c r="Y19" i="63"/>
  <c r="O19" i="63"/>
  <c r="E19" i="63"/>
  <c r="F19" i="63"/>
  <c r="G19" i="63"/>
  <c r="H19" i="63"/>
  <c r="I19" i="63"/>
  <c r="L19" i="63"/>
  <c r="S18" i="63"/>
  <c r="T18" i="63"/>
  <c r="U18" i="63"/>
  <c r="V18" i="63"/>
  <c r="Y18" i="63"/>
  <c r="O18" i="63"/>
  <c r="F18" i="63"/>
  <c r="G18" i="63"/>
  <c r="H18" i="63"/>
  <c r="I18" i="63"/>
  <c r="L18" i="63"/>
  <c r="U17" i="63"/>
  <c r="M17" i="63"/>
  <c r="H17" i="63"/>
  <c r="A17" i="63"/>
  <c r="A16" i="63"/>
  <c r="V7" i="61"/>
  <c r="V12" i="61"/>
  <c r="V17" i="61"/>
  <c r="V22" i="61"/>
  <c r="V27" i="61"/>
  <c r="V32" i="61"/>
  <c r="V37" i="61"/>
  <c r="V42" i="61"/>
  <c r="V47" i="61"/>
  <c r="V52" i="61"/>
  <c r="V57" i="61"/>
  <c r="V62" i="61"/>
  <c r="R65" i="61"/>
  <c r="W62" i="61"/>
  <c r="S62" i="61"/>
  <c r="R63" i="61"/>
  <c r="Q62" i="61"/>
  <c r="P62" i="61"/>
  <c r="S65" i="61"/>
  <c r="T65" i="61"/>
  <c r="U65" i="61"/>
  <c r="V65" i="61"/>
  <c r="Y65" i="61"/>
  <c r="C15" i="61"/>
  <c r="P25" i="61"/>
  <c r="C35" i="61"/>
  <c r="P45" i="61"/>
  <c r="C55" i="61"/>
  <c r="P65" i="61"/>
  <c r="O65" i="61"/>
  <c r="I12" i="61"/>
  <c r="I17" i="61"/>
  <c r="I22" i="61"/>
  <c r="I27" i="61"/>
  <c r="I32" i="61"/>
  <c r="I37" i="61"/>
  <c r="I42" i="61"/>
  <c r="I47" i="61"/>
  <c r="I52" i="61"/>
  <c r="I57" i="61"/>
  <c r="I62" i="61"/>
  <c r="E65" i="61"/>
  <c r="J62" i="61"/>
  <c r="F62" i="61"/>
  <c r="E63" i="61"/>
  <c r="D62" i="61"/>
  <c r="C62" i="61"/>
  <c r="F65" i="61"/>
  <c r="G65" i="61"/>
  <c r="H65" i="61"/>
  <c r="I65" i="61"/>
  <c r="L65" i="61"/>
  <c r="P15" i="61"/>
  <c r="C25" i="61"/>
  <c r="P35" i="61"/>
  <c r="C45" i="61"/>
  <c r="P55" i="61"/>
  <c r="C65" i="61"/>
  <c r="W42" i="61"/>
  <c r="S42" i="61"/>
  <c r="R43" i="61"/>
  <c r="W22" i="61"/>
  <c r="S22" i="61"/>
  <c r="R23" i="61"/>
  <c r="Q23" i="61"/>
  <c r="R24" i="61"/>
  <c r="R25" i="61"/>
  <c r="S24" i="61"/>
  <c r="Q22" i="61"/>
  <c r="P22" i="61"/>
  <c r="S25" i="61"/>
  <c r="T24" i="61"/>
  <c r="T25" i="61"/>
  <c r="U24" i="61"/>
  <c r="U25" i="61"/>
  <c r="V24" i="61"/>
  <c r="V25" i="61"/>
  <c r="Y24" i="61"/>
  <c r="Y25" i="61"/>
  <c r="U22" i="61"/>
  <c r="D33" i="61"/>
  <c r="Q43" i="61"/>
  <c r="R44" i="61"/>
  <c r="R45" i="61"/>
  <c r="S44" i="61"/>
  <c r="Q42" i="61"/>
  <c r="P42" i="61"/>
  <c r="S45" i="61"/>
  <c r="T44" i="61"/>
  <c r="T45" i="61"/>
  <c r="U44" i="61"/>
  <c r="U45" i="61"/>
  <c r="V44" i="61"/>
  <c r="V45" i="61"/>
  <c r="Y44" i="61"/>
  <c r="Y45" i="61"/>
  <c r="U42" i="61"/>
  <c r="D53" i="61"/>
  <c r="Q63" i="61"/>
  <c r="R64" i="61"/>
  <c r="S64" i="61"/>
  <c r="T64" i="61"/>
  <c r="U64" i="61"/>
  <c r="V64" i="61"/>
  <c r="Y64" i="61"/>
  <c r="B9" i="61"/>
  <c r="B14" i="61"/>
  <c r="B19" i="61"/>
  <c r="B24" i="61"/>
  <c r="B29" i="61"/>
  <c r="B34" i="61"/>
  <c r="B39" i="61"/>
  <c r="B44" i="61"/>
  <c r="B49" i="61"/>
  <c r="B54" i="61"/>
  <c r="B59" i="61"/>
  <c r="B64" i="61"/>
  <c r="O64" i="61"/>
  <c r="W52" i="61"/>
  <c r="S52" i="61"/>
  <c r="R53" i="61"/>
  <c r="W32" i="61"/>
  <c r="S32" i="61"/>
  <c r="R33" i="61"/>
  <c r="W12" i="61"/>
  <c r="S12" i="61"/>
  <c r="R13" i="61"/>
  <c r="R14" i="61"/>
  <c r="R15" i="61"/>
  <c r="S14" i="61"/>
  <c r="Q12" i="61"/>
  <c r="P12" i="61"/>
  <c r="S15" i="61"/>
  <c r="T14" i="61"/>
  <c r="T15" i="61"/>
  <c r="U14" i="61"/>
  <c r="U15" i="61"/>
  <c r="V14" i="61"/>
  <c r="V15" i="61"/>
  <c r="Y14" i="61"/>
  <c r="Y15" i="61"/>
  <c r="U12" i="61"/>
  <c r="D23" i="61"/>
  <c r="Q33" i="61"/>
  <c r="R34" i="61"/>
  <c r="R35" i="61"/>
  <c r="S34" i="61"/>
  <c r="Q32" i="61"/>
  <c r="P32" i="61"/>
  <c r="S35" i="61"/>
  <c r="T34" i="61"/>
  <c r="T35" i="61"/>
  <c r="U34" i="61"/>
  <c r="U35" i="61"/>
  <c r="V34" i="61"/>
  <c r="V35" i="61"/>
  <c r="Y34" i="61"/>
  <c r="Y35" i="61"/>
  <c r="U32" i="61"/>
  <c r="D43" i="61"/>
  <c r="Q53" i="61"/>
  <c r="R54" i="61"/>
  <c r="R55" i="61"/>
  <c r="S54" i="61"/>
  <c r="Q52" i="61"/>
  <c r="P52" i="61"/>
  <c r="S55" i="61"/>
  <c r="T54" i="61"/>
  <c r="T55" i="61"/>
  <c r="U54" i="61"/>
  <c r="U55" i="61"/>
  <c r="V54" i="61"/>
  <c r="V55" i="61"/>
  <c r="Y54" i="61"/>
  <c r="Y55" i="61"/>
  <c r="U52" i="61"/>
  <c r="D63" i="61"/>
  <c r="E64" i="61"/>
  <c r="F64" i="61"/>
  <c r="G64" i="61"/>
  <c r="H64" i="61"/>
  <c r="I64" i="61"/>
  <c r="L64" i="61"/>
  <c r="S63" i="61"/>
  <c r="T63" i="61"/>
  <c r="U63" i="61"/>
  <c r="V63" i="61"/>
  <c r="Y63" i="61"/>
  <c r="P23" i="61"/>
  <c r="C33" i="61"/>
  <c r="P43" i="61"/>
  <c r="C53" i="61"/>
  <c r="P63" i="61"/>
  <c r="B8" i="61"/>
  <c r="B13" i="61"/>
  <c r="B18" i="61"/>
  <c r="B23" i="61"/>
  <c r="B28" i="61"/>
  <c r="B33" i="61"/>
  <c r="B38" i="61"/>
  <c r="B43" i="61"/>
  <c r="B48" i="61"/>
  <c r="B53" i="61"/>
  <c r="B58" i="61"/>
  <c r="B63" i="61"/>
  <c r="O63" i="61"/>
  <c r="N13" i="61"/>
  <c r="N18" i="61"/>
  <c r="N23" i="61"/>
  <c r="N28" i="61"/>
  <c r="N33" i="61"/>
  <c r="N38" i="61"/>
  <c r="N43" i="61"/>
  <c r="N48" i="61"/>
  <c r="N53" i="61"/>
  <c r="N58" i="61"/>
  <c r="N63" i="61"/>
  <c r="F63" i="61"/>
  <c r="G63" i="61"/>
  <c r="H63" i="61"/>
  <c r="I63" i="61"/>
  <c r="L63" i="61"/>
  <c r="C23" i="61"/>
  <c r="P33" i="61"/>
  <c r="C43" i="61"/>
  <c r="P53" i="61"/>
  <c r="C63" i="61"/>
  <c r="A13" i="61"/>
  <c r="A18" i="61"/>
  <c r="A23" i="61"/>
  <c r="A28" i="61"/>
  <c r="A33" i="61"/>
  <c r="A38" i="61"/>
  <c r="A43" i="61"/>
  <c r="A48" i="61"/>
  <c r="A53" i="61"/>
  <c r="A58" i="61"/>
  <c r="A63" i="61"/>
  <c r="R20" i="61"/>
  <c r="W17" i="61"/>
  <c r="S17" i="61"/>
  <c r="R18" i="61"/>
  <c r="Q17" i="61"/>
  <c r="P17" i="61"/>
  <c r="S20" i="61"/>
  <c r="T20" i="61"/>
  <c r="U20" i="61"/>
  <c r="V20" i="61"/>
  <c r="Y20" i="61"/>
  <c r="R10" i="61"/>
  <c r="W7" i="61"/>
  <c r="S7" i="61"/>
  <c r="R8" i="61"/>
  <c r="Q7" i="61"/>
  <c r="P7" i="61"/>
  <c r="S10" i="61"/>
  <c r="T10" i="61"/>
  <c r="U10" i="61"/>
  <c r="V10" i="61"/>
  <c r="Y10" i="61"/>
  <c r="Y7" i="61"/>
  <c r="Y12" i="61"/>
  <c r="Y17" i="61"/>
  <c r="Y22" i="61"/>
  <c r="R30" i="61"/>
  <c r="W27" i="61"/>
  <c r="S27" i="61"/>
  <c r="R28" i="61"/>
  <c r="Q27" i="61"/>
  <c r="P27" i="61"/>
  <c r="S30" i="61"/>
  <c r="T30" i="61"/>
  <c r="U30" i="61"/>
  <c r="V30" i="61"/>
  <c r="Y30" i="61"/>
  <c r="Y27" i="61"/>
  <c r="Y32" i="61"/>
  <c r="R40" i="61"/>
  <c r="W37" i="61"/>
  <c r="S37" i="61"/>
  <c r="R38" i="61"/>
  <c r="Q37" i="61"/>
  <c r="P37" i="61"/>
  <c r="S40" i="61"/>
  <c r="T40" i="61"/>
  <c r="U40" i="61"/>
  <c r="V40" i="61"/>
  <c r="Y40" i="61"/>
  <c r="Y37" i="61"/>
  <c r="Y42" i="61"/>
  <c r="R50" i="61"/>
  <c r="W47" i="61"/>
  <c r="S47" i="61"/>
  <c r="R48" i="61"/>
  <c r="Q47" i="61"/>
  <c r="P47" i="61"/>
  <c r="S50" i="61"/>
  <c r="T50" i="61"/>
  <c r="U50" i="61"/>
  <c r="V50" i="61"/>
  <c r="Y50" i="61"/>
  <c r="Y47" i="61"/>
  <c r="Y52" i="61"/>
  <c r="R60" i="61"/>
  <c r="W57" i="61"/>
  <c r="S57" i="61"/>
  <c r="R58" i="61"/>
  <c r="Q57" i="61"/>
  <c r="P57" i="61"/>
  <c r="S60" i="61"/>
  <c r="T60" i="61"/>
  <c r="U60" i="61"/>
  <c r="V60" i="61"/>
  <c r="Y60" i="61"/>
  <c r="Y57" i="61"/>
  <c r="Y62" i="61"/>
  <c r="U62" i="61"/>
  <c r="R12" i="61"/>
  <c r="R17" i="61"/>
  <c r="R22" i="61"/>
  <c r="R27" i="61"/>
  <c r="R32" i="61"/>
  <c r="R37" i="61"/>
  <c r="R42" i="61"/>
  <c r="R47" i="61"/>
  <c r="R52" i="61"/>
  <c r="R57" i="61"/>
  <c r="R62" i="61"/>
  <c r="N7" i="61"/>
  <c r="N12" i="61"/>
  <c r="N17" i="61"/>
  <c r="N22" i="61"/>
  <c r="N27" i="61"/>
  <c r="N32" i="61"/>
  <c r="N37" i="61"/>
  <c r="N42" i="61"/>
  <c r="N47" i="61"/>
  <c r="N52" i="61"/>
  <c r="N57" i="61"/>
  <c r="N62" i="61"/>
  <c r="E20" i="61"/>
  <c r="J17" i="61"/>
  <c r="F17" i="61"/>
  <c r="E18" i="61"/>
  <c r="D17" i="61"/>
  <c r="C17" i="61"/>
  <c r="F20" i="61"/>
  <c r="G20" i="61"/>
  <c r="H20" i="61"/>
  <c r="I20" i="61"/>
  <c r="L20" i="61"/>
  <c r="E10" i="61"/>
  <c r="J7" i="61"/>
  <c r="F7" i="61"/>
  <c r="E8" i="61"/>
  <c r="D7" i="61"/>
  <c r="C7" i="61"/>
  <c r="F10" i="61"/>
  <c r="G10" i="61"/>
  <c r="H10" i="61"/>
  <c r="I10" i="61"/>
  <c r="L10" i="61"/>
  <c r="L7" i="61"/>
  <c r="E15" i="61"/>
  <c r="J12" i="61"/>
  <c r="F12" i="61"/>
  <c r="E13" i="61"/>
  <c r="D12" i="61"/>
  <c r="C12" i="61"/>
  <c r="F15" i="61"/>
  <c r="G15" i="61"/>
  <c r="H15" i="61"/>
  <c r="I15" i="61"/>
  <c r="L15" i="61"/>
  <c r="L12" i="61"/>
  <c r="L17" i="61"/>
  <c r="E25" i="61"/>
  <c r="J22" i="61"/>
  <c r="F22" i="61"/>
  <c r="E23" i="61"/>
  <c r="D22" i="61"/>
  <c r="C22" i="61"/>
  <c r="F25" i="61"/>
  <c r="G25" i="61"/>
  <c r="H25" i="61"/>
  <c r="I25" i="61"/>
  <c r="L25" i="61"/>
  <c r="L22" i="61"/>
  <c r="E30" i="61"/>
  <c r="J27" i="61"/>
  <c r="F27" i="61"/>
  <c r="E28" i="61"/>
  <c r="D27" i="61"/>
  <c r="C27" i="61"/>
  <c r="F30" i="61"/>
  <c r="G30" i="61"/>
  <c r="H30" i="61"/>
  <c r="I30" i="61"/>
  <c r="L30" i="61"/>
  <c r="L27" i="61"/>
  <c r="E35" i="61"/>
  <c r="J32" i="61"/>
  <c r="F32" i="61"/>
  <c r="E33" i="61"/>
  <c r="D32" i="61"/>
  <c r="C32" i="61"/>
  <c r="F35" i="61"/>
  <c r="G35" i="61"/>
  <c r="H35" i="61"/>
  <c r="I35" i="61"/>
  <c r="L35" i="61"/>
  <c r="L32" i="61"/>
  <c r="E40" i="61"/>
  <c r="J37" i="61"/>
  <c r="F37" i="61"/>
  <c r="E38" i="61"/>
  <c r="D37" i="61"/>
  <c r="C37" i="61"/>
  <c r="F40" i="61"/>
  <c r="G40" i="61"/>
  <c r="H40" i="61"/>
  <c r="I40" i="61"/>
  <c r="L40" i="61"/>
  <c r="L37" i="61"/>
  <c r="E45" i="61"/>
  <c r="J42" i="61"/>
  <c r="F42" i="61"/>
  <c r="E43" i="61"/>
  <c r="D42" i="61"/>
  <c r="C42" i="61"/>
  <c r="F45" i="61"/>
  <c r="G45" i="61"/>
  <c r="H45" i="61"/>
  <c r="I45" i="61"/>
  <c r="L45" i="61"/>
  <c r="L42" i="61"/>
  <c r="E50" i="61"/>
  <c r="J47" i="61"/>
  <c r="F47" i="61"/>
  <c r="E48" i="61"/>
  <c r="D47" i="61"/>
  <c r="C47" i="61"/>
  <c r="F50" i="61"/>
  <c r="G50" i="61"/>
  <c r="H50" i="61"/>
  <c r="I50" i="61"/>
  <c r="L50" i="61"/>
  <c r="L47" i="61"/>
  <c r="E55" i="61"/>
  <c r="J52" i="61"/>
  <c r="F52" i="61"/>
  <c r="E53" i="61"/>
  <c r="D52" i="61"/>
  <c r="C52" i="61"/>
  <c r="F55" i="61"/>
  <c r="G55" i="61"/>
  <c r="H55" i="61"/>
  <c r="I55" i="61"/>
  <c r="L55" i="61"/>
  <c r="L52" i="61"/>
  <c r="E60" i="61"/>
  <c r="J57" i="61"/>
  <c r="F57" i="61"/>
  <c r="E58" i="61"/>
  <c r="D57" i="61"/>
  <c r="C57" i="61"/>
  <c r="F60" i="61"/>
  <c r="G60" i="61"/>
  <c r="H60" i="61"/>
  <c r="I60" i="61"/>
  <c r="L60" i="61"/>
  <c r="L57" i="61"/>
  <c r="L62" i="61"/>
  <c r="M62" i="61"/>
  <c r="H62" i="61"/>
  <c r="E12" i="61"/>
  <c r="E17" i="61"/>
  <c r="E22" i="61"/>
  <c r="E27" i="61"/>
  <c r="E32" i="61"/>
  <c r="E37" i="61"/>
  <c r="E42" i="61"/>
  <c r="E47" i="61"/>
  <c r="E52" i="61"/>
  <c r="E57" i="61"/>
  <c r="E62" i="61"/>
  <c r="A62" i="61"/>
  <c r="A61" i="61"/>
  <c r="P20" i="61"/>
  <c r="P30" i="61"/>
  <c r="P40" i="61"/>
  <c r="P50" i="61"/>
  <c r="P60" i="61"/>
  <c r="O60" i="61"/>
  <c r="C20" i="61"/>
  <c r="C30" i="61"/>
  <c r="C40" i="61"/>
  <c r="C50" i="61"/>
  <c r="C60" i="61"/>
  <c r="R59" i="61"/>
  <c r="S59" i="61"/>
  <c r="T59" i="61"/>
  <c r="U59" i="61"/>
  <c r="V59" i="61"/>
  <c r="Y59" i="61"/>
  <c r="O59" i="61"/>
  <c r="E59" i="61"/>
  <c r="F59" i="61"/>
  <c r="G59" i="61"/>
  <c r="H59" i="61"/>
  <c r="I59" i="61"/>
  <c r="L59" i="61"/>
  <c r="S58" i="61"/>
  <c r="T58" i="61"/>
  <c r="U58" i="61"/>
  <c r="V58" i="61"/>
  <c r="Y58" i="61"/>
  <c r="O58" i="61"/>
  <c r="F58" i="61"/>
  <c r="G58" i="61"/>
  <c r="H58" i="61"/>
  <c r="I58" i="61"/>
  <c r="L58" i="61"/>
  <c r="J18" i="61"/>
  <c r="J28" i="61"/>
  <c r="J38" i="61"/>
  <c r="J48" i="61"/>
  <c r="J58" i="61"/>
  <c r="U57" i="61"/>
  <c r="M57" i="61"/>
  <c r="H57" i="61"/>
  <c r="A57" i="61"/>
  <c r="A56" i="61"/>
  <c r="O55" i="61"/>
  <c r="O54" i="61"/>
  <c r="E54" i="61"/>
  <c r="F54" i="61"/>
  <c r="G54" i="61"/>
  <c r="H54" i="61"/>
  <c r="I54" i="61"/>
  <c r="L54" i="61"/>
  <c r="S53" i="61"/>
  <c r="T53" i="61"/>
  <c r="U53" i="61"/>
  <c r="V53" i="61"/>
  <c r="Y53" i="61"/>
  <c r="O53" i="61"/>
  <c r="F53" i="61"/>
  <c r="G53" i="61"/>
  <c r="H53" i="61"/>
  <c r="I53" i="61"/>
  <c r="L53" i="61"/>
  <c r="M52" i="61"/>
  <c r="H52" i="61"/>
  <c r="A52" i="61"/>
  <c r="A51" i="61"/>
  <c r="O50" i="61"/>
  <c r="R49" i="61"/>
  <c r="S49" i="61"/>
  <c r="T49" i="61"/>
  <c r="U49" i="61"/>
  <c r="V49" i="61"/>
  <c r="Y49" i="61"/>
  <c r="O49" i="61"/>
  <c r="E49" i="61"/>
  <c r="F49" i="61"/>
  <c r="G49" i="61"/>
  <c r="H49" i="61"/>
  <c r="I49" i="61"/>
  <c r="L49" i="61"/>
  <c r="S48" i="61"/>
  <c r="T48" i="61"/>
  <c r="U48" i="61"/>
  <c r="V48" i="61"/>
  <c r="Y48" i="61"/>
  <c r="O48" i="61"/>
  <c r="F48" i="61"/>
  <c r="G48" i="61"/>
  <c r="H48" i="61"/>
  <c r="I48" i="61"/>
  <c r="L48" i="61"/>
  <c r="U47" i="61"/>
  <c r="M47" i="61"/>
  <c r="H47" i="61"/>
  <c r="A47" i="61"/>
  <c r="A46" i="61"/>
  <c r="O45" i="61"/>
  <c r="O44" i="61"/>
  <c r="E44" i="61"/>
  <c r="F44" i="61"/>
  <c r="G44" i="61"/>
  <c r="H44" i="61"/>
  <c r="I44" i="61"/>
  <c r="L44" i="61"/>
  <c r="S43" i="61"/>
  <c r="T43" i="61"/>
  <c r="U43" i="61"/>
  <c r="V43" i="61"/>
  <c r="Y43" i="61"/>
  <c r="O43" i="61"/>
  <c r="F43" i="61"/>
  <c r="G43" i="61"/>
  <c r="H43" i="61"/>
  <c r="I43" i="61"/>
  <c r="L43" i="61"/>
  <c r="M42" i="61"/>
  <c r="H42" i="61"/>
  <c r="A42" i="61"/>
  <c r="A41" i="61"/>
  <c r="O40" i="61"/>
  <c r="R39" i="61"/>
  <c r="S39" i="61"/>
  <c r="T39" i="61"/>
  <c r="U39" i="61"/>
  <c r="V39" i="61"/>
  <c r="Y39" i="61"/>
  <c r="O39" i="61"/>
  <c r="E39" i="61"/>
  <c r="F39" i="61"/>
  <c r="G39" i="61"/>
  <c r="H39" i="61"/>
  <c r="I39" i="61"/>
  <c r="L39" i="61"/>
  <c r="S38" i="61"/>
  <c r="T38" i="61"/>
  <c r="U38" i="61"/>
  <c r="V38" i="61"/>
  <c r="Y38" i="61"/>
  <c r="O38" i="61"/>
  <c r="F38" i="61"/>
  <c r="G38" i="61"/>
  <c r="H38" i="61"/>
  <c r="I38" i="61"/>
  <c r="L38" i="61"/>
  <c r="U37" i="61"/>
  <c r="M37" i="61"/>
  <c r="H37" i="61"/>
  <c r="A37" i="61"/>
  <c r="A36" i="61"/>
  <c r="O35" i="61"/>
  <c r="O34" i="61"/>
  <c r="E34" i="61"/>
  <c r="F34" i="61"/>
  <c r="G34" i="61"/>
  <c r="H34" i="61"/>
  <c r="I34" i="61"/>
  <c r="L34" i="61"/>
  <c r="S33" i="61"/>
  <c r="T33" i="61"/>
  <c r="U33" i="61"/>
  <c r="V33" i="61"/>
  <c r="Y33" i="61"/>
  <c r="O33" i="61"/>
  <c r="F33" i="61"/>
  <c r="G33" i="61"/>
  <c r="H33" i="61"/>
  <c r="I33" i="61"/>
  <c r="L33" i="61"/>
  <c r="M32" i="61"/>
  <c r="H32" i="61"/>
  <c r="A32" i="61"/>
  <c r="A31" i="61"/>
  <c r="O30" i="61"/>
  <c r="R29" i="61"/>
  <c r="S29" i="61"/>
  <c r="T29" i="61"/>
  <c r="U29" i="61"/>
  <c r="V29" i="61"/>
  <c r="Y29" i="61"/>
  <c r="O29" i="61"/>
  <c r="E29" i="61"/>
  <c r="F29" i="61"/>
  <c r="G29" i="61"/>
  <c r="H29" i="61"/>
  <c r="I29" i="61"/>
  <c r="L29" i="61"/>
  <c r="S28" i="61"/>
  <c r="T28" i="61"/>
  <c r="U28" i="61"/>
  <c r="V28" i="61"/>
  <c r="Y28" i="61"/>
  <c r="O28" i="61"/>
  <c r="F28" i="61"/>
  <c r="G28" i="61"/>
  <c r="H28" i="61"/>
  <c r="I28" i="61"/>
  <c r="L28" i="61"/>
  <c r="U27" i="61"/>
  <c r="M27" i="61"/>
  <c r="H27" i="61"/>
  <c r="A27" i="61"/>
  <c r="A26" i="61"/>
  <c r="O25" i="61"/>
  <c r="O24" i="61"/>
  <c r="E24" i="61"/>
  <c r="F24" i="61"/>
  <c r="G24" i="61"/>
  <c r="H24" i="61"/>
  <c r="I24" i="61"/>
  <c r="L24" i="61"/>
  <c r="S23" i="61"/>
  <c r="T23" i="61"/>
  <c r="U23" i="61"/>
  <c r="V23" i="61"/>
  <c r="Y23" i="61"/>
  <c r="O23" i="61"/>
  <c r="F23" i="61"/>
  <c r="G23" i="61"/>
  <c r="H23" i="61"/>
  <c r="I23" i="61"/>
  <c r="L23" i="61"/>
  <c r="M22" i="61"/>
  <c r="H22" i="61"/>
  <c r="A22" i="61"/>
  <c r="A21" i="61"/>
  <c r="O20" i="61"/>
  <c r="R19" i="61"/>
  <c r="S19" i="61"/>
  <c r="T19" i="61"/>
  <c r="U19" i="61"/>
  <c r="V19" i="61"/>
  <c r="Y19" i="61"/>
  <c r="O19" i="61"/>
  <c r="E19" i="61"/>
  <c r="F19" i="61"/>
  <c r="G19" i="61"/>
  <c r="H19" i="61"/>
  <c r="I19" i="61"/>
  <c r="L19" i="61"/>
  <c r="S18" i="61"/>
  <c r="T18" i="61"/>
  <c r="U18" i="61"/>
  <c r="V18" i="61"/>
  <c r="Y18" i="61"/>
  <c r="O18" i="61"/>
  <c r="F18" i="61"/>
  <c r="G18" i="61"/>
  <c r="H18" i="61"/>
  <c r="I18" i="61"/>
  <c r="L18" i="61"/>
  <c r="U17" i="61"/>
  <c r="M17" i="61"/>
  <c r="H17" i="61"/>
  <c r="A17" i="61"/>
  <c r="A16" i="61"/>
  <c r="A1" i="61"/>
  <c r="O15" i="63"/>
  <c r="O14" i="63"/>
  <c r="E14" i="63"/>
  <c r="F14" i="63"/>
  <c r="G14" i="63"/>
  <c r="H14" i="63"/>
  <c r="I14" i="63"/>
  <c r="L14" i="63"/>
  <c r="S13" i="63"/>
  <c r="T13" i="63"/>
  <c r="U13" i="63"/>
  <c r="V13" i="63"/>
  <c r="Y13" i="63"/>
  <c r="O13" i="63"/>
  <c r="F13" i="63"/>
  <c r="G13" i="63"/>
  <c r="H13" i="63"/>
  <c r="I13" i="63"/>
  <c r="L13" i="63"/>
  <c r="M12" i="63"/>
  <c r="H12" i="63"/>
  <c r="A12" i="63"/>
  <c r="A11" i="63"/>
  <c r="O10" i="63"/>
  <c r="R9" i="63"/>
  <c r="S9" i="63"/>
  <c r="T9" i="63"/>
  <c r="U9" i="63"/>
  <c r="V9" i="63"/>
  <c r="Y9" i="63"/>
  <c r="O9" i="63"/>
  <c r="E9" i="63"/>
  <c r="F9" i="63"/>
  <c r="G9" i="63"/>
  <c r="H9" i="63"/>
  <c r="I9" i="63"/>
  <c r="L9" i="63"/>
  <c r="S8" i="63"/>
  <c r="T8" i="63"/>
  <c r="U8" i="63"/>
  <c r="V8" i="63"/>
  <c r="Y8" i="63"/>
  <c r="O8" i="63"/>
  <c r="F8" i="63"/>
  <c r="G8" i="63"/>
  <c r="H8" i="63"/>
  <c r="I8" i="63"/>
  <c r="L8" i="63"/>
  <c r="U7" i="63"/>
  <c r="M7" i="63"/>
  <c r="H7" i="63"/>
  <c r="A7" i="63"/>
  <c r="A6" i="63"/>
  <c r="W5" i="63"/>
  <c r="S5" i="63"/>
  <c r="J5" i="63"/>
  <c r="F5" i="63"/>
  <c r="A1" i="63"/>
  <c r="O15" i="61"/>
  <c r="O14" i="61"/>
  <c r="E14" i="61"/>
  <c r="F14" i="61"/>
  <c r="G14" i="61"/>
  <c r="H14" i="61"/>
  <c r="I14" i="61"/>
  <c r="L14" i="61"/>
  <c r="S13" i="61"/>
  <c r="T13" i="61"/>
  <c r="U13" i="61"/>
  <c r="V13" i="61"/>
  <c r="Y13" i="61"/>
  <c r="O13" i="61"/>
  <c r="F13" i="61"/>
  <c r="G13" i="61"/>
  <c r="H13" i="61"/>
  <c r="I13" i="61"/>
  <c r="L13" i="61"/>
  <c r="M12" i="61"/>
  <c r="H12" i="61"/>
  <c r="A12" i="61"/>
  <c r="A11" i="61"/>
  <c r="O10" i="61"/>
  <c r="R9" i="61"/>
  <c r="S9" i="61"/>
  <c r="T9" i="61"/>
  <c r="U9" i="61"/>
  <c r="V9" i="61"/>
  <c r="Y9" i="61"/>
  <c r="O9" i="61"/>
  <c r="E9" i="61"/>
  <c r="F9" i="61"/>
  <c r="G9" i="61"/>
  <c r="H9" i="61"/>
  <c r="I9" i="61"/>
  <c r="L9" i="61"/>
  <c r="S8" i="61"/>
  <c r="T8" i="61"/>
  <c r="U8" i="61"/>
  <c r="V8" i="61"/>
  <c r="Y8" i="61"/>
  <c r="O8" i="61"/>
  <c r="F8" i="61"/>
  <c r="G8" i="61"/>
  <c r="H8" i="61"/>
  <c r="I8" i="61"/>
  <c r="L8" i="61"/>
  <c r="U7" i="61"/>
  <c r="M7" i="61"/>
  <c r="H7" i="61"/>
  <c r="A7" i="61"/>
  <c r="A6" i="61"/>
  <c r="W5" i="61"/>
  <c r="S5" i="61"/>
  <c r="J5" i="61"/>
  <c r="F5" i="61"/>
  <c r="S6" i="72"/>
  <c r="T6" i="72"/>
  <c r="U6" i="72"/>
  <c r="V6" i="72"/>
  <c r="H6" i="72"/>
  <c r="I6" i="72"/>
  <c r="J6" i="72"/>
  <c r="K6" i="72"/>
  <c r="Z8" i="72"/>
  <c r="O5" i="72"/>
  <c r="P11" i="124"/>
  <c r="P12" i="1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<sst xmlns="http://schemas.openxmlformats.org/spreadsheetml/2006/main" count="4004" uniqueCount="122">
  <si>
    <t>week</t>
    <phoneticPr fontId="1" type="noConversion"/>
  </si>
  <si>
    <t>개당</t>
  </si>
  <si>
    <t>TM</t>
  </si>
  <si>
    <t>무게</t>
  </si>
  <si>
    <t>ARI</t>
  </si>
  <si>
    <t>단위</t>
    <phoneticPr fontId="1" type="noConversion"/>
  </si>
  <si>
    <t>총볼륨</t>
  </si>
  <si>
    <t>횟수</t>
  </si>
  <si>
    <t>하</t>
  </si>
  <si>
    <t>ANL</t>
    <phoneticPr fontId="1" type="noConversion"/>
  </si>
  <si>
    <t>NL</t>
    <phoneticPr fontId="1" type="noConversion"/>
  </si>
  <si>
    <t>체중</t>
    <phoneticPr fontId="1" type="noConversion"/>
  </si>
  <si>
    <t xml:space="preserve">무게 </t>
    <phoneticPr fontId="1" type="noConversion"/>
  </si>
  <si>
    <t>추가</t>
    <phoneticPr fontId="1" type="noConversion"/>
  </si>
  <si>
    <t>무게</t>
    <phoneticPr fontId="1" type="noConversion"/>
  </si>
  <si>
    <t>MP</t>
  </si>
  <si>
    <t>상</t>
  </si>
  <si>
    <t>ME</t>
  </si>
  <si>
    <t>RE</t>
  </si>
  <si>
    <t>SUP</t>
  </si>
  <si>
    <t>DE</t>
  </si>
  <si>
    <t>SGDL</t>
  </si>
  <si>
    <t>PauseFSQ</t>
  </si>
  <si>
    <t>WD</t>
  </si>
  <si>
    <t>.ME 최대 무게 도달 후 기록 입력 back off set / supplmemt 는 ME 의 약점 보완 운동 선택 (세트 당 2~4회, RPE9)  
.DE 폭발력 있는 속도로 리프팅 (정지나 완전 이완 될수있는 박스 스쿼트 데드리프트 등등)(속도가 느려지면 종목바꾸기)/ RE 최대 횟수(세트당 2~4회, RPE10) 
(다음 DE day 에는 RE 종목의 TM 기록을 입력하고 진행) (수식에 적용되어있음)</t>
  </si>
  <si>
    <t>dayVol</t>
    <phoneticPr fontId="1" type="noConversion"/>
  </si>
  <si>
    <t>상</t>
    <phoneticPr fontId="1" type="noConversion"/>
  </si>
  <si>
    <t>SumVol</t>
    <phoneticPr fontId="1" type="noConversion"/>
  </si>
  <si>
    <t>dayNL</t>
    <phoneticPr fontId="1" type="noConversion"/>
  </si>
  <si>
    <t>하</t>
    <phoneticPr fontId="1" type="noConversion"/>
  </si>
  <si>
    <t>SumNL</t>
    <phoneticPr fontId="1" type="noConversion"/>
  </si>
  <si>
    <t>최소</t>
    <phoneticPr fontId="1" type="noConversion"/>
  </si>
  <si>
    <t>최대</t>
    <phoneticPr fontId="1" type="noConversion"/>
  </si>
  <si>
    <t>VOL</t>
    <phoneticPr fontId="1" type="noConversion"/>
  </si>
  <si>
    <t>최소ME</t>
    <phoneticPr fontId="1" type="noConversion"/>
  </si>
  <si>
    <t>최대ME</t>
    <phoneticPr fontId="1" type="noConversion"/>
  </si>
  <si>
    <t>exercise1</t>
    <phoneticPr fontId="1" type="noConversion"/>
  </si>
  <si>
    <t>single ANL</t>
    <phoneticPr fontId="1" type="noConversion"/>
  </si>
  <si>
    <t>exercise2</t>
  </si>
  <si>
    <t>WO</t>
  </si>
  <si>
    <t>WEEK</t>
  </si>
  <si>
    <t>ME 전에 90% 무게로 컨디션 판단할것</t>
  </si>
  <si>
    <t>클로즈:검지 널링 안쪽 경계
미디움:소지 널링 바깥 경계
와이드:검지 널링 바깥 경계</t>
  </si>
  <si>
    <t>역HBSQ</t>
  </si>
  <si>
    <t>FSQ</t>
  </si>
  <si>
    <t>PP</t>
  </si>
  <si>
    <t>BP</t>
  </si>
  <si>
    <t>8스트랩매트CDL</t>
  </si>
  <si>
    <t>LBSQ</t>
  </si>
  <si>
    <t>8자매트SDL</t>
  </si>
  <si>
    <t>8자매트CDL</t>
  </si>
  <si>
    <t>등</t>
  </si>
  <si>
    <t>CU</t>
  </si>
  <si>
    <t>SDL</t>
  </si>
  <si>
    <t>매트8자SDL</t>
  </si>
  <si>
    <t>NU</t>
  </si>
  <si>
    <t>RDL</t>
  </si>
  <si>
    <t>랙8자CDL</t>
  </si>
  <si>
    <t>INSPP</t>
  </si>
  <si>
    <t>HBSQ</t>
  </si>
  <si>
    <t>구분</t>
  </si>
  <si>
    <t>최대weeklyANL</t>
  </si>
  <si>
    <t>최소weeklyANL</t>
  </si>
  <si>
    <t>세트당</t>
  </si>
  <si>
    <t>세트 수</t>
  </si>
  <si>
    <t>최대MonthlyANL</t>
  </si>
  <si>
    <t>최소MonthlyANL</t>
  </si>
  <si>
    <t>평균ARI</t>
  </si>
  <si>
    <t>1 set</t>
  </si>
  <si>
    <t>2 set</t>
  </si>
  <si>
    <t>3 set</t>
  </si>
  <si>
    <t>4 set</t>
  </si>
  <si>
    <t>5 set</t>
  </si>
  <si>
    <t>6 set</t>
  </si>
  <si>
    <t>7 set</t>
  </si>
  <si>
    <t>8 set</t>
  </si>
  <si>
    <t>9 set</t>
  </si>
  <si>
    <t>10 set</t>
  </si>
  <si>
    <t>SQ</t>
  </si>
  <si>
    <t>단위</t>
  </si>
  <si>
    <t>계수</t>
  </si>
  <si>
    <t>개수</t>
  </si>
  <si>
    <t>기준 갯수</t>
  </si>
  <si>
    <t>기준 %</t>
  </si>
  <si>
    <t>볼륨%</t>
  </si>
  <si>
    <t>볼륨</t>
  </si>
  <si>
    <t>전TM</t>
  </si>
  <si>
    <t>후TM</t>
  </si>
  <si>
    <t>누적</t>
  </si>
  <si>
    <t>HBATG</t>
  </si>
  <si>
    <t>렉8CDL</t>
  </si>
  <si>
    <t>랙8SDL</t>
  </si>
  <si>
    <t>CGMP</t>
  </si>
  <si>
    <t>ATGHBSQ</t>
  </si>
  <si>
    <t>15sec Rest Amrap</t>
  </si>
  <si>
    <t>최대강도</t>
  </si>
  <si>
    <t>최소강도</t>
  </si>
  <si>
    <t>최대 횟수</t>
  </si>
  <si>
    <t>최소 횟수</t>
  </si>
  <si>
    <t>적정 횟수</t>
  </si>
  <si>
    <t>최대 ANL</t>
  </si>
  <si>
    <t>최소 ANL</t>
  </si>
  <si>
    <t>번호</t>
  </si>
  <si>
    <t>볼륨 비율</t>
  </si>
  <si>
    <t>설정강도</t>
  </si>
  <si>
    <t>설정 강도%</t>
  </si>
  <si>
    <t>설정 볼륨%</t>
  </si>
  <si>
    <t>워크아웃횟수</t>
  </si>
  <si>
    <t>설정횟수</t>
  </si>
  <si>
    <t>더미ANL</t>
  </si>
  <si>
    <t>실제ANL</t>
  </si>
  <si>
    <t>실제 최대</t>
  </si>
  <si>
    <t>실제 최소</t>
  </si>
  <si>
    <t>더미ARI</t>
  </si>
  <si>
    <t>더미 볼륨</t>
  </si>
  <si>
    <t>15sec Rest 3-6 Rep</t>
  </si>
  <si>
    <t>1min Rest 3-6 Rep</t>
  </si>
  <si>
    <t>1min Rest 3 Rep</t>
  </si>
  <si>
    <t>1rm ME</t>
  </si>
  <si>
    <t>3rm ME</t>
  </si>
  <si>
    <t xml:space="preserve"> 1min Rest 3 Rep</t>
  </si>
  <si>
    <t>1rm ME 1min Rest 3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</si>
</sst>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%"/>
    <numFmt numFmtId="178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6"/>
      <name val="Yu Gothic"/>
      <family val="2"/>
      <charset val="128"/>
    </font>
    <font>
      <b/>
      <i/>
      <u/>
      <sz val="11"/>
      <color theme="1"/>
      <name val="맑은 고딕"/>
      <family val="2"/>
      <charset val="129"/>
      <scheme val="minor"/>
    </font>
    <font>
      <b/>
      <i/>
      <sz val="11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</fills>
  <borders count="9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rgb="FF505050"/>
      </left>
      <right/>
      <top style="thick">
        <color rgb="FF505050"/>
      </top>
      <bottom style="thick">
        <color rgb="FF505050"/>
      </bottom>
      <diagonal/>
    </border>
    <border>
      <left style="thin">
        <color rgb="FF505050"/>
      </left>
      <right/>
      <top style="medium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/>
      <bottom/>
      <diagonal/>
    </border>
    <border>
      <left/>
      <right/>
      <top style="medium">
        <color rgb="FF505050"/>
      </top>
      <bottom/>
      <diagonal/>
    </border>
    <border>
      <left style="thick">
        <color auto="1"/>
      </left>
      <right/>
      <top style="thick">
        <color auto="1"/>
      </top>
      <bottom style="medium">
        <color rgb="FF505050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rgb="FF505050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505050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rgb="FF505050"/>
      </right>
      <top/>
      <bottom/>
      <diagonal/>
    </border>
    <border>
      <left style="thin">
        <color auto="1"/>
      </left>
      <right style="thick">
        <color rgb="FF505050"/>
      </right>
      <top/>
      <bottom style="thin">
        <color auto="1"/>
      </bottom>
      <diagonal/>
    </border>
    <border>
      <left style="medium">
        <color rgb="FF505050"/>
      </left>
      <right style="thick">
        <color rgb="FF505050"/>
      </right>
      <top style="medium">
        <color rgb="FF505050"/>
      </top>
      <bottom/>
      <diagonal/>
    </border>
    <border>
      <left style="medium">
        <color rgb="FF505050"/>
      </left>
      <right style="thick">
        <color rgb="FF505050"/>
      </right>
      <top/>
      <bottom/>
      <diagonal/>
    </border>
    <border>
      <left style="medium">
        <color rgb="FF505050"/>
      </left>
      <right style="thick">
        <color rgb="FF505050"/>
      </right>
      <top/>
      <bottom style="medium">
        <color rgb="FF505050"/>
      </bottom>
      <diagonal/>
    </border>
    <border>
      <left style="thin">
        <color auto="1"/>
      </left>
      <right style="thick">
        <color rgb="FF505050"/>
      </right>
      <top style="thick">
        <color auto="1"/>
      </top>
      <bottom/>
      <diagonal/>
    </border>
    <border>
      <left style="thin">
        <color auto="1"/>
      </left>
      <right style="thick">
        <color rgb="FF505050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rgb="FF505050"/>
      </right>
      <top/>
      <bottom style="medium">
        <color rgb="FF505050"/>
      </bottom>
      <diagonal/>
    </border>
    <border>
      <left/>
      <right/>
      <top style="thick">
        <color rgb="FF505050"/>
      </top>
      <bottom style="thick">
        <color rgb="FF505050"/>
      </bottom>
      <diagonal/>
    </border>
    <border>
      <left/>
      <right style="thick">
        <color rgb="FF505050"/>
      </right>
      <top style="thick">
        <color rgb="FF505050"/>
      </top>
      <bottom style="thick">
        <color rgb="FF505050"/>
      </bottom>
      <diagonal/>
    </border>
    <border>
      <left/>
      <right style="thick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thick">
        <color auto="1"/>
      </left>
      <right style="medium">
        <color rgb="FF505050"/>
      </right>
      <top style="thick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 style="thick">
        <color rgb="FF50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rgb="FF505050"/>
      </top>
      <bottom style="thin">
        <color rgb="FF505050"/>
      </bottom>
      <diagonal/>
    </border>
    <border>
      <left/>
      <right style="thick">
        <color auto="1"/>
      </right>
      <top style="thin">
        <color rgb="FF505050"/>
      </top>
      <bottom style="thin">
        <color rgb="FF505050"/>
      </bottom>
      <diagonal/>
    </border>
    <border>
      <left style="thick">
        <color auto="1"/>
      </left>
      <right style="thick">
        <color auto="1"/>
      </right>
      <top style="thin">
        <color rgb="FF505050"/>
      </top>
      <bottom style="thick">
        <color rgb="FF505050"/>
      </bottom>
      <diagonal/>
    </border>
    <border>
      <left/>
      <right style="thick">
        <color auto="1"/>
      </right>
      <top style="thin">
        <color rgb="FF505050"/>
      </top>
      <bottom style="thick">
        <color rgb="FF505050"/>
      </bottom>
      <diagonal/>
    </border>
    <border>
      <left style="thick">
        <color auto="1"/>
      </left>
      <right style="thick">
        <color auto="1"/>
      </right>
      <top style="thick">
        <color rgb="FF505050"/>
      </top>
      <bottom style="thin">
        <color rgb="FF505050"/>
      </bottom>
      <diagonal/>
    </border>
    <border>
      <left/>
      <right style="thick">
        <color auto="1"/>
      </right>
      <top style="thick">
        <color rgb="FF505050"/>
      </top>
      <bottom style="thin">
        <color rgb="FF505050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rgb="FF505050"/>
      </left>
      <right style="thick">
        <color rgb="FF505050"/>
      </right>
      <top style="thick">
        <color rgb="FF505050"/>
      </top>
      <bottom style="thin">
        <color auto="1"/>
      </bottom>
      <diagonal/>
    </border>
    <border>
      <left style="thick">
        <color rgb="FF505050"/>
      </left>
      <right style="thick">
        <color rgb="FF505050"/>
      </right>
      <top style="thick">
        <color rgb="FF505050"/>
      </top>
      <bottom/>
      <diagonal/>
    </border>
    <border>
      <left style="thick">
        <color rgb="FF505050"/>
      </left>
      <right style="thick">
        <color rgb="FF505050"/>
      </right>
      <top style="thick">
        <color rgb="FF505050"/>
      </top>
      <bottom style="thick">
        <color rgb="FF505050"/>
      </bottom>
      <diagonal/>
    </border>
    <border>
      <left style="thick">
        <color rgb="FF505050"/>
      </left>
      <right style="thick">
        <color rgb="FF505050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rgb="FF505050"/>
      </top>
      <bottom style="thick">
        <color indexed="64"/>
      </bottom>
      <diagonal/>
    </border>
    <border>
      <left/>
      <right style="thick">
        <color rgb="FF505050"/>
      </right>
      <top style="thick">
        <color rgb="FF505050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rgb="FF505050"/>
      </bottom>
      <diagonal/>
    </border>
    <border>
      <left/>
      <right style="thick">
        <color auto="1"/>
      </right>
      <top/>
      <bottom style="thin">
        <color rgb="FF505050"/>
      </bottom>
      <diagonal/>
    </border>
    <border>
      <left/>
      <right/>
      <top style="thick">
        <color rgb="FF505050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rgb="FF505050"/>
      </left>
      <right style="thin">
        <color auto="1"/>
      </right>
      <top style="medium">
        <color rgb="FF50505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505050"/>
      </top>
      <bottom style="thin">
        <color auto="1"/>
      </bottom>
      <diagonal/>
    </border>
    <border>
      <left style="thin">
        <color auto="1"/>
      </left>
      <right style="medium">
        <color rgb="FF505050"/>
      </right>
      <top style="medium">
        <color rgb="FF505050"/>
      </top>
      <bottom style="thin">
        <color auto="1"/>
      </bottom>
      <diagonal/>
    </border>
    <border>
      <left style="medium">
        <color rgb="FF505050"/>
      </left>
      <right style="thin">
        <color auto="1"/>
      </right>
      <top style="thin">
        <color auto="1"/>
      </top>
      <bottom style="medium">
        <color rgb="FF50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505050"/>
      </bottom>
      <diagonal/>
    </border>
    <border>
      <left style="thin">
        <color auto="1"/>
      </left>
      <right style="medium">
        <color rgb="FF505050"/>
      </right>
      <top style="thin">
        <color auto="1"/>
      </top>
      <bottom style="medium">
        <color rgb="FF505050"/>
      </bottom>
      <diagonal/>
    </border>
    <border>
      <left/>
      <right/>
      <top/>
      <bottom style="thick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>
      <alignment vertical="center"/>
    </xf>
  </cellStyleXfs>
  <cellXfs count="22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0" fillId="6" borderId="5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0" fillId="5" borderId="10" xfId="0" applyNumberFormat="1" applyFill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8" borderId="10" xfId="0" applyNumberFormat="1" applyFill="1" applyBorder="1" applyAlignment="1">
      <alignment horizontal="center" vertical="center"/>
    </xf>
    <xf numFmtId="176" fontId="0" fillId="8" borderId="11" xfId="0" applyNumberFormat="1" applyFill="1" applyBorder="1" applyAlignment="1">
      <alignment horizontal="center" vertical="center"/>
    </xf>
    <xf numFmtId="178" fontId="0" fillId="8" borderId="15" xfId="0" applyNumberFormat="1" applyFill="1" applyBorder="1" applyAlignment="1">
      <alignment horizontal="center" vertical="center"/>
    </xf>
    <xf numFmtId="178" fontId="0" fillId="8" borderId="16" xfId="0" applyNumberForma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77" fontId="0" fillId="0" borderId="5" xfId="0" applyNumberFormat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" fillId="11" borderId="32" xfId="0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9" fontId="0" fillId="0" borderId="39" xfId="0" applyNumberFormat="1" applyBorder="1" applyAlignment="1">
      <alignment horizontal="center" vertical="center"/>
    </xf>
    <xf numFmtId="176" fontId="0" fillId="8" borderId="39" xfId="0" applyNumberFormat="1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176" fontId="0" fillId="12" borderId="10" xfId="0" applyNumberForma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176" fontId="0" fillId="11" borderId="10" xfId="0" applyNumberFormat="1" applyFill="1" applyBorder="1" applyAlignment="1">
      <alignment horizontal="center" vertical="center"/>
    </xf>
    <xf numFmtId="0" fontId="0" fillId="0" borderId="41" xfId="0" applyBorder="1">
      <alignment vertical="center"/>
    </xf>
    <xf numFmtId="0" fontId="0" fillId="3" borderId="46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178" fontId="0" fillId="13" borderId="15" xfId="0" applyNumberFormat="1" applyFill="1" applyBorder="1" applyAlignment="1">
      <alignment horizontal="center" vertical="center"/>
    </xf>
    <xf numFmtId="178" fontId="0" fillId="13" borderId="38" xfId="0" applyNumberForma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31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1" fontId="3" fillId="0" borderId="1" xfId="0" applyNumberFormat="1" applyFont="1" applyBorder="1">
      <alignment vertical="center"/>
    </xf>
    <xf numFmtId="1" fontId="3" fillId="0" borderId="26" xfId="0" applyNumberFormat="1" applyFont="1" applyBorder="1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 vertical="center" wrapText="1"/>
    </xf>
    <xf numFmtId="0" fontId="0" fillId="9" borderId="47" xfId="0" applyFill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14" borderId="11" xfId="0" applyFill="1" applyBorder="1" applyAlignment="1">
      <alignment horizontal="center" vertical="center"/>
    </xf>
    <xf numFmtId="10" fontId="0" fillId="0" borderId="10" xfId="0" applyNumberFormat="1" applyBorder="1">
      <alignment vertical="center"/>
    </xf>
    <xf numFmtId="0" fontId="0" fillId="11" borderId="55" xfId="0" applyFill="1" applyBorder="1" applyAlignment="1">
      <alignment horizontal="center" vertical="center" wrapText="1"/>
    </xf>
    <xf numFmtId="0" fontId="0" fillId="9" borderId="56" xfId="0" applyFill="1" applyBorder="1" applyAlignment="1">
      <alignment horizontal="center" vertical="center" wrapText="1"/>
    </xf>
    <xf numFmtId="0" fontId="0" fillId="11" borderId="57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1" fontId="0" fillId="14" borderId="5" xfId="0" applyNumberFormat="1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15" borderId="58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178" fontId="0" fillId="10" borderId="15" xfId="0" applyNumberFormat="1" applyFill="1" applyBorder="1" applyAlignment="1">
      <alignment horizontal="center" vertical="center"/>
    </xf>
    <xf numFmtId="178" fontId="0" fillId="10" borderId="16" xfId="0" applyNumberForma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8" borderId="61" xfId="0" applyFill="1" applyBorder="1" applyAlignment="1">
      <alignment horizontal="center" vertical="center"/>
    </xf>
    <xf numFmtId="0" fontId="0" fillId="0" borderId="68" xfId="0" applyBorder="1" applyAlignment="1">
      <alignment horizontal="center" vertical="center" wrapText="1"/>
    </xf>
    <xf numFmtId="0" fontId="0" fillId="9" borderId="69" xfId="0" applyFill="1" applyBorder="1" applyAlignment="1">
      <alignment horizontal="center" vertical="center" wrapText="1"/>
    </xf>
    <xf numFmtId="0" fontId="0" fillId="10" borderId="70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9" fontId="0" fillId="0" borderId="17" xfId="0" applyNumberFormat="1" applyBorder="1">
      <alignment vertical="center"/>
    </xf>
    <xf numFmtId="10" fontId="0" fillId="0" borderId="61" xfId="0" applyNumberFormat="1" applyBorder="1">
      <alignment vertical="center"/>
    </xf>
    <xf numFmtId="2" fontId="0" fillId="10" borderId="71" xfId="0" applyNumberFormat="1" applyFill="1" applyBorder="1" applyAlignment="1">
      <alignment horizontal="center" vertical="center"/>
    </xf>
    <xf numFmtId="176" fontId="0" fillId="10" borderId="73" xfId="0" applyNumberFormat="1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61" xfId="0" applyBorder="1">
      <alignment vertical="center"/>
    </xf>
    <xf numFmtId="9" fontId="0" fillId="0" borderId="75" xfId="0" applyNumberFormat="1" applyBorder="1">
      <alignment vertical="center"/>
    </xf>
    <xf numFmtId="0" fontId="0" fillId="0" borderId="71" xfId="0" applyBorder="1" applyAlignment="1">
      <alignment horizontal="center" vertical="center"/>
    </xf>
    <xf numFmtId="0" fontId="7" fillId="0" borderId="72" xfId="0" applyFont="1" applyBorder="1" applyAlignment="1">
      <alignment horizontal="center" vertical="center"/>
    </xf>
    <xf numFmtId="0" fontId="7" fillId="10" borderId="72" xfId="0" applyFont="1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" fontId="0" fillId="10" borderId="76" xfId="0" applyNumberForma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1" fontId="0" fillId="14" borderId="33" xfId="0" applyNumberFormat="1" applyFill="1" applyBorder="1" applyAlignment="1">
      <alignment horizontal="center" vertical="center"/>
    </xf>
    <xf numFmtId="0" fontId="0" fillId="3" borderId="77" xfId="0" applyFill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15" borderId="58" xfId="0" applyFont="1" applyFill="1" applyBorder="1" applyAlignment="1">
      <alignment horizontal="center" vertical="center"/>
    </xf>
    <xf numFmtId="0" fontId="0" fillId="14" borderId="60" xfId="0" applyFill="1" applyBorder="1" applyAlignment="1">
      <alignment horizontal="center" vertical="center"/>
    </xf>
    <xf numFmtId="0" fontId="0" fillId="10" borderId="58" xfId="0" applyFont="1" applyFill="1" applyBorder="1" applyAlignment="1">
      <alignment horizontal="center" vertical="center"/>
    </xf>
    <xf numFmtId="0" fontId="0" fillId="10" borderId="60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82" xfId="0" applyBorder="1" applyAlignment="1">
      <alignment horizontal="center" vertical="center" wrapText="1"/>
    </xf>
    <xf numFmtId="0" fontId="0" fillId="0" borderId="83" xfId="0" applyBorder="1" applyAlignment="1">
      <alignment horizontal="center" vertical="center" wrapText="1"/>
    </xf>
    <xf numFmtId="0" fontId="0" fillId="0" borderId="84" xfId="0" applyBorder="1" applyAlignment="1">
      <alignment horizontal="center" vertical="center" wrapText="1"/>
    </xf>
    <xf numFmtId="0" fontId="0" fillId="11" borderId="85" xfId="0" applyFill="1" applyBorder="1" applyAlignment="1">
      <alignment horizontal="center" vertical="center" wrapText="1"/>
    </xf>
    <xf numFmtId="0" fontId="0" fillId="11" borderId="86" xfId="0" applyFill="1" applyBorder="1" applyAlignment="1">
      <alignment horizontal="center" vertical="center" wrapText="1"/>
    </xf>
    <xf numFmtId="0" fontId="0" fillId="9" borderId="87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178" fontId="0" fillId="0" borderId="15" xfId="0" applyNumberFormat="1" applyFill="1" applyBorder="1" applyAlignment="1">
      <alignment horizontal="center" vertical="center"/>
    </xf>
    <xf numFmtId="178" fontId="0" fillId="0" borderId="16" xfId="0" applyNumberFormat="1" applyFill="1" applyBorder="1" applyAlignment="1">
      <alignment horizontal="center" vertical="center"/>
    </xf>
    <xf numFmtId="176" fontId="0" fillId="14" borderId="60" xfId="0" applyNumberFormat="1" applyFill="1" applyBorder="1" applyAlignment="1">
      <alignment horizontal="center" vertical="center"/>
    </xf>
    <xf numFmtId="176" fontId="0" fillId="9" borderId="87" xfId="0" applyNumberForma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178" fontId="0" fillId="4" borderId="15" xfId="0" applyNumberFormat="1" applyFill="1" applyBorder="1" applyAlignment="1">
      <alignment horizontal="center"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16" borderId="0" xfId="0" applyFill="1" applyAlignment="1">
      <alignment vertical="center" wrapText="1"/>
    </xf>
    <xf numFmtId="10" fontId="0" fillId="16" borderId="0" xfId="0" applyNumberFormat="1" applyFill="1">
      <alignment vertical="center"/>
    </xf>
    <xf numFmtId="0" fontId="0" fillId="16" borderId="0" xfId="0" applyFill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8" borderId="92" xfId="0" applyNumberFormat="1" applyFill="1" applyBorder="1" applyAlignment="1">
      <alignment horizontal="center" vertical="center"/>
    </xf>
    <xf numFmtId="0" fontId="0" fillId="12" borderId="93" xfId="0" applyNumberFormat="1" applyFill="1" applyBorder="1" applyAlignment="1">
      <alignment horizontal="center" vertical="center"/>
    </xf>
    <xf numFmtId="0" fontId="0" fillId="12" borderId="94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7" borderId="89" xfId="0" applyFill="1" applyBorder="1" applyAlignment="1">
      <alignment horizontal="center" vertical="center"/>
    </xf>
    <xf numFmtId="9" fontId="0" fillId="17" borderId="89" xfId="0" applyNumberFormat="1" applyFill="1" applyBorder="1" applyAlignment="1">
      <alignment horizontal="center" vertical="center"/>
    </xf>
    <xf numFmtId="0" fontId="0" fillId="17" borderId="89" xfId="0" applyNumberFormat="1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8" borderId="90" xfId="0" applyFill="1" applyBorder="1" applyAlignment="1">
      <alignment horizontal="center" vertical="center"/>
    </xf>
    <xf numFmtId="0" fontId="0" fillId="8" borderId="91" xfId="0" applyFill="1" applyBorder="1" applyAlignment="1">
      <alignment horizontal="center" vertical="center"/>
    </xf>
    <xf numFmtId="10" fontId="0" fillId="8" borderId="0" xfId="0" applyNumberFormat="1" applyFill="1" applyAlignment="1">
      <alignment horizontal="center" vertical="center"/>
    </xf>
    <xf numFmtId="0" fontId="0" fillId="8" borderId="0" xfId="0" applyFill="1">
      <alignment vertical="center"/>
    </xf>
    <xf numFmtId="176" fontId="0" fillId="0" borderId="13" xfId="0" applyNumberFormat="1" applyBorder="1" applyAlignment="1">
      <alignment horizontal="center" vertical="center"/>
    </xf>
    <xf numFmtId="176" fontId="0" fillId="8" borderId="13" xfId="0" applyNumberFormat="1" applyFill="1" applyBorder="1" applyAlignment="1">
      <alignment horizontal="center" vertical="center"/>
    </xf>
    <xf numFmtId="176" fontId="0" fillId="12" borderId="95" xfId="0" applyNumberFormat="1" applyFill="1" applyBorder="1" applyAlignment="1">
      <alignment horizontal="center" vertical="center"/>
    </xf>
    <xf numFmtId="14" fontId="9" fillId="8" borderId="0" xfId="0" applyNumberFormat="1" applyFont="1" applyFill="1" applyAlignment="1">
      <alignment vertical="center" wrapText="1"/>
    </xf>
    <xf numFmtId="0" fontId="10" fillId="11" borderId="0" xfId="0" applyNumberFormat="1" applyFont="1" applyFill="1" applyAlignment="1">
      <alignment vertical="center" wrapText="1"/>
    </xf>
    <xf numFmtId="0" fontId="10" fillId="11" borderId="0" xfId="0" applyFont="1" applyFill="1">
      <alignment vertical="center"/>
    </xf>
    <xf numFmtId="0" fontId="0" fillId="11" borderId="0" xfId="0" applyFill="1">
      <alignment vertical="center"/>
    </xf>
    <xf numFmtId="177" fontId="0" fillId="0" borderId="0" xfId="0" applyNumberFormat="1">
      <alignment vertical="center"/>
    </xf>
    <xf numFmtId="0" fontId="0" fillId="11" borderId="89" xfId="0" applyFill="1" applyBorder="1" applyAlignment="1">
      <alignment vertical="center" wrapText="1"/>
    </xf>
    <xf numFmtId="177" fontId="0" fillId="8" borderId="0" xfId="0" applyNumberFormat="1" applyFill="1">
      <alignment vertical="center"/>
    </xf>
    <xf numFmtId="0" fontId="0" fillId="18" borderId="0" xfId="0" applyFill="1">
      <alignment vertical="center"/>
    </xf>
    <xf numFmtId="9" fontId="0" fillId="0" borderId="0" xfId="0" applyNumberFormat="1" applyFill="1">
      <alignment vertical="center"/>
    </xf>
    <xf numFmtId="0" fontId="0" fillId="0" borderId="89" xfId="0" applyFill="1" applyBorder="1">
      <alignment vertical="center"/>
    </xf>
    <xf numFmtId="0" fontId="0" fillId="0" borderId="89" xfId="0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88" xfId="0" applyFont="1" applyBorder="1" applyAlignment="1">
      <alignment horizontal="center" vertical="center"/>
    </xf>
    <xf numFmtId="9" fontId="0" fillId="16" borderId="0" xfId="0" applyNumberForma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80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8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6" fillId="10" borderId="40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5" fillId="0" borderId="53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1" fontId="3" fillId="11" borderId="2" xfId="0" applyNumberFormat="1" applyFont="1" applyFill="1" applyBorder="1" applyAlignment="1">
      <alignment horizontal="center" vertical="center"/>
    </xf>
    <xf numFmtId="1" fontId="3" fillId="11" borderId="0" xfId="0" applyNumberFormat="1" applyFont="1" applyFill="1" applyAlignment="1">
      <alignment horizontal="center" vertical="center"/>
    </xf>
    <xf numFmtId="0" fontId="6" fillId="10" borderId="43" xfId="0" applyFont="1" applyFill="1" applyBorder="1" applyAlignment="1">
      <alignment horizontal="center" vertical="center"/>
    </xf>
    <xf numFmtId="0" fontId="6" fillId="10" borderId="44" xfId="0" applyFont="1" applyFill="1" applyBorder="1" applyAlignment="1">
      <alignment horizontal="center" vertical="center"/>
    </xf>
    <xf numFmtId="0" fontId="6" fillId="10" borderId="45" xfId="0" applyFont="1" applyFill="1" applyBorder="1" applyAlignment="1">
      <alignment horizontal="center" vertical="center"/>
    </xf>
  </cellXfs>
  <cellStyles count="1">
    <cellStyle name="표준" xfId="0" builtinId="0"/>
  </cellStyles>
  <dxfs count="926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3" Type="http://schemas.openxmlformats.org/officeDocument/2006/relationships/worksheet" Target="worksheets/sheet3.xml" /><Relationship Id="rId21" Type="http://schemas.openxmlformats.org/officeDocument/2006/relationships/sharedStrings" Target="sharedStrings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23" Type="http://schemas.openxmlformats.org/officeDocument/2006/relationships/calcChain" Target="calcChain.xml" /><Relationship Id="rId10" Type="http://schemas.openxmlformats.org/officeDocument/2006/relationships/worksheet" Target="worksheets/sheet10.xml" /><Relationship Id="rId19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9411-62ED-C649-AF9F-6E3002379BE4}">
  <sheetPr>
    <tabColor theme="0"/>
  </sheetPr>
  <dimension ref="A1:S129"/>
  <sheetViews>
    <sheetView zoomScale="85" zoomScaleNormal="85" workbookViewId="0">
      <pane xSplit="1" ySplit="4" topLeftCell="D85" activePane="bottomRight" state="frozen"/>
      <selection pane="bottomLeft" activeCell="A5" sqref="A5"/>
      <selection pane="topRight" activeCell="B1" sqref="B1"/>
      <selection pane="bottomRight" activeCell="G1" sqref="G1:H1"/>
    </sheetView>
  </sheetViews>
  <sheetFormatPr defaultColWidth="8.91015625" defaultRowHeight="16.5" x14ac:dyDescent="0.25"/>
  <cols>
    <col min="1" max="1" width="3.7109375" customWidth="1"/>
    <col min="2" max="2" width="12.87109375" style="140" bestFit="1" customWidth="1"/>
    <col min="3" max="3" width="10.76953125" bestFit="1" customWidth="1"/>
    <col min="4" max="4" width="8.7890625" bestFit="1" customWidth="1"/>
    <col min="5" max="5" width="10.76953125" bestFit="1" customWidth="1"/>
    <col min="6" max="6" width="6.0625" bestFit="1" customWidth="1"/>
    <col min="7" max="7" width="10.76953125" bestFit="1" customWidth="1"/>
    <col min="8" max="10" width="5.4453125" bestFit="1" customWidth="1"/>
    <col min="11" max="11" width="5.07421875" hidden="1" customWidth="1"/>
    <col min="12" max="12" width="7.55078125" hidden="1" customWidth="1"/>
    <col min="13" max="13" width="6.1875" hidden="1" customWidth="1"/>
    <col min="14" max="15" width="7.42578125" hidden="1" customWidth="1"/>
    <col min="16" max="16" width="6.0625" hidden="1" customWidth="1"/>
    <col min="17" max="17" width="3.21484375" hidden="1" customWidth="1"/>
    <col min="18" max="19" width="4.20703125" hidden="1" customWidth="1"/>
  </cols>
  <sheetData>
    <row r="1" spans="1:19" ht="63" customHeight="1" thickTop="1" thickBot="1" x14ac:dyDescent="0.3">
      <c r="A1">
        <v>5</v>
      </c>
      <c r="B1" s="124" t="s">
        <v>40</v>
      </c>
      <c r="C1" s="125">
        <f>ROUNDDOWN((G1-E1)/7,0)+1</f>
        <v>13</v>
      </c>
      <c r="D1" s="146"/>
      <c r="E1" s="196">
        <v>45641</v>
      </c>
      <c r="F1" s="196"/>
      <c r="G1" s="197">
        <v>45731</v>
      </c>
      <c r="H1" s="197"/>
      <c r="L1" s="75" t="s">
        <v>25</v>
      </c>
      <c r="M1" s="76"/>
    </row>
    <row r="2" spans="1:19" ht="18" thickTop="1" thickBot="1" x14ac:dyDescent="0.3">
      <c r="A2" s="126">
        <f>C1</f>
        <v>13</v>
      </c>
      <c r="B2" s="112" t="s">
        <v>15</v>
      </c>
      <c r="C2" s="80" t="s">
        <v>5</v>
      </c>
      <c r="D2" s="78" t="s">
        <v>11</v>
      </c>
      <c r="E2" s="78" t="s">
        <v>12</v>
      </c>
      <c r="F2" s="79" t="s">
        <v>13</v>
      </c>
      <c r="G2" s="147" t="s">
        <v>5</v>
      </c>
      <c r="H2" s="148" t="s">
        <v>11</v>
      </c>
      <c r="I2" s="148" t="s">
        <v>13</v>
      </c>
      <c r="J2" s="149" t="s">
        <v>14</v>
      </c>
      <c r="L2" s="86" t="s">
        <v>27</v>
      </c>
      <c r="M2" s="81"/>
    </row>
    <row r="3" spans="1:19" ht="18" thickTop="1" thickBot="1" x14ac:dyDescent="0.3">
      <c r="A3" s="129" t="s">
        <v>16</v>
      </c>
      <c r="B3" s="119">
        <v>82.5</v>
      </c>
      <c r="C3" s="85">
        <v>2.5</v>
      </c>
      <c r="D3" s="83">
        <v>100</v>
      </c>
      <c r="E3" s="83">
        <v>100</v>
      </c>
      <c r="F3" s="84">
        <f>MROUND(E3-D3*0.85,C3)</f>
        <v>15</v>
      </c>
      <c r="G3" s="150">
        <v>0.1</v>
      </c>
      <c r="H3" s="151">
        <v>100</v>
      </c>
      <c r="I3" s="151">
        <v>25</v>
      </c>
      <c r="J3" s="152">
        <f>MROUND(H3*0.85+I3,G3)</f>
        <v>110</v>
      </c>
      <c r="L3" s="86" t="s">
        <v>28</v>
      </c>
      <c r="M3" s="87"/>
      <c r="N3" s="120" t="s">
        <v>34</v>
      </c>
      <c r="O3" s="93" t="s">
        <v>35</v>
      </c>
    </row>
    <row r="4" spans="1:19" ht="33.75" thickTop="1" thickBot="1" x14ac:dyDescent="0.3">
      <c r="A4" s="198" t="str">
        <f>A3&amp;" 운동"</f>
        <v>상 운동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28" t="s">
        <v>30</v>
      </c>
      <c r="M4" s="115"/>
      <c r="N4" s="116">
        <v>0.01</v>
      </c>
      <c r="O4" s="122">
        <v>7.0000000000000007E-2</v>
      </c>
    </row>
    <row r="5" spans="1:19" ht="18" customHeight="1" thickTop="1" thickBot="1" x14ac:dyDescent="0.3">
      <c r="A5" s="193">
        <f>IF($M8&lt;IF($A$3="하",$S$8,$S$6),0,IF($M8&gt;IF($A$3="하",$S$7,$S$5),"",A1+1))</f>
        <v>0</v>
      </c>
      <c r="B5" s="141" t="str">
        <f>IF(O6-C8&lt;$A$1," ","MAX to "&amp;MROUND(IF(IF(O6-C8&gt;$A$1,$A$1,O6-C8)&lt;2,I1,I1*(37-IF(O6-C8&gt;$A$1,$A$1,O6-C8))/36),D8))</f>
        <v xml:space="preserve"> </v>
      </c>
      <c r="C5" s="90" t="str">
        <f>IF(O6&lt;=C8,"X",IF(N6&gt;C8,"must ME","can ME"))</f>
        <v>X</v>
      </c>
      <c r="D5" s="131" t="s">
        <v>31</v>
      </c>
      <c r="E5" s="132">
        <v>4</v>
      </c>
      <c r="F5" s="133" t="s">
        <v>32</v>
      </c>
      <c r="G5" s="132">
        <f>IF(F6&gt;=90%,2,IF(F6&gt;=80%,4,IF(F6&gt;=70%,6,6)))</f>
        <v>6</v>
      </c>
      <c r="H5" s="134" t="s">
        <v>2</v>
      </c>
      <c r="I5" s="135">
        <f>K6/(100%-IF($A$3="하",$P$8,$P$6)*K8)/K8</f>
        <v>84.340736575766101</v>
      </c>
      <c r="J5" s="136">
        <f>IF("하"=$A$3,$Q$7,$Q$5)</f>
        <v>25</v>
      </c>
      <c r="K5" s="137" t="s">
        <v>33</v>
      </c>
      <c r="L5" s="75" t="s">
        <v>25</v>
      </c>
      <c r="M5" s="76">
        <f>K6</f>
        <v>1560</v>
      </c>
      <c r="N5" s="74" t="s">
        <v>34</v>
      </c>
      <c r="O5" s="74" t="s">
        <v>35</v>
      </c>
      <c r="P5" s="77" t="s">
        <v>26</v>
      </c>
      <c r="Q5" s="77">
        <v>25</v>
      </c>
      <c r="R5" s="77">
        <v>300</v>
      </c>
      <c r="S5" s="77">
        <f>$A$2*R5/4</f>
        <v>975</v>
      </c>
    </row>
    <row r="6" spans="1:19" ht="18" customHeight="1" thickTop="1" thickBot="1" x14ac:dyDescent="0.3">
      <c r="A6" s="194"/>
      <c r="B6" s="143"/>
      <c r="C6" s="142" t="str">
        <f>IF(B8="","",IF(B6*36/(37-B8)=0,"",B6*36/(37-B8)))</f>
        <v/>
      </c>
      <c r="D6" s="109" t="str">
        <f>B2</f>
        <v>MP</v>
      </c>
      <c r="E6" s="18">
        <f>IF(C6="",B3,C6)</f>
        <v>82.5</v>
      </c>
      <c r="F6" s="94">
        <f>100%-J5*IF($A$3="하",$P$8,$P$6)</f>
        <v>0.72249999999999992</v>
      </c>
      <c r="G6" s="7">
        <f t="shared" ref="G6:I7" si="0">F6</f>
        <v>0.72249999999999992</v>
      </c>
      <c r="H6" s="7">
        <f t="shared" si="0"/>
        <v>0.72249999999999992</v>
      </c>
      <c r="I6" s="7">
        <f t="shared" si="0"/>
        <v>0.72249999999999992</v>
      </c>
      <c r="J6" s="8">
        <f>I6</f>
        <v>0.72249999999999992</v>
      </c>
      <c r="K6" s="95">
        <f>F7*F8+G7*G8+H7*H8+I7*I8+J7*J8</f>
        <v>1560</v>
      </c>
      <c r="L6" s="86" t="s">
        <v>27</v>
      </c>
      <c r="M6" s="81">
        <f>M5+M2</f>
        <v>1560</v>
      </c>
      <c r="N6" s="90">
        <f>ROUNDDOWN(M4*$N$4,0)</f>
        <v>0</v>
      </c>
      <c r="O6" s="90">
        <f>ROUNDDOWN(M4*$O$4,0)</f>
        <v>0</v>
      </c>
      <c r="P6" s="82">
        <v>1.11E-2</v>
      </c>
      <c r="Q6" s="77">
        <v>25</v>
      </c>
      <c r="R6" s="77">
        <v>200</v>
      </c>
      <c r="S6" s="77">
        <f>$A$2*R6/4</f>
        <v>650</v>
      </c>
    </row>
    <row r="7" spans="1:19" ht="18" customHeight="1" thickTop="1" thickBot="1" x14ac:dyDescent="0.3">
      <c r="A7" s="194"/>
      <c r="B7" s="141" t="str">
        <f>IF(O6-C8&lt;$A$1," ","1~ "&amp;IF(O6-C8&gt;$A$1,$A$1,O6-C8)&amp;" rep")</f>
        <v xml:space="preserve"> </v>
      </c>
      <c r="C7" s="97" t="s">
        <v>37</v>
      </c>
      <c r="D7" s="98" t="s">
        <v>5</v>
      </c>
      <c r="E7" s="5" t="s">
        <v>3</v>
      </c>
      <c r="F7" s="18">
        <f>MROUND(F6*E6,D8)</f>
        <v>60</v>
      </c>
      <c r="G7" s="18">
        <f t="shared" si="0"/>
        <v>60</v>
      </c>
      <c r="H7" s="18">
        <f t="shared" si="0"/>
        <v>60</v>
      </c>
      <c r="I7" s="18">
        <f t="shared" si="0"/>
        <v>60</v>
      </c>
      <c r="J7" s="19">
        <f>I7</f>
        <v>60</v>
      </c>
      <c r="K7" s="74" t="s">
        <v>10</v>
      </c>
      <c r="L7" s="86" t="s">
        <v>28</v>
      </c>
      <c r="M7" s="87">
        <f>K8</f>
        <v>26</v>
      </c>
      <c r="N7" s="93" t="s">
        <v>34</v>
      </c>
      <c r="O7" s="93" t="s">
        <v>35</v>
      </c>
      <c r="P7" s="121" t="s">
        <v>29</v>
      </c>
      <c r="Q7" s="77">
        <v>20</v>
      </c>
      <c r="R7" s="77">
        <v>240</v>
      </c>
      <c r="S7" s="77">
        <f>$A$2*R7/4</f>
        <v>780</v>
      </c>
    </row>
    <row r="8" spans="1:19" ht="18" customHeight="1" thickTop="1" thickBot="1" x14ac:dyDescent="0.3">
      <c r="A8" s="195"/>
      <c r="B8" s="143"/>
      <c r="C8" s="90">
        <f>IF(B6="",C4,IF(C6&lt;=0,C8,C8+B8))</f>
        <v>0</v>
      </c>
      <c r="D8" s="113">
        <v>2.5</v>
      </c>
      <c r="E8" s="13" t="s">
        <v>7</v>
      </c>
      <c r="F8" s="153">
        <v>6</v>
      </c>
      <c r="G8" s="154">
        <v>6</v>
      </c>
      <c r="H8" s="154">
        <v>6</v>
      </c>
      <c r="I8" s="154">
        <v>4</v>
      </c>
      <c r="J8" s="155">
        <v>4</v>
      </c>
      <c r="K8" s="101">
        <f>SUM(F8:J8)</f>
        <v>26</v>
      </c>
      <c r="L8" s="88" t="s">
        <v>30</v>
      </c>
      <c r="M8" s="89">
        <f>M7+M4</f>
        <v>26</v>
      </c>
      <c r="N8" s="90">
        <f>ROUNDDOWN((M4+C8+K8)*$N$4,0)</f>
        <v>0</v>
      </c>
      <c r="O8" s="90">
        <f>ROUNDDOWN((M4+K8+C8)*$O$4,0)</f>
        <v>1</v>
      </c>
      <c r="P8" s="117">
        <v>1.3899999999999999E-2</v>
      </c>
      <c r="Q8" s="77">
        <v>20</v>
      </c>
      <c r="R8" s="77">
        <v>160</v>
      </c>
      <c r="S8" s="77">
        <f>$A$2*R8/4</f>
        <v>520</v>
      </c>
    </row>
    <row r="9" spans="1:19" ht="18" customHeight="1" thickTop="1" thickBot="1" x14ac:dyDescent="0.3">
      <c r="A9" s="193">
        <f>IF($M12&lt;IF($A$3="하",$S$8,$S$6),0,IF($M12&gt;IF($A$3="하",$S$7,$S$5),"",MAX(A5+1)))</f>
        <v>0</v>
      </c>
      <c r="B9" s="141" t="str">
        <f>IF(O10-C8&lt;$A$1," ","MAX to "&amp;MROUND(IF(IF(O10-C8&gt;$A$1,$A$1,O10-C8)&lt;2,I5,I5*(37-IF(O10-C8&gt;$A$1,$A$1,O10-C8))/36),D12))</f>
        <v xml:space="preserve"> </v>
      </c>
      <c r="C9" s="90" t="str">
        <f>IF(O10&lt;=C8,"X",IF(N10&gt;C8,"must ME","can ME"))</f>
        <v>can ME</v>
      </c>
      <c r="D9" s="75" t="s">
        <v>31</v>
      </c>
      <c r="E9" s="23">
        <v>4</v>
      </c>
      <c r="F9" s="2">
        <v>1</v>
      </c>
      <c r="G9" s="23">
        <f>IF(F10&gt;=90%,2,IF(F10&gt;=80%,4,IF(F10&gt;=70%,6,6)))</f>
        <v>6</v>
      </c>
      <c r="H9" s="3" t="s">
        <v>2</v>
      </c>
      <c r="I9" s="91">
        <f>K10/(100%-IF($A$3="하",$P$8,$P$6)*K12)/K12</f>
        <v>88.482524701371489</v>
      </c>
      <c r="J9" s="92">
        <f>IF("하"=$A$3,$Q$7,$Q$5)</f>
        <v>25</v>
      </c>
      <c r="K9" s="107" t="s">
        <v>33</v>
      </c>
      <c r="L9" s="75" t="s">
        <v>25</v>
      </c>
      <c r="M9" s="76">
        <f>K10</f>
        <v>1740</v>
      </c>
      <c r="N9" s="93" t="s">
        <v>34</v>
      </c>
      <c r="O9" s="93" t="s">
        <v>35</v>
      </c>
    </row>
    <row r="10" spans="1:19" ht="18" customHeight="1" thickTop="1" thickBot="1" x14ac:dyDescent="0.3">
      <c r="A10" s="194"/>
      <c r="B10" s="143"/>
      <c r="C10" s="142" t="str">
        <f>IF(B12="","",IF(B10*36/(37-B12)=0,"",B10*36/(37-B12)))</f>
        <v/>
      </c>
      <c r="D10" s="109" t="str">
        <f>D6</f>
        <v>MP</v>
      </c>
      <c r="E10" s="18">
        <f>IF(C10="",I5,C10)</f>
        <v>84.340736575766101</v>
      </c>
      <c r="F10" s="94">
        <f>100%-J9*IF($A$3="하",$P$8,$P$6)</f>
        <v>0.72249999999999992</v>
      </c>
      <c r="G10" s="7">
        <f t="shared" ref="G10:I11" si="1">F10</f>
        <v>0.72249999999999992</v>
      </c>
      <c r="H10" s="7">
        <f t="shared" si="1"/>
        <v>0.72249999999999992</v>
      </c>
      <c r="I10" s="7">
        <f t="shared" si="1"/>
        <v>0.72249999999999992</v>
      </c>
      <c r="J10" s="8">
        <f>I10</f>
        <v>0.72249999999999992</v>
      </c>
      <c r="K10" s="95">
        <f>F11*F12+G11*G12+H11*H12+I11*I12+J11*J12</f>
        <v>1740</v>
      </c>
      <c r="L10" s="86" t="s">
        <v>27</v>
      </c>
      <c r="M10" s="81">
        <f>M9+M6</f>
        <v>3300</v>
      </c>
      <c r="N10" s="90">
        <f>ROUNDDOWN(M8*$N$4,0)</f>
        <v>0</v>
      </c>
      <c r="O10" s="90">
        <f>ROUNDDOWN(M8*$O$4,0)</f>
        <v>1</v>
      </c>
    </row>
    <row r="11" spans="1:19" ht="18" customHeight="1" thickTop="1" thickBot="1" x14ac:dyDescent="0.3">
      <c r="A11" s="194"/>
      <c r="B11" s="141" t="str">
        <f>IF(O10-C8&lt;$A$1," ","1~ "&amp;IF(O10-C8&gt;$A$1,$A$1,O10-C8)&amp;" rep")</f>
        <v xml:space="preserve"> </v>
      </c>
      <c r="C11" s="97" t="s">
        <v>37</v>
      </c>
      <c r="D11" s="98" t="s">
        <v>5</v>
      </c>
      <c r="E11" s="5" t="s">
        <v>3</v>
      </c>
      <c r="F11" s="18">
        <f>MROUND(F10*E10,D12)</f>
        <v>60</v>
      </c>
      <c r="G11" s="18">
        <f t="shared" si="1"/>
        <v>60</v>
      </c>
      <c r="H11" s="18">
        <f t="shared" si="1"/>
        <v>60</v>
      </c>
      <c r="I11" s="18">
        <f t="shared" si="1"/>
        <v>60</v>
      </c>
      <c r="J11" s="19">
        <f>I11</f>
        <v>60</v>
      </c>
      <c r="K11" s="74" t="s">
        <v>10</v>
      </c>
      <c r="L11" s="86" t="s">
        <v>28</v>
      </c>
      <c r="M11" s="87">
        <f>K12</f>
        <v>29</v>
      </c>
      <c r="N11" s="93" t="s">
        <v>34</v>
      </c>
      <c r="O11" s="93" t="s">
        <v>35</v>
      </c>
    </row>
    <row r="12" spans="1:19" ht="18" customHeight="1" thickTop="1" thickBot="1" x14ac:dyDescent="0.3">
      <c r="A12" s="195"/>
      <c r="B12" s="144"/>
      <c r="C12" s="90">
        <f>IF(B10="",C8,IF(C10&lt;=0,C8,C8+B12))</f>
        <v>0</v>
      </c>
      <c r="D12" s="100">
        <f>D8</f>
        <v>2.5</v>
      </c>
      <c r="E12" s="13" t="s">
        <v>7</v>
      </c>
      <c r="F12" s="153">
        <v>6</v>
      </c>
      <c r="G12" s="153">
        <v>6</v>
      </c>
      <c r="H12" s="153">
        <v>6</v>
      </c>
      <c r="I12" s="153">
        <v>6</v>
      </c>
      <c r="J12" s="155">
        <v>5</v>
      </c>
      <c r="K12" s="101">
        <f>SUM(F12:J12)</f>
        <v>29</v>
      </c>
      <c r="L12" s="88" t="s">
        <v>30</v>
      </c>
      <c r="M12" s="89">
        <f>M11+M8</f>
        <v>55</v>
      </c>
      <c r="N12" s="90">
        <f>ROUNDDOWN((M8-C8+C12+K12)*$N$4,0)</f>
        <v>0</v>
      </c>
      <c r="O12" s="90">
        <f>ROUNDDOWN((M8+K12-+C12)*$O$4,0)</f>
        <v>3</v>
      </c>
    </row>
    <row r="13" spans="1:19" ht="18" customHeight="1" thickTop="1" thickBot="1" x14ac:dyDescent="0.3">
      <c r="A13" s="193">
        <f t="shared" ref="A13" si="2">IF($M16&lt;IF($A$3="하",$S$8,$S$6),0,IF($M16&gt;IF($A$3="하",$S$7,$S$5),"",MAX(A9+1)))</f>
        <v>0</v>
      </c>
      <c r="B13" s="141" t="str">
        <f>IF(O14-C12&lt;$A$1," ","MAX to "&amp;MROUND(IF(IF(O14-C12&gt;$A$1,$A$1,O14-C12)&lt;2,I9,I9*(37-IF(O14-C12&gt;$A$1,$A$1,O14-C12))/36),D16))</f>
        <v xml:space="preserve"> </v>
      </c>
      <c r="C13" s="90" t="str">
        <f>IF(O14&lt;=C12,"X",IF(N14&gt;C12,"must ME","can ME"))</f>
        <v>can ME</v>
      </c>
      <c r="D13" s="75" t="s">
        <v>31</v>
      </c>
      <c r="E13" s="23">
        <v>4</v>
      </c>
      <c r="F13" s="2">
        <v>1</v>
      </c>
      <c r="G13" s="23">
        <f>IF(F14&gt;=90%,2,IF(F14&gt;=80%,4,IF(F14&gt;=70%,6,6)))</f>
        <v>6</v>
      </c>
      <c r="H13" s="3" t="s">
        <v>2</v>
      </c>
      <c r="I13" s="91">
        <f>K14/(100%-IF($A$3="하",$P$8,$P$6)*K16)/K16</f>
        <v>89.965397923875443</v>
      </c>
      <c r="J13" s="92">
        <f>IF("하"=$A$3,$Q$7,$Q$5)</f>
        <v>25</v>
      </c>
      <c r="K13" s="107" t="s">
        <v>33</v>
      </c>
      <c r="L13" s="75" t="s">
        <v>25</v>
      </c>
      <c r="M13" s="76">
        <f>K14</f>
        <v>1625</v>
      </c>
      <c r="N13" s="93" t="s">
        <v>34</v>
      </c>
      <c r="O13" s="93" t="s">
        <v>35</v>
      </c>
    </row>
    <row r="14" spans="1:19" ht="18" customHeight="1" thickTop="1" thickBot="1" x14ac:dyDescent="0.3">
      <c r="A14" s="194"/>
      <c r="B14" s="143"/>
      <c r="C14" s="142" t="str">
        <f>IF(B16="","",IF(B14*36/(37-B16)=0,"",B14*36/(37-B16)))</f>
        <v/>
      </c>
      <c r="D14" s="109" t="str">
        <f>D10</f>
        <v>MP</v>
      </c>
      <c r="E14" s="18">
        <f>IF(C14="",I9,C14)</f>
        <v>88.482524701371489</v>
      </c>
      <c r="F14" s="94">
        <f>100%-J13*IF($A$3="하",$P$8,$P$6)</f>
        <v>0.72249999999999992</v>
      </c>
      <c r="G14" s="7">
        <f t="shared" ref="G14:I15" si="3">F14</f>
        <v>0.72249999999999992</v>
      </c>
      <c r="H14" s="7">
        <f t="shared" si="3"/>
        <v>0.72249999999999992</v>
      </c>
      <c r="I14" s="7">
        <f t="shared" si="3"/>
        <v>0.72249999999999992</v>
      </c>
      <c r="J14" s="8">
        <f>I14</f>
        <v>0.72249999999999992</v>
      </c>
      <c r="K14" s="95">
        <f>F15*F16+G15*G16+H15*H16+I15*I16+J15*J16</f>
        <v>1625</v>
      </c>
      <c r="L14" s="86" t="s">
        <v>27</v>
      </c>
      <c r="M14" s="81">
        <f>M13+M10</f>
        <v>4925</v>
      </c>
      <c r="N14" s="90">
        <f>ROUNDDOWN(M12*$N$4,0)</f>
        <v>0</v>
      </c>
      <c r="O14" s="90">
        <f>ROUNDDOWN(M12*$O$4,0)</f>
        <v>3</v>
      </c>
    </row>
    <row r="15" spans="1:19" ht="18" customHeight="1" thickTop="1" thickBot="1" x14ac:dyDescent="0.3">
      <c r="A15" s="194"/>
      <c r="B15" s="141" t="str">
        <f>IF(O14-C12&lt;$A$1," ","1~ "&amp;IF(O14-C12&gt;$A$1,$A$1,O14-C12)&amp;" rep")</f>
        <v xml:space="preserve"> </v>
      </c>
      <c r="C15" s="97" t="s">
        <v>37</v>
      </c>
      <c r="D15" s="98" t="s">
        <v>5</v>
      </c>
      <c r="E15" s="5" t="s">
        <v>3</v>
      </c>
      <c r="F15" s="18">
        <f>MROUND(F14*E14,D16)</f>
        <v>65</v>
      </c>
      <c r="G15" s="18">
        <f t="shared" si="3"/>
        <v>65</v>
      </c>
      <c r="H15" s="18">
        <f t="shared" si="3"/>
        <v>65</v>
      </c>
      <c r="I15" s="18">
        <f t="shared" si="3"/>
        <v>65</v>
      </c>
      <c r="J15" s="19">
        <f>I15</f>
        <v>65</v>
      </c>
      <c r="K15" s="74" t="s">
        <v>10</v>
      </c>
      <c r="L15" s="86" t="s">
        <v>28</v>
      </c>
      <c r="M15" s="87">
        <f>K16</f>
        <v>25</v>
      </c>
      <c r="N15" s="93" t="s">
        <v>34</v>
      </c>
      <c r="O15" s="93" t="s">
        <v>35</v>
      </c>
    </row>
    <row r="16" spans="1:19" ht="18" customHeight="1" thickTop="1" thickBot="1" x14ac:dyDescent="0.3">
      <c r="A16" s="195"/>
      <c r="B16" s="144"/>
      <c r="C16" s="90">
        <f>IF(B14="",C12,IF(C14&lt;=0,C12,C12+B16))</f>
        <v>0</v>
      </c>
      <c r="D16" s="100">
        <f>D12</f>
        <v>2.5</v>
      </c>
      <c r="E16" s="13" t="s">
        <v>7</v>
      </c>
      <c r="F16" s="153">
        <v>6</v>
      </c>
      <c r="G16" s="153">
        <v>6</v>
      </c>
      <c r="H16" s="154">
        <f>IF(MROUND((J13-F16-G16)/3,1)&lt;=G13,IF(MROUND((J13-F16-G16)/3,1)&gt;=E13,MROUND((J13-F16-G16)/3,1),E13),G13)</f>
        <v>4</v>
      </c>
      <c r="I16" s="154">
        <f>IF(MROUND((J13-F16-G16-H16)/2,1)&lt;=G13,IF((J13-F16-G16-H16)/2&gt;=E13,MROUND((J13-F16-G16-H16)/2,1),J13-F16-G16-H16),G13)</f>
        <v>5</v>
      </c>
      <c r="J16" s="155">
        <f>IF((J13-(F16+G16+H16+I16))&gt;0,(J13-(F16+G16+H16+I16)),0)</f>
        <v>4</v>
      </c>
      <c r="K16" s="101">
        <f>SUM(F16:J16)</f>
        <v>25</v>
      </c>
      <c r="L16" s="88" t="s">
        <v>30</v>
      </c>
      <c r="M16" s="89">
        <f>M15+M12</f>
        <v>80</v>
      </c>
      <c r="N16" s="90">
        <f>ROUNDDOWN((M12-C12+C16+K16)*$N$4,0)</f>
        <v>0</v>
      </c>
      <c r="O16" s="90">
        <f>ROUNDDOWN((M12+K16-+C16)*$O$4,0)</f>
        <v>5</v>
      </c>
    </row>
    <row r="17" spans="1:15" ht="18" customHeight="1" thickTop="1" thickBot="1" x14ac:dyDescent="0.3">
      <c r="A17" s="193">
        <f t="shared" ref="A17" si="4">IF($M20&lt;IF($A$3="하",$S$8,$S$6),0,IF($M20&gt;IF($A$3="하",$S$7,$S$5),"",MAX(A13+1)))</f>
        <v>0</v>
      </c>
      <c r="B17" s="141" t="str">
        <f>IF(O18-C16&lt;$A$1," ","MAX to "&amp;MROUND(IF(IF(O18-C16&gt;$A$1,$A$1,O18-C16)&lt;2,I13,I13*(37-IF(O18-C16&gt;$A$1,$A$1,O18-C16))/36),D20))</f>
        <v>MAX to 80</v>
      </c>
      <c r="C17" s="90" t="str">
        <f>IF(O18&lt;=C16,"X",IF(N18&gt;C16,"must ME","can ME"))</f>
        <v>can ME</v>
      </c>
      <c r="D17" s="75" t="s">
        <v>31</v>
      </c>
      <c r="E17" s="23">
        <v>4</v>
      </c>
      <c r="F17" s="2">
        <v>1</v>
      </c>
      <c r="G17" s="23">
        <f>IF(F18&gt;=90%,2,IF(F18&gt;=80%,4,IF(F18&gt;=70%,6,6)))</f>
        <v>6</v>
      </c>
      <c r="H17" s="3" t="s">
        <v>2</v>
      </c>
      <c r="I17" s="91">
        <f>K18/(100%-IF($A$3="하",$P$8,$P$6)*K20)/K20</f>
        <v>85.677566757104103</v>
      </c>
      <c r="J17" s="92">
        <f>IF("하"=$A$3,$Q$7,$Q$5)</f>
        <v>25</v>
      </c>
      <c r="K17" s="107" t="s">
        <v>33</v>
      </c>
      <c r="L17" s="75" t="s">
        <v>25</v>
      </c>
      <c r="M17" s="76">
        <f>K18</f>
        <v>1620</v>
      </c>
      <c r="N17" s="93" t="s">
        <v>34</v>
      </c>
      <c r="O17" s="93" t="s">
        <v>35</v>
      </c>
    </row>
    <row r="18" spans="1:15" ht="18" customHeight="1" thickTop="1" thickBot="1" x14ac:dyDescent="0.3">
      <c r="A18" s="194"/>
      <c r="B18" s="143">
        <v>80</v>
      </c>
      <c r="C18" s="156">
        <f>IF(B20="","",IF(B18*36/(37-B20)=0,"",B18*36/(37-B20)))</f>
        <v>84.705882352941174</v>
      </c>
      <c r="D18" s="109" t="str">
        <f>D14</f>
        <v>MP</v>
      </c>
      <c r="E18" s="18">
        <f>IF(C18="",I13,C18)</f>
        <v>84.705882352941174</v>
      </c>
      <c r="F18" s="94">
        <f>100%-J17*IF($A$3="하",$P$8,$P$6)</f>
        <v>0.72249999999999992</v>
      </c>
      <c r="G18" s="7">
        <f t="shared" ref="G18:I19" si="5">F18</f>
        <v>0.72249999999999992</v>
      </c>
      <c r="H18" s="7">
        <f t="shared" si="5"/>
        <v>0.72249999999999992</v>
      </c>
      <c r="I18" s="7">
        <f t="shared" si="5"/>
        <v>0.72249999999999992</v>
      </c>
      <c r="J18" s="8">
        <f>I18</f>
        <v>0.72249999999999992</v>
      </c>
      <c r="K18" s="95">
        <f>F19*F20+G19*G20+H19*H20+I19*I20+J19*J20</f>
        <v>1620</v>
      </c>
      <c r="L18" s="86" t="s">
        <v>27</v>
      </c>
      <c r="M18" s="81">
        <f>M17+M14</f>
        <v>6545</v>
      </c>
      <c r="N18" s="90">
        <f>ROUNDDOWN(M16*$N$4,0)</f>
        <v>0</v>
      </c>
      <c r="O18" s="90">
        <f>ROUNDDOWN(M16*$O$4,0)</f>
        <v>5</v>
      </c>
    </row>
    <row r="19" spans="1:15" ht="18" customHeight="1" thickTop="1" thickBot="1" x14ac:dyDescent="0.3">
      <c r="A19" s="194"/>
      <c r="B19" s="141" t="str">
        <f>IF(O18-C16&lt;$A$1," ","1~ "&amp;IF(O18-C16&gt;$A$1,$A$1,O18-C16)&amp;" rep")</f>
        <v>1~ 5 rep</v>
      </c>
      <c r="C19" s="97" t="s">
        <v>37</v>
      </c>
      <c r="D19" s="98" t="s">
        <v>5</v>
      </c>
      <c r="E19" s="5" t="s">
        <v>3</v>
      </c>
      <c r="F19" s="18">
        <f>MROUND(F18*E18,D20)</f>
        <v>60</v>
      </c>
      <c r="G19" s="18">
        <f t="shared" si="5"/>
        <v>60</v>
      </c>
      <c r="H19" s="18">
        <f t="shared" si="5"/>
        <v>60</v>
      </c>
      <c r="I19" s="18">
        <f t="shared" si="5"/>
        <v>60</v>
      </c>
      <c r="J19" s="19">
        <f>I19</f>
        <v>60</v>
      </c>
      <c r="K19" s="74" t="s">
        <v>10</v>
      </c>
      <c r="L19" s="86" t="s">
        <v>28</v>
      </c>
      <c r="M19" s="87">
        <f>K20</f>
        <v>27</v>
      </c>
      <c r="N19" s="93" t="s">
        <v>34</v>
      </c>
      <c r="O19" s="93" t="s">
        <v>35</v>
      </c>
    </row>
    <row r="20" spans="1:15" ht="18" customHeight="1" thickTop="1" thickBot="1" x14ac:dyDescent="0.3">
      <c r="A20" s="195"/>
      <c r="B20" s="144">
        <v>3</v>
      </c>
      <c r="C20" s="90">
        <f>IF(B18="",C16,IF(C18&lt;=0,C16,C16+B20))</f>
        <v>3</v>
      </c>
      <c r="D20" s="100">
        <f>D16</f>
        <v>2.5</v>
      </c>
      <c r="E20" s="13" t="s">
        <v>7</v>
      </c>
      <c r="F20" s="153">
        <v>6</v>
      </c>
      <c r="G20" s="154">
        <v>6</v>
      </c>
      <c r="H20" s="154">
        <v>6</v>
      </c>
      <c r="I20" s="154">
        <v>5</v>
      </c>
      <c r="J20" s="155">
        <v>4</v>
      </c>
      <c r="K20" s="101">
        <f>SUM(F20:J20)</f>
        <v>27</v>
      </c>
      <c r="L20" s="88" t="s">
        <v>30</v>
      </c>
      <c r="M20" s="89">
        <f>M19+M16</f>
        <v>107</v>
      </c>
      <c r="N20" s="90">
        <f>ROUNDDOWN((M16-C16+C20+K20)*$N$4,0)</f>
        <v>1</v>
      </c>
      <c r="O20" s="90">
        <f>ROUNDDOWN((M16+K20-+C20)*$O$4,0)</f>
        <v>7</v>
      </c>
    </row>
    <row r="21" spans="1:15" ht="18" customHeight="1" thickTop="1" thickBot="1" x14ac:dyDescent="0.3">
      <c r="A21" s="193">
        <f>IF($M24&lt;IF($A$3="하",$S$8,$S$6),0,IF($M24&gt;IF($A$3="하",$S$7,$S$5),"",MAX(A17+1)))</f>
        <v>0</v>
      </c>
      <c r="B21" s="141" t="str">
        <f>IF(O22-C20&lt;$A$1," ","MAX to "&amp;MROUND(IF(IF(O22-C20&gt;$A$1,$A$1,O22-C20)&lt;2,I17,I17*(37-IF(O22-C20&gt;$A$1,$A$1,O22-C20))/36),D24))</f>
        <v xml:space="preserve"> </v>
      </c>
      <c r="C21" s="90" t="str">
        <f>IF(O22&lt;=C20,"X",IF(N22&gt;C20,"must ME","can ME"))</f>
        <v>can ME</v>
      </c>
      <c r="D21" s="75" t="s">
        <v>31</v>
      </c>
      <c r="E21" s="23">
        <v>4</v>
      </c>
      <c r="F21" s="2">
        <v>1</v>
      </c>
      <c r="G21" s="23">
        <f>IF(F22&gt;=90%,2,IF(F22&gt;=80%,4,IF(F22&gt;=70%,6,6)))</f>
        <v>6</v>
      </c>
      <c r="H21" s="3" t="s">
        <v>2</v>
      </c>
      <c r="I21" s="91">
        <f>K22/(100%-IF($A$3="하",$P$8,$P$6)*K24)/K24</f>
        <v>90.684852002321534</v>
      </c>
      <c r="J21" s="92">
        <f>IF("하"=$A$3,$Q$7,$Q$5)</f>
        <v>25</v>
      </c>
      <c r="K21" s="107" t="s">
        <v>33</v>
      </c>
      <c r="L21" s="75" t="s">
        <v>25</v>
      </c>
      <c r="M21" s="76">
        <f>K22</f>
        <v>1750</v>
      </c>
      <c r="N21" s="93" t="s">
        <v>34</v>
      </c>
      <c r="O21" s="93" t="s">
        <v>35</v>
      </c>
    </row>
    <row r="22" spans="1:15" ht="18" customHeight="1" thickTop="1" thickBot="1" x14ac:dyDescent="0.3">
      <c r="A22" s="194"/>
      <c r="B22" s="143"/>
      <c r="C22" s="142" t="str">
        <f>IF(B24="","",IF(B22*36/(37-B24)=0,"",B22*36/(37-B24)))</f>
        <v/>
      </c>
      <c r="D22" s="109" t="str">
        <f>D18</f>
        <v>MP</v>
      </c>
      <c r="E22" s="18">
        <f>IF(C22="",I17,C22)</f>
        <v>85.677566757104103</v>
      </c>
      <c r="F22" s="94">
        <f>100%-J21*IF($A$3="하",$P$8,$P$6)</f>
        <v>0.72249999999999992</v>
      </c>
      <c r="G22" s="7">
        <f t="shared" ref="G22:I23" si="6">F22</f>
        <v>0.72249999999999992</v>
      </c>
      <c r="H22" s="7">
        <f t="shared" si="6"/>
        <v>0.72249999999999992</v>
      </c>
      <c r="I22" s="7">
        <f t="shared" si="6"/>
        <v>0.72249999999999992</v>
      </c>
      <c r="J22" s="8">
        <f>I22</f>
        <v>0.72249999999999992</v>
      </c>
      <c r="K22" s="95">
        <f>F23*F24+G23*G24+H23*H24+I23*I24+J23*J24</f>
        <v>1750</v>
      </c>
      <c r="L22" s="86" t="s">
        <v>27</v>
      </c>
      <c r="M22" s="81">
        <f>M21+M18</f>
        <v>8295</v>
      </c>
      <c r="N22" s="90">
        <f>ROUNDDOWN(M20*$N$4,0)</f>
        <v>1</v>
      </c>
      <c r="O22" s="90">
        <f>ROUNDDOWN(M20*$O$4,0)</f>
        <v>7</v>
      </c>
    </row>
    <row r="23" spans="1:15" ht="18" customHeight="1" thickTop="1" thickBot="1" x14ac:dyDescent="0.3">
      <c r="A23" s="194"/>
      <c r="B23" s="141" t="str">
        <f>IF(O22-C20&lt;$A$1," ","1~ "&amp;IF(O22-C20&gt;$A$1,$A$1,O22-C20)&amp;" rep")</f>
        <v xml:space="preserve"> </v>
      </c>
      <c r="C23" s="97" t="s">
        <v>37</v>
      </c>
      <c r="D23" s="98" t="s">
        <v>5</v>
      </c>
      <c r="E23" s="5" t="s">
        <v>3</v>
      </c>
      <c r="F23" s="18">
        <f>MROUND(F22*E22,D24)</f>
        <v>62.5</v>
      </c>
      <c r="G23" s="18">
        <f t="shared" si="6"/>
        <v>62.5</v>
      </c>
      <c r="H23" s="18">
        <f t="shared" si="6"/>
        <v>62.5</v>
      </c>
      <c r="I23" s="18">
        <f t="shared" si="6"/>
        <v>62.5</v>
      </c>
      <c r="J23" s="19">
        <f>I23</f>
        <v>62.5</v>
      </c>
      <c r="K23" s="74" t="s">
        <v>10</v>
      </c>
      <c r="L23" s="86" t="s">
        <v>28</v>
      </c>
      <c r="M23" s="87">
        <f>K24</f>
        <v>28</v>
      </c>
      <c r="N23" s="93" t="s">
        <v>34</v>
      </c>
      <c r="O23" s="93" t="s">
        <v>35</v>
      </c>
    </row>
    <row r="24" spans="1:15" ht="18" customHeight="1" thickTop="1" thickBot="1" x14ac:dyDescent="0.3">
      <c r="A24" s="195"/>
      <c r="B24" s="144"/>
      <c r="C24" s="90">
        <f>IF(B22="",C20,IF(C22&lt;=0,C20,C20+B24))</f>
        <v>3</v>
      </c>
      <c r="D24" s="100">
        <f>D20</f>
        <v>2.5</v>
      </c>
      <c r="E24" s="13" t="s">
        <v>7</v>
      </c>
      <c r="F24" s="153">
        <v>6</v>
      </c>
      <c r="G24" s="154">
        <v>6</v>
      </c>
      <c r="H24" s="154">
        <v>6</v>
      </c>
      <c r="I24" s="154">
        <v>6</v>
      </c>
      <c r="J24" s="155">
        <v>4</v>
      </c>
      <c r="K24" s="101">
        <f>SUM(F24:J24)</f>
        <v>28</v>
      </c>
      <c r="L24" s="88" t="s">
        <v>30</v>
      </c>
      <c r="M24" s="89">
        <f>M23+M20</f>
        <v>135</v>
      </c>
      <c r="N24" s="90">
        <f>ROUNDDOWN((M20-C20+C24+K24)*$N$4,0)</f>
        <v>1</v>
      </c>
      <c r="O24" s="90">
        <f>ROUNDDOWN((M20+K24-+C24)*$O$4,0)</f>
        <v>9</v>
      </c>
    </row>
    <row r="25" spans="1:15" ht="18" customHeight="1" thickTop="1" thickBot="1" x14ac:dyDescent="0.3">
      <c r="A25" s="193">
        <f>IF($M28&lt;IF($A$3="하",$S$8,$S$6),0,IF($M28&gt;IF($A$3="하",$S$7,$S$5),"",MAX(A21+1)))</f>
        <v>0</v>
      </c>
      <c r="B25" s="141" t="str">
        <f>IF(O26-C24&lt;$A$1," ","MAX to "&amp;MROUND(IF(IF(O26-C24&gt;$A$1,$A$1,O26-C24)&lt;2,I21,I21*(37-IF(O26-C24&gt;$A$1,$A$1,O26-C24))/36),D28))</f>
        <v>MAX to 80</v>
      </c>
      <c r="C25" s="90" t="str">
        <f>IF(O26&lt;=C24,"X",IF(N26&gt;C24,"must ME","can ME"))</f>
        <v>can ME</v>
      </c>
      <c r="D25" s="75" t="s">
        <v>31</v>
      </c>
      <c r="E25" s="23">
        <v>4</v>
      </c>
      <c r="F25" s="2">
        <v>1</v>
      </c>
      <c r="G25" s="23">
        <f>IF(F26&gt;=90%,2,IF(F26&gt;=80%,4,IF(F26&gt;=70%,6,6)))</f>
        <v>6</v>
      </c>
      <c r="H25" s="3" t="s">
        <v>2</v>
      </c>
      <c r="I25" s="91">
        <f>K26/(100%-IF($A$3="하",$P$8,$P$6)*K28)/K28</f>
        <v>86.505190311418701</v>
      </c>
      <c r="J25" s="92">
        <f>IF("하"=$A$3,$Q$7,$Q$5)</f>
        <v>25</v>
      </c>
      <c r="K25" s="107" t="s">
        <v>33</v>
      </c>
      <c r="L25" s="75" t="s">
        <v>25</v>
      </c>
      <c r="M25" s="76">
        <f>K26</f>
        <v>1562.5</v>
      </c>
      <c r="N25" s="93" t="s">
        <v>34</v>
      </c>
      <c r="O25" s="93" t="s">
        <v>35</v>
      </c>
    </row>
    <row r="26" spans="1:15" ht="18" customHeight="1" thickTop="1" thickBot="1" x14ac:dyDescent="0.3">
      <c r="A26" s="194"/>
      <c r="B26" s="143">
        <v>80</v>
      </c>
      <c r="C26" s="142">
        <f>IF(B28="","",IF(B26*36/(37-B28)=0,"",B26*36/(37-B28)))</f>
        <v>87.272727272727266</v>
      </c>
      <c r="D26" s="109" t="str">
        <f>D22</f>
        <v>MP</v>
      </c>
      <c r="E26" s="18">
        <f>IF(C26="",I21,C26)</f>
        <v>87.272727272727266</v>
      </c>
      <c r="F26" s="94">
        <f>100%-J25*IF($A$3="하",$P$8,$P$6)</f>
        <v>0.72249999999999992</v>
      </c>
      <c r="G26" s="7">
        <f t="shared" ref="G26:I27" si="7">F26</f>
        <v>0.72249999999999992</v>
      </c>
      <c r="H26" s="7">
        <f t="shared" si="7"/>
        <v>0.72249999999999992</v>
      </c>
      <c r="I26" s="7">
        <f t="shared" si="7"/>
        <v>0.72249999999999992</v>
      </c>
      <c r="J26" s="8">
        <f>I26</f>
        <v>0.72249999999999992</v>
      </c>
      <c r="K26" s="95">
        <f>F27*F28+G27*G28+H27*H28+I27*I28+J27*J28</f>
        <v>1562.5</v>
      </c>
      <c r="L26" s="86" t="s">
        <v>27</v>
      </c>
      <c r="M26" s="81">
        <f>M25+M22</f>
        <v>9857.5</v>
      </c>
      <c r="N26" s="90">
        <f>ROUNDDOWN(M24*$N$4,0)</f>
        <v>1</v>
      </c>
      <c r="O26" s="90">
        <f>ROUNDDOWN(M24*$O$4,0)</f>
        <v>9</v>
      </c>
    </row>
    <row r="27" spans="1:15" ht="18" customHeight="1" thickTop="1" thickBot="1" x14ac:dyDescent="0.3">
      <c r="A27" s="194"/>
      <c r="B27" s="141" t="str">
        <f>IF(O26-C24&lt;$A$1," ","1~ "&amp;IF(O26-C24&gt;$A$1,$A$1,O26-C24)&amp;" rep")</f>
        <v>1~ 5 rep</v>
      </c>
      <c r="C27" s="97" t="s">
        <v>37</v>
      </c>
      <c r="D27" s="98" t="s">
        <v>5</v>
      </c>
      <c r="E27" s="5" t="s">
        <v>3</v>
      </c>
      <c r="F27" s="18">
        <f>MROUND(F26*E26,D28)</f>
        <v>62.5</v>
      </c>
      <c r="G27" s="18">
        <f t="shared" si="7"/>
        <v>62.5</v>
      </c>
      <c r="H27" s="18">
        <f t="shared" si="7"/>
        <v>62.5</v>
      </c>
      <c r="I27" s="18">
        <f t="shared" si="7"/>
        <v>62.5</v>
      </c>
      <c r="J27" s="19">
        <f>I27</f>
        <v>62.5</v>
      </c>
      <c r="K27" s="74" t="s">
        <v>10</v>
      </c>
      <c r="L27" s="86" t="s">
        <v>28</v>
      </c>
      <c r="M27" s="87">
        <f>K28</f>
        <v>25</v>
      </c>
      <c r="N27" s="93" t="s">
        <v>34</v>
      </c>
      <c r="O27" s="93" t="s">
        <v>35</v>
      </c>
    </row>
    <row r="28" spans="1:15" ht="18" customHeight="1" thickTop="1" thickBot="1" x14ac:dyDescent="0.3">
      <c r="A28" s="195"/>
      <c r="B28" s="144">
        <v>4</v>
      </c>
      <c r="C28" s="90">
        <f>IF(B26="",C24,IF(C26&lt;=0,C24,C24+B28))</f>
        <v>7</v>
      </c>
      <c r="D28" s="100">
        <f>D24</f>
        <v>2.5</v>
      </c>
      <c r="E28" s="13" t="s">
        <v>7</v>
      </c>
      <c r="F28" s="153">
        <v>6</v>
      </c>
      <c r="G28" s="153">
        <v>6</v>
      </c>
      <c r="H28" s="154">
        <f>IF(MROUND((J25-F28-G28)/3,1)&lt;=G25,IF(MROUND((J25-F28-G28)/3,1)&gt;=E25,MROUND((J25-F28-G28)/3,1),E25),G25)</f>
        <v>4</v>
      </c>
      <c r="I28" s="154">
        <f>IF(MROUND((J25-F28-G28-H28)/2,1)&lt;=G25,IF((J25-F28-G28-H28)/2&gt;=E25,MROUND((J25-F28-G28-H28)/2,1),J25-F28-G28-H28),G25)</f>
        <v>5</v>
      </c>
      <c r="J28" s="155">
        <f>IF((J25-(F28+G28+H28+I28))&gt;0,(J25-(F28+G28+H28+I28)),0)</f>
        <v>4</v>
      </c>
      <c r="K28" s="101">
        <f>SUM(F28:J28)</f>
        <v>25</v>
      </c>
      <c r="L28" s="88" t="s">
        <v>30</v>
      </c>
      <c r="M28" s="89">
        <f>M27+M24</f>
        <v>160</v>
      </c>
      <c r="N28" s="90">
        <f>ROUNDDOWN((M24-C24+C28+K28)*$N$4,0)</f>
        <v>1</v>
      </c>
      <c r="O28" s="90">
        <f>ROUNDDOWN((M24+K28-+C28)*$O$4,0)</f>
        <v>10</v>
      </c>
    </row>
    <row r="29" spans="1:15" ht="18" customHeight="1" thickTop="1" thickBot="1" x14ac:dyDescent="0.3">
      <c r="A29" s="193">
        <f>IF($M32&lt;IF($A$3="하",$S$8,$S$6),0,IF($M32&gt;IF($A$3="하",$S$7,$S$5),"",MAX(A25+1)))</f>
        <v>0</v>
      </c>
      <c r="B29" s="141" t="str">
        <f>IF(O30-C28&lt;$A$1," ","MAX to "&amp;MROUND(IF(IF(O30-C28&gt;$A$1,$A$1,O30-C28)&lt;2,I25,I25*(37-IF(O30-C28&gt;$A$1,$A$1,O30-C28))/36),D32))</f>
        <v xml:space="preserve"> </v>
      </c>
      <c r="C29" s="90" t="str">
        <f>IF(O30&lt;=C28,"X",IF(N30&gt;C28,"must ME","can ME"))</f>
        <v>can ME</v>
      </c>
      <c r="D29" s="75" t="s">
        <v>31</v>
      </c>
      <c r="E29" s="23">
        <v>4</v>
      </c>
      <c r="F29" s="2">
        <v>1</v>
      </c>
      <c r="G29" s="23">
        <f>IF(F30&gt;=90%,2,IF(F30&gt;=80%,4,IF(F30&gt;=70%,6,6)))</f>
        <v>6</v>
      </c>
      <c r="H29" s="3" t="s">
        <v>2</v>
      </c>
      <c r="I29" s="91">
        <f>K30/(100%-IF($A$3="하",$P$8,$P$6)*K32)/K32</f>
        <v>93.703148425787091</v>
      </c>
      <c r="J29" s="92">
        <f>IF("하"=$A$3,$Q$7,$Q$5)</f>
        <v>25</v>
      </c>
      <c r="K29" s="107" t="s">
        <v>33</v>
      </c>
      <c r="L29" s="75" t="s">
        <v>25</v>
      </c>
      <c r="M29" s="76">
        <f>K30</f>
        <v>1875</v>
      </c>
      <c r="N29" s="93" t="s">
        <v>34</v>
      </c>
      <c r="O29" s="93" t="s">
        <v>35</v>
      </c>
    </row>
    <row r="30" spans="1:15" ht="18" customHeight="1" thickTop="1" thickBot="1" x14ac:dyDescent="0.3">
      <c r="A30" s="194"/>
      <c r="B30" s="143"/>
      <c r="C30" s="142" t="str">
        <f>IF(B32="","",IF(B30*36/(37-B32)=0,"",B30*36/(37-B32)))</f>
        <v/>
      </c>
      <c r="D30" s="109" t="str">
        <f>D26</f>
        <v>MP</v>
      </c>
      <c r="E30" s="18">
        <f>IF(C30="",I25,C30)</f>
        <v>86.505190311418701</v>
      </c>
      <c r="F30" s="94">
        <f>100%-J29*IF($A$3="하",$P$8,$P$6)</f>
        <v>0.72249999999999992</v>
      </c>
      <c r="G30" s="7">
        <f t="shared" ref="G30:I31" si="8">F30</f>
        <v>0.72249999999999992</v>
      </c>
      <c r="H30" s="7">
        <f t="shared" si="8"/>
        <v>0.72249999999999992</v>
      </c>
      <c r="I30" s="7">
        <f t="shared" si="8"/>
        <v>0.72249999999999992</v>
      </c>
      <c r="J30" s="8">
        <f>I30</f>
        <v>0.72249999999999992</v>
      </c>
      <c r="K30" s="95">
        <f>F31*F32+G31*G32+H31*H32+I31*I32+J31*J32</f>
        <v>1875</v>
      </c>
      <c r="L30" s="86" t="s">
        <v>27</v>
      </c>
      <c r="M30" s="81">
        <f>M29+M26</f>
        <v>11732.5</v>
      </c>
      <c r="N30" s="90">
        <f>ROUNDDOWN(M28*$N$4,0)</f>
        <v>1</v>
      </c>
      <c r="O30" s="90">
        <f>ROUNDDOWN(M28*$O$4,0)</f>
        <v>11</v>
      </c>
    </row>
    <row r="31" spans="1:15" ht="18" customHeight="1" thickTop="1" thickBot="1" x14ac:dyDescent="0.3">
      <c r="A31" s="194"/>
      <c r="B31" s="141" t="str">
        <f>IF(O30-C28&lt;$A$1," ","1~ "&amp;IF(O30-C28&gt;$A$1,$A$1,O30-C28)&amp;" rep")</f>
        <v xml:space="preserve"> </v>
      </c>
      <c r="C31" s="97" t="s">
        <v>37</v>
      </c>
      <c r="D31" s="98" t="s">
        <v>5</v>
      </c>
      <c r="E31" s="5" t="s">
        <v>3</v>
      </c>
      <c r="F31" s="18">
        <f>MROUND(F30*E30,D32)</f>
        <v>62.5</v>
      </c>
      <c r="G31" s="18">
        <f t="shared" si="8"/>
        <v>62.5</v>
      </c>
      <c r="H31" s="18">
        <f t="shared" si="8"/>
        <v>62.5</v>
      </c>
      <c r="I31" s="18">
        <f t="shared" si="8"/>
        <v>62.5</v>
      </c>
      <c r="J31" s="19">
        <f>I31</f>
        <v>62.5</v>
      </c>
      <c r="K31" s="74" t="s">
        <v>10</v>
      </c>
      <c r="L31" s="86" t="s">
        <v>28</v>
      </c>
      <c r="M31" s="87">
        <f>K32</f>
        <v>30</v>
      </c>
      <c r="N31" s="93" t="s">
        <v>34</v>
      </c>
      <c r="O31" s="93" t="s">
        <v>35</v>
      </c>
    </row>
    <row r="32" spans="1:15" ht="18" customHeight="1" thickTop="1" thickBot="1" x14ac:dyDescent="0.3">
      <c r="A32" s="195"/>
      <c r="B32" s="144"/>
      <c r="C32" s="90">
        <f>IF(B30="",C28,IF(C30&lt;=0,C28,C28+B32))</f>
        <v>7</v>
      </c>
      <c r="D32" s="100">
        <f>D28</f>
        <v>2.5</v>
      </c>
      <c r="E32" s="13" t="s">
        <v>7</v>
      </c>
      <c r="F32" s="153">
        <v>6</v>
      </c>
      <c r="G32" s="153">
        <v>6</v>
      </c>
      <c r="H32" s="153">
        <v>6</v>
      </c>
      <c r="I32" s="153">
        <v>6</v>
      </c>
      <c r="J32" s="155">
        <v>6</v>
      </c>
      <c r="K32" s="101">
        <f>SUM(F32:J32)</f>
        <v>30</v>
      </c>
      <c r="L32" s="88" t="s">
        <v>30</v>
      </c>
      <c r="M32" s="89">
        <f>M31+M28</f>
        <v>190</v>
      </c>
      <c r="N32" s="90">
        <f>ROUNDDOWN((M28-C28+C32+K32)*$N$4,0)</f>
        <v>1</v>
      </c>
      <c r="O32" s="90">
        <f>ROUNDDOWN((M28+K32-+C32)*$O$4,0)</f>
        <v>12</v>
      </c>
    </row>
    <row r="33" spans="1:15" ht="18" customHeight="1" thickTop="1" thickBot="1" x14ac:dyDescent="0.3">
      <c r="A33" s="193">
        <f>IF($M36&lt;IF($A$3="하",$S$8,$S$6),0,IF($M36&gt;IF($A$3="하",$S$7,$S$5),"",MAX(A29+1)))</f>
        <v>0</v>
      </c>
      <c r="B33" s="141" t="str">
        <f>IF(O34-C32&lt;$A$1," ","MAX to "&amp;MROUND(IF(IF(O34-C32&gt;$A$1,$A$1,O34-C32)&lt;2,I29,I29*(37-IF(O34-C32&gt;$A$1,$A$1,O34-C32))/36),D36))</f>
        <v>MAX to 82.5</v>
      </c>
      <c r="C33" s="90" t="str">
        <f>IF(O34&lt;=C32,"X",IF(N34&gt;C32,"must ME","can ME"))</f>
        <v>can ME</v>
      </c>
      <c r="D33" s="75" t="s">
        <v>31</v>
      </c>
      <c r="E33" s="23">
        <v>4</v>
      </c>
      <c r="F33" s="2">
        <v>1</v>
      </c>
      <c r="G33" s="23">
        <f>IF(F34&gt;=90%,2,IF(F34&gt;=80%,4,IF(F34&gt;=70%,6,6)))</f>
        <v>6</v>
      </c>
      <c r="H33" s="3" t="s">
        <v>2</v>
      </c>
      <c r="I33" s="91">
        <f>K34/(100%-IF($A$3="하",$P$8,$P$6)*K36)/K36</f>
        <v>83.044982698961945</v>
      </c>
      <c r="J33" s="92">
        <f>IF("하"=$A$3,$Q$7,$Q$5)</f>
        <v>25</v>
      </c>
      <c r="K33" s="107" t="s">
        <v>33</v>
      </c>
      <c r="L33" s="75" t="s">
        <v>25</v>
      </c>
      <c r="M33" s="76">
        <f>K34</f>
        <v>1500</v>
      </c>
      <c r="N33" s="93" t="s">
        <v>34</v>
      </c>
      <c r="O33" s="93" t="s">
        <v>35</v>
      </c>
    </row>
    <row r="34" spans="1:15" ht="18" customHeight="1" thickTop="1" thickBot="1" x14ac:dyDescent="0.3">
      <c r="A34" s="194"/>
      <c r="B34" s="143">
        <v>82.5</v>
      </c>
      <c r="C34" s="142">
        <f>IF(B36="","",IF(B34*36/(37-B36)=0,"",B34*36/(37-B36)))</f>
        <v>82.5</v>
      </c>
      <c r="D34" s="109" t="str">
        <f>D30</f>
        <v>MP</v>
      </c>
      <c r="E34" s="18">
        <f>IF(C34="",I29,C34)</f>
        <v>82.5</v>
      </c>
      <c r="F34" s="94">
        <f>100%-J33*IF($A$3="하",$P$8,$P$6)</f>
        <v>0.72249999999999992</v>
      </c>
      <c r="G34" s="7">
        <f t="shared" ref="G34:I35" si="9">F34</f>
        <v>0.72249999999999992</v>
      </c>
      <c r="H34" s="7">
        <f t="shared" si="9"/>
        <v>0.72249999999999992</v>
      </c>
      <c r="I34" s="7">
        <f t="shared" si="9"/>
        <v>0.72249999999999992</v>
      </c>
      <c r="J34" s="8">
        <f>I34</f>
        <v>0.72249999999999992</v>
      </c>
      <c r="K34" s="95">
        <f>F35*F36+G35*G36+H35*H36+I35*I36+J35*J36</f>
        <v>1500</v>
      </c>
      <c r="L34" s="86" t="s">
        <v>27</v>
      </c>
      <c r="M34" s="81">
        <f>M33+M30</f>
        <v>13232.5</v>
      </c>
      <c r="N34" s="90">
        <f>ROUNDDOWN(M32*$N$4,0)</f>
        <v>1</v>
      </c>
      <c r="O34" s="90">
        <f>ROUNDDOWN(M32*$O$4,0)</f>
        <v>13</v>
      </c>
    </row>
    <row r="35" spans="1:15" ht="18" customHeight="1" thickTop="1" thickBot="1" x14ac:dyDescent="0.3">
      <c r="A35" s="194"/>
      <c r="B35" s="141" t="str">
        <f>IF(O34-C32&lt;$A$1," ","1~ "&amp;IF(O34-C32&gt;$A$1,$A$1,O34-C32)&amp;" rep")</f>
        <v>1~ 5 rep</v>
      </c>
      <c r="C35" s="97" t="s">
        <v>37</v>
      </c>
      <c r="D35" s="98" t="s">
        <v>5</v>
      </c>
      <c r="E35" s="5" t="s">
        <v>3</v>
      </c>
      <c r="F35" s="18">
        <f>MROUND(F34*E34,D36)</f>
        <v>60</v>
      </c>
      <c r="G35" s="18">
        <f t="shared" si="9"/>
        <v>60</v>
      </c>
      <c r="H35" s="18">
        <f t="shared" si="9"/>
        <v>60</v>
      </c>
      <c r="I35" s="18">
        <f t="shared" si="9"/>
        <v>60</v>
      </c>
      <c r="J35" s="19">
        <f>I35</f>
        <v>60</v>
      </c>
      <c r="K35" s="74" t="s">
        <v>10</v>
      </c>
      <c r="L35" s="86" t="s">
        <v>28</v>
      </c>
      <c r="M35" s="87">
        <f>K36</f>
        <v>25</v>
      </c>
      <c r="N35" s="93" t="s">
        <v>34</v>
      </c>
      <c r="O35" s="93" t="s">
        <v>35</v>
      </c>
    </row>
    <row r="36" spans="1:15" ht="18" customHeight="1" thickTop="1" thickBot="1" x14ac:dyDescent="0.3">
      <c r="A36" s="195"/>
      <c r="B36" s="144">
        <v>1</v>
      </c>
      <c r="C36" s="90">
        <f>IF(B34="",C32,IF(C34&lt;=0,C32,C32+B36))</f>
        <v>8</v>
      </c>
      <c r="D36" s="100">
        <f>D32</f>
        <v>2.5</v>
      </c>
      <c r="E36" s="13" t="s">
        <v>7</v>
      </c>
      <c r="F36" s="153">
        <f xml:space="preserve"> IF($A$3="하",0,IF(MROUND(J33/5,1)&lt;=G33,IF(MROUND(J33/5,1)&gt;=E33,MROUND(J33/5,1),E33),G33))</f>
        <v>5</v>
      </c>
      <c r="G36" s="154">
        <v>4</v>
      </c>
      <c r="H36" s="154">
        <f>IF(MROUND((J33-F36-G36)/3,1)&lt;=G33,IF(MROUND((J33-F36-G36)/3,1)&gt;=E33,MROUND((J33-F36-G36)/3,1),E33),G33)</f>
        <v>5</v>
      </c>
      <c r="I36" s="154">
        <v>5</v>
      </c>
      <c r="J36" s="155">
        <f>IF((J33-(F36+G36+H36+I36))&gt;0,(J33-(F36+G36+H36+I36)),0)</f>
        <v>6</v>
      </c>
      <c r="K36" s="101">
        <f>SUM(F36:J36)</f>
        <v>25</v>
      </c>
      <c r="L36" s="88" t="s">
        <v>30</v>
      </c>
      <c r="M36" s="89">
        <f>M35+M32</f>
        <v>215</v>
      </c>
      <c r="N36" s="90">
        <f>ROUNDDOWN((M32-C32+C36+K36)*$N$4,0)</f>
        <v>2</v>
      </c>
      <c r="O36" s="90">
        <f>ROUNDDOWN((M32+K36-+C36)*$O$4,0)</f>
        <v>14</v>
      </c>
    </row>
    <row r="37" spans="1:15" ht="18" customHeight="1" thickTop="1" thickBot="1" x14ac:dyDescent="0.3">
      <c r="A37" s="193">
        <f t="shared" ref="A37" si="10">IF($M40&lt;IF($A$3="하",$S$8,$S$6),0,IF($M40&gt;IF($A$3="하",$S$7,$S$5),"",MAX(A33+1)))</f>
        <v>0</v>
      </c>
      <c r="B37" s="141" t="str">
        <f>IF(O38-C36&lt;$A$1," ","MAX to "&amp;MROUND(IF(IF(O38-C36&gt;$A$1,$A$1,O38-C36)&lt;2,I33,I33*(37-IF(O38-C36&gt;$A$1,$A$1,O38-C36))/36),D40))</f>
        <v>MAX to 75</v>
      </c>
      <c r="C37" s="90" t="str">
        <f>IF(O38&lt;=C36,"X",IF(N38&gt;C36,"must ME","can ME"))</f>
        <v>can ME</v>
      </c>
      <c r="D37" s="75" t="s">
        <v>31</v>
      </c>
      <c r="E37" s="23">
        <v>4</v>
      </c>
      <c r="F37" s="2">
        <v>1</v>
      </c>
      <c r="G37" s="23">
        <f>IF(F38&gt;=90%,2,IF(F38&gt;=80%,4,IF(F38&gt;=70%,6,6)))</f>
        <v>6</v>
      </c>
      <c r="H37" s="3" t="s">
        <v>2</v>
      </c>
      <c r="I37" s="91">
        <f>K38/(100%-IF($A$3="하",$P$8,$P$6)*K40)/K40</f>
        <v>89.955022488755631</v>
      </c>
      <c r="J37" s="92">
        <f>IF("하"=$A$3,$Q$7,$Q$5)</f>
        <v>25</v>
      </c>
      <c r="K37" s="107" t="s">
        <v>33</v>
      </c>
      <c r="L37" s="75" t="s">
        <v>25</v>
      </c>
      <c r="M37" s="76">
        <f>K38</f>
        <v>1800</v>
      </c>
      <c r="N37" s="93" t="s">
        <v>34</v>
      </c>
      <c r="O37" s="93" t="s">
        <v>35</v>
      </c>
    </row>
    <row r="38" spans="1:15" ht="18" customHeight="1" thickTop="1" thickBot="1" x14ac:dyDescent="0.3">
      <c r="A38" s="194"/>
      <c r="B38" s="143">
        <v>75</v>
      </c>
      <c r="C38" s="142">
        <f>IF(B40="","",IF(B38*36/(37-B40)=0,"",B38*36/(37-B40)))</f>
        <v>84.375</v>
      </c>
      <c r="D38" s="109" t="str">
        <f>D34</f>
        <v>MP</v>
      </c>
      <c r="E38" s="18">
        <f>IF(C38="",I33,C38)</f>
        <v>84.375</v>
      </c>
      <c r="F38" s="94">
        <f>100%-J37*IF($A$3="하",$P$8,$P$6)</f>
        <v>0.72249999999999992</v>
      </c>
      <c r="G38" s="7">
        <f t="shared" ref="G38:I39" si="11">F38</f>
        <v>0.72249999999999992</v>
      </c>
      <c r="H38" s="7">
        <f t="shared" si="11"/>
        <v>0.72249999999999992</v>
      </c>
      <c r="I38" s="7">
        <f t="shared" si="11"/>
        <v>0.72249999999999992</v>
      </c>
      <c r="J38" s="8">
        <f>I38</f>
        <v>0.72249999999999992</v>
      </c>
      <c r="K38" s="95">
        <f>F39*F40+G39*G40+H39*H40+I39*I40+J39*J40</f>
        <v>1800</v>
      </c>
      <c r="L38" s="86" t="s">
        <v>27</v>
      </c>
      <c r="M38" s="81">
        <f>M37+M34</f>
        <v>15032.5</v>
      </c>
      <c r="N38" s="90">
        <f>ROUNDDOWN(M36*$N$4,0)</f>
        <v>2</v>
      </c>
      <c r="O38" s="90">
        <f>ROUNDDOWN(M36*$O$4,0)</f>
        <v>15</v>
      </c>
    </row>
    <row r="39" spans="1:15" ht="18" customHeight="1" thickTop="1" thickBot="1" x14ac:dyDescent="0.3">
      <c r="A39" s="194"/>
      <c r="B39" s="141" t="str">
        <f>IF(O38-C36&lt;$A$1," ","1~ "&amp;IF(O38-C36&gt;$A$1,$A$1,O38-C36)&amp;" rep")</f>
        <v>1~ 5 rep</v>
      </c>
      <c r="C39" s="97" t="s">
        <v>37</v>
      </c>
      <c r="D39" s="98" t="s">
        <v>5</v>
      </c>
      <c r="E39" s="5" t="s">
        <v>3</v>
      </c>
      <c r="F39" s="18">
        <f>MROUND(F38*E38,D40)</f>
        <v>60</v>
      </c>
      <c r="G39" s="18">
        <f t="shared" si="11"/>
        <v>60</v>
      </c>
      <c r="H39" s="18">
        <f t="shared" si="11"/>
        <v>60</v>
      </c>
      <c r="I39" s="18">
        <f t="shared" si="11"/>
        <v>60</v>
      </c>
      <c r="J39" s="19">
        <f>I39</f>
        <v>60</v>
      </c>
      <c r="K39" s="74" t="s">
        <v>10</v>
      </c>
      <c r="L39" s="86" t="s">
        <v>28</v>
      </c>
      <c r="M39" s="87">
        <f>K40</f>
        <v>30</v>
      </c>
      <c r="N39" s="93" t="s">
        <v>34</v>
      </c>
      <c r="O39" s="93" t="s">
        <v>35</v>
      </c>
    </row>
    <row r="40" spans="1:15" ht="18" customHeight="1" thickTop="1" thickBot="1" x14ac:dyDescent="0.3">
      <c r="A40" s="195"/>
      <c r="B40" s="144">
        <v>5</v>
      </c>
      <c r="C40" s="90">
        <f>IF(B38="",C36,IF(C38&lt;=0,C36,C36+B40))</f>
        <v>13</v>
      </c>
      <c r="D40" s="100">
        <f>D36</f>
        <v>2.5</v>
      </c>
      <c r="E40" s="13" t="s">
        <v>7</v>
      </c>
      <c r="F40" s="153">
        <v>6</v>
      </c>
      <c r="G40" s="153">
        <v>6</v>
      </c>
      <c r="H40" s="153">
        <v>6</v>
      </c>
      <c r="I40" s="153">
        <v>6</v>
      </c>
      <c r="J40" s="155">
        <v>6</v>
      </c>
      <c r="K40" s="101">
        <f>SUM(F40:J40)</f>
        <v>30</v>
      </c>
      <c r="L40" s="88" t="s">
        <v>30</v>
      </c>
      <c r="M40" s="89">
        <f>M39+M36</f>
        <v>245</v>
      </c>
      <c r="N40" s="90">
        <f>ROUNDDOWN((M36-C36+C40+K40)*$N$4,0)</f>
        <v>2</v>
      </c>
      <c r="O40" s="90">
        <f>ROUNDDOWN((M36+K40-+C40)*$O$4,0)</f>
        <v>16</v>
      </c>
    </row>
    <row r="41" spans="1:15" ht="18" customHeight="1" thickTop="1" thickBot="1" x14ac:dyDescent="0.3">
      <c r="A41" s="193">
        <f t="shared" ref="A41" si="12">IF($M44&lt;IF($A$3="하",$S$8,$S$6),0,IF($M44&gt;IF($A$3="하",$S$7,$S$5),"",MAX(A37+1)))</f>
        <v>0</v>
      </c>
      <c r="B41" s="141" t="str">
        <f>IF(O42-C40&lt;$A$1," ","MAX to "&amp;MROUND(IF(IF(O42-C40&gt;$A$1,$A$1,O42-C40)&lt;2,I37,I37*(37-IF(O42-C40&gt;$A$1,$A$1,O42-C40))/36),D44))</f>
        <v xml:space="preserve"> </v>
      </c>
      <c r="C41" s="90" t="str">
        <f>IF(O42&lt;=C40,"X",IF(N42&gt;C40,"must ME","can ME"))</f>
        <v>can ME</v>
      </c>
      <c r="D41" s="75" t="s">
        <v>31</v>
      </c>
      <c r="E41" s="23">
        <v>4</v>
      </c>
      <c r="F41" s="2">
        <v>1</v>
      </c>
      <c r="G41" s="23">
        <f>IF(F42&gt;=90%,2,IF(F42&gt;=80%,4,IF(F42&gt;=70%,6,6)))</f>
        <v>6</v>
      </c>
      <c r="H41" s="3" t="s">
        <v>2</v>
      </c>
      <c r="I41" s="91">
        <f>K42/(100%-IF($A$3="하",$P$8,$P$6)*K44)/K44</f>
        <v>84.756943269848776</v>
      </c>
      <c r="J41" s="92">
        <f>IF("하"=$A$3,$Q$7,$Q$5)</f>
        <v>25</v>
      </c>
      <c r="K41" s="107" t="s">
        <v>33</v>
      </c>
      <c r="L41" s="75" t="s">
        <v>25</v>
      </c>
      <c r="M41" s="76">
        <f>K42</f>
        <v>1002.1999999999999</v>
      </c>
      <c r="N41" s="93" t="s">
        <v>34</v>
      </c>
      <c r="O41" s="93" t="s">
        <v>35</v>
      </c>
    </row>
    <row r="42" spans="1:15" ht="18" customHeight="1" thickTop="1" thickBot="1" x14ac:dyDescent="0.3">
      <c r="A42" s="194"/>
      <c r="B42" s="143"/>
      <c r="C42" s="142" t="str">
        <f>IF(B44="","",IF(B42*36/(37-B44)=0,"",B42*36/(37-B44)))</f>
        <v/>
      </c>
      <c r="D42" s="109" t="str">
        <f>D38</f>
        <v>MP</v>
      </c>
      <c r="E42" s="18">
        <f>IF(C42="",I37,C42)</f>
        <v>89.955022488755631</v>
      </c>
      <c r="F42" s="94">
        <f>100%-J41*IF($A$3="하",$P$8,$P$6)</f>
        <v>0.72249999999999992</v>
      </c>
      <c r="G42" s="7">
        <f t="shared" ref="G42:I43" si="13">F42</f>
        <v>0.72249999999999992</v>
      </c>
      <c r="H42" s="7">
        <f t="shared" si="13"/>
        <v>0.72249999999999992</v>
      </c>
      <c r="I42" s="7">
        <f t="shared" si="13"/>
        <v>0.72249999999999992</v>
      </c>
      <c r="J42" s="8">
        <f>I42</f>
        <v>0.72249999999999992</v>
      </c>
      <c r="K42" s="95">
        <f>F43*F44+G43*G44+H43*H44+I43*I44+J43*J44</f>
        <v>1002.1999999999999</v>
      </c>
      <c r="L42" s="86" t="s">
        <v>27</v>
      </c>
      <c r="M42" s="81">
        <f>M41+M38</f>
        <v>16034.7</v>
      </c>
      <c r="N42" s="90">
        <f>ROUNDDOWN(M40*$N$4,0)</f>
        <v>2</v>
      </c>
      <c r="O42" s="90">
        <f>ROUNDDOWN(M40*$O$4,0)</f>
        <v>17</v>
      </c>
    </row>
    <row r="43" spans="1:15" ht="18" customHeight="1" thickTop="1" thickBot="1" x14ac:dyDescent="0.3">
      <c r="A43" s="194"/>
      <c r="B43" s="141" t="str">
        <f>IF(O42-C40&lt;$A$1," ","1~ "&amp;IF(O42-C40&gt;$A$1,$A$1,O42-C40)&amp;" rep")</f>
        <v xml:space="preserve"> </v>
      </c>
      <c r="C43" s="97" t="s">
        <v>37</v>
      </c>
      <c r="D43" s="98" t="s">
        <v>5</v>
      </c>
      <c r="E43" s="5" t="s">
        <v>3</v>
      </c>
      <c r="F43" s="18">
        <v>65.8</v>
      </c>
      <c r="G43" s="18">
        <v>74.8</v>
      </c>
      <c r="H43" s="18">
        <f t="shared" si="13"/>
        <v>74.8</v>
      </c>
      <c r="I43" s="18">
        <f t="shared" si="13"/>
        <v>74.8</v>
      </c>
      <c r="J43" s="19">
        <f>I43</f>
        <v>74.8</v>
      </c>
      <c r="K43" s="74" t="s">
        <v>10</v>
      </c>
      <c r="L43" s="86" t="s">
        <v>28</v>
      </c>
      <c r="M43" s="87">
        <f>K44</f>
        <v>14</v>
      </c>
      <c r="N43" s="93" t="s">
        <v>34</v>
      </c>
      <c r="O43" s="93" t="s">
        <v>35</v>
      </c>
    </row>
    <row r="44" spans="1:15" ht="18" customHeight="1" thickTop="1" thickBot="1" x14ac:dyDescent="0.3">
      <c r="A44" s="195"/>
      <c r="B44" s="144"/>
      <c r="C44" s="90">
        <f>IF(B42="",C40,IF(C42&lt;=0,C40,C40+B44))</f>
        <v>13</v>
      </c>
      <c r="D44" s="100">
        <f>D40</f>
        <v>2.5</v>
      </c>
      <c r="E44" s="13" t="s">
        <v>7</v>
      </c>
      <c r="F44" s="153">
        <f xml:space="preserve"> IF($A$3="하",0,IF(MROUND(J41/5,1)&lt;=G41,IF(MROUND(J41/5,1)&gt;=E41,MROUND(J41/5,1),E41),G41))</f>
        <v>5</v>
      </c>
      <c r="G44" s="154">
        <v>3</v>
      </c>
      <c r="H44" s="154">
        <v>3</v>
      </c>
      <c r="I44" s="154">
        <v>3</v>
      </c>
      <c r="J44" s="155"/>
      <c r="K44" s="101">
        <f>SUM(F44:J44)</f>
        <v>14</v>
      </c>
      <c r="L44" s="88" t="s">
        <v>30</v>
      </c>
      <c r="M44" s="89">
        <f>M43+M40</f>
        <v>259</v>
      </c>
      <c r="N44" s="90">
        <f>ROUNDDOWN((M40-C40+C44+K44)*$N$4,0)</f>
        <v>2</v>
      </c>
      <c r="O44" s="90">
        <f>ROUNDDOWN((M40+K44-+C44)*$O$4,0)</f>
        <v>17</v>
      </c>
    </row>
    <row r="45" spans="1:15" ht="18" customHeight="1" thickTop="1" thickBot="1" x14ac:dyDescent="0.3">
      <c r="A45" s="193">
        <f t="shared" ref="A45" si="14">IF($M48&lt;IF($A$3="하",$S$8,$S$6),0,IF($M48&gt;IF($A$3="하",$S$7,$S$5),"",MAX(A41+1)))</f>
        <v>0</v>
      </c>
      <c r="B45" s="141" t="str">
        <f>IF(O46-C44&lt;$A$1," ","MAX to "&amp;MROUND(IF(IF(O46-C44&gt;$A$1,$A$1,O46-C44)&lt;2,I41,I41*(37-IF(O46-C44&gt;$A$1,$A$1,O46-C44))/36),D48))</f>
        <v>MAX to 75</v>
      </c>
      <c r="C45" s="90" t="str">
        <f>IF(O46&lt;=C44,"X",IF(N46&gt;C44,"must ME","can ME"))</f>
        <v>can ME</v>
      </c>
      <c r="D45" s="75" t="s">
        <v>31</v>
      </c>
      <c r="E45" s="23">
        <v>4</v>
      </c>
      <c r="F45" s="2">
        <v>1</v>
      </c>
      <c r="G45" s="23">
        <f>IF(F46&gt;=90%,2,IF(F46&gt;=80%,4,IF(F46&gt;=70%,6,6)))</f>
        <v>6</v>
      </c>
      <c r="H45" s="3" t="s">
        <v>2</v>
      </c>
      <c r="I45" s="91">
        <f>K46/(100%-IF($A$3="하",$P$8,$P$6)*K48)/K48</f>
        <v>85.677566757104103</v>
      </c>
      <c r="J45" s="92">
        <f>IF("하"=$A$3,$Q$7,$Q$5)</f>
        <v>25</v>
      </c>
      <c r="K45" s="107" t="s">
        <v>33</v>
      </c>
      <c r="L45" s="75" t="s">
        <v>25</v>
      </c>
      <c r="M45" s="76">
        <f>K46</f>
        <v>1620</v>
      </c>
      <c r="N45" s="93" t="s">
        <v>34</v>
      </c>
      <c r="O45" s="93" t="s">
        <v>35</v>
      </c>
    </row>
    <row r="46" spans="1:15" ht="18" customHeight="1" thickTop="1" thickBot="1" x14ac:dyDescent="0.3">
      <c r="A46" s="194"/>
      <c r="B46" s="143">
        <v>80</v>
      </c>
      <c r="C46" s="142">
        <f>IF(B48="","",IF(B46*36/(37-B48)=0,"",B46*36/(37-B48)))</f>
        <v>80</v>
      </c>
      <c r="D46" s="109" t="str">
        <f>D42</f>
        <v>MP</v>
      </c>
      <c r="E46" s="18">
        <f>IF(C46="",I41,C46)</f>
        <v>80</v>
      </c>
      <c r="F46" s="94">
        <f>100%-J45*IF($A$3="하",$P$8,$P$6)</f>
        <v>0.72249999999999992</v>
      </c>
      <c r="G46" s="7">
        <f t="shared" ref="G46:I47" si="15">F46</f>
        <v>0.72249999999999992</v>
      </c>
      <c r="H46" s="7">
        <f t="shared" si="15"/>
        <v>0.72249999999999992</v>
      </c>
      <c r="I46" s="7">
        <f t="shared" si="15"/>
        <v>0.72249999999999992</v>
      </c>
      <c r="J46" s="8">
        <f>I46</f>
        <v>0.72249999999999992</v>
      </c>
      <c r="K46" s="95">
        <f>F47*F48+G47*G48+H47*H48+I47*I48+J47*J48</f>
        <v>1620</v>
      </c>
      <c r="L46" s="86" t="s">
        <v>27</v>
      </c>
      <c r="M46" s="81">
        <f>M45+M42</f>
        <v>17654.7</v>
      </c>
      <c r="N46" s="90">
        <f>ROUNDDOWN(M44*$N$4,0)</f>
        <v>2</v>
      </c>
      <c r="O46" s="90">
        <f>ROUNDDOWN(M44*$O$4,0)</f>
        <v>18</v>
      </c>
    </row>
    <row r="47" spans="1:15" ht="18" customHeight="1" thickTop="1" thickBot="1" x14ac:dyDescent="0.3">
      <c r="A47" s="194"/>
      <c r="B47" s="141" t="str">
        <f>IF(O46-C44&lt;$A$1," ","1~ "&amp;IF(O46-C44&gt;$A$1,$A$1,O46-C44)&amp;" rep")</f>
        <v>1~ 5 rep</v>
      </c>
      <c r="C47" s="97" t="s">
        <v>37</v>
      </c>
      <c r="D47" s="98" t="s">
        <v>5</v>
      </c>
      <c r="E47" s="5" t="s">
        <v>3</v>
      </c>
      <c r="F47" s="18">
        <v>60</v>
      </c>
      <c r="G47" s="18">
        <f t="shared" si="15"/>
        <v>60</v>
      </c>
      <c r="H47" s="18">
        <f t="shared" si="15"/>
        <v>60</v>
      </c>
      <c r="I47" s="18">
        <f t="shared" si="15"/>
        <v>60</v>
      </c>
      <c r="J47" s="19">
        <f>I47</f>
        <v>60</v>
      </c>
      <c r="K47" s="74" t="s">
        <v>10</v>
      </c>
      <c r="L47" s="86" t="s">
        <v>28</v>
      </c>
      <c r="M47" s="87">
        <f>K48</f>
        <v>27</v>
      </c>
      <c r="N47" s="93" t="s">
        <v>34</v>
      </c>
      <c r="O47" s="93" t="s">
        <v>35</v>
      </c>
    </row>
    <row r="48" spans="1:15" ht="18" customHeight="1" thickTop="1" thickBot="1" x14ac:dyDescent="0.3">
      <c r="A48" s="195"/>
      <c r="B48" s="144">
        <v>1</v>
      </c>
      <c r="C48" s="90">
        <f>IF(B46="",C44,IF(C46&lt;=0,C44,C44+B48))</f>
        <v>14</v>
      </c>
      <c r="D48" s="100">
        <f>D44</f>
        <v>2.5</v>
      </c>
      <c r="E48" s="13" t="s">
        <v>7</v>
      </c>
      <c r="F48" s="153">
        <v>6</v>
      </c>
      <c r="G48" s="153">
        <v>6</v>
      </c>
      <c r="H48" s="153">
        <v>6</v>
      </c>
      <c r="I48" s="154">
        <v>5</v>
      </c>
      <c r="J48" s="155">
        <v>4</v>
      </c>
      <c r="K48" s="101">
        <f>SUM(F48:J48)</f>
        <v>27</v>
      </c>
      <c r="L48" s="88" t="s">
        <v>30</v>
      </c>
      <c r="M48" s="89">
        <f>M47+M44</f>
        <v>286</v>
      </c>
      <c r="N48" s="90">
        <f>ROUNDDOWN((M44-C44+C48+K48)*$N$4,0)</f>
        <v>2</v>
      </c>
      <c r="O48" s="90">
        <f>ROUNDDOWN((M44+K48-+C48)*$O$4,0)</f>
        <v>19</v>
      </c>
    </row>
    <row r="49" spans="1:15" ht="18" customHeight="1" thickTop="1" thickBot="1" x14ac:dyDescent="0.3">
      <c r="A49" s="193">
        <f>IF($M52&lt;IF($A$3="하",$S$8,$S$6),0,IF($M52&gt;IF($A$3="하",$S$7,$S$5),"",MAX(A45+1)))</f>
        <v>0</v>
      </c>
      <c r="B49" s="141" t="str">
        <f>IF(O50-C48&lt;$A$1," ","MAX to "&amp;MROUND(IF(IF(O50-C48&gt;$A$1,$A$1,O50-C48)&lt;2,I45,I45*(37-IF(O50-C48&gt;$A$1,$A$1,O50-C48))/36),D52))</f>
        <v>MAX to 75</v>
      </c>
      <c r="C49" s="90" t="str">
        <f>IF(O50&lt;=C48,"X",IF(N50&gt;C48,"must ME","can ME"))</f>
        <v>can ME</v>
      </c>
      <c r="D49" s="75" t="s">
        <v>31</v>
      </c>
      <c r="E49" s="23">
        <v>4</v>
      </c>
      <c r="F49" s="2">
        <v>1</v>
      </c>
      <c r="G49" s="23">
        <f>IF(F50&gt;=90%,2,IF(F50&gt;=80%,4,IF(F50&gt;=70%,6,6)))</f>
        <v>6</v>
      </c>
      <c r="H49" s="3" t="s">
        <v>2</v>
      </c>
      <c r="I49" s="91">
        <f>K50/(100%-IF($A$3="하",$P$8,$P$6)*K52)/K52</f>
        <v>88.482524701371489</v>
      </c>
      <c r="J49" s="92">
        <f>IF("하"=$A$3,$Q$7,$Q$5)</f>
        <v>25</v>
      </c>
      <c r="K49" s="107" t="s">
        <v>33</v>
      </c>
      <c r="L49" s="75" t="s">
        <v>25</v>
      </c>
      <c r="M49" s="76">
        <f>K50</f>
        <v>1740</v>
      </c>
      <c r="N49" s="93" t="s">
        <v>34</v>
      </c>
      <c r="O49" s="93" t="s">
        <v>35</v>
      </c>
    </row>
    <row r="50" spans="1:15" ht="18" customHeight="1" thickTop="1" thickBot="1" x14ac:dyDescent="0.3">
      <c r="A50" s="194"/>
      <c r="B50" s="143">
        <v>75</v>
      </c>
      <c r="C50" s="142">
        <f>IF(B52="","",IF(B50*36/(37-B52)=0,"",B50*36/(37-B52)))</f>
        <v>84.375</v>
      </c>
      <c r="D50" s="109" t="str">
        <f>D46</f>
        <v>MP</v>
      </c>
      <c r="E50" s="18">
        <f>IF(C50="",I45,C50)</f>
        <v>84.375</v>
      </c>
      <c r="F50" s="94">
        <f>100%-J49*IF($A$3="하",$P$8,$P$6)</f>
        <v>0.72249999999999992</v>
      </c>
      <c r="G50" s="7">
        <f t="shared" ref="G50:I51" si="16">F50</f>
        <v>0.72249999999999992</v>
      </c>
      <c r="H50" s="7">
        <f t="shared" si="16"/>
        <v>0.72249999999999992</v>
      </c>
      <c r="I50" s="7">
        <f t="shared" si="16"/>
        <v>0.72249999999999992</v>
      </c>
      <c r="J50" s="8">
        <f>I50</f>
        <v>0.72249999999999992</v>
      </c>
      <c r="K50" s="95">
        <f>F51*F52+G51*G52+H51*H52+I51*I52+J51*J52</f>
        <v>1740</v>
      </c>
      <c r="L50" s="86" t="s">
        <v>27</v>
      </c>
      <c r="M50" s="81">
        <f>M49+M46</f>
        <v>19394.7</v>
      </c>
      <c r="N50" s="90">
        <f>ROUNDDOWN(M48*$N$4,0)</f>
        <v>2</v>
      </c>
      <c r="O50" s="90">
        <f>ROUNDDOWN(M48*$O$4,0)</f>
        <v>20</v>
      </c>
    </row>
    <row r="51" spans="1:15" ht="18" customHeight="1" thickTop="1" thickBot="1" x14ac:dyDescent="0.3">
      <c r="A51" s="194"/>
      <c r="B51" s="141" t="str">
        <f>IF(O50-C48&lt;$A$1," ","1~ "&amp;IF(O50-C48&gt;$A$1,$A$1,O50-C48)&amp;" rep")</f>
        <v>1~ 5 rep</v>
      </c>
      <c r="C51" s="97" t="s">
        <v>37</v>
      </c>
      <c r="D51" s="98" t="s">
        <v>5</v>
      </c>
      <c r="E51" s="5" t="s">
        <v>3</v>
      </c>
      <c r="F51" s="18">
        <f>MROUND(F50*E50,D52)</f>
        <v>60</v>
      </c>
      <c r="G51" s="18">
        <f t="shared" si="16"/>
        <v>60</v>
      </c>
      <c r="H51" s="18">
        <f t="shared" si="16"/>
        <v>60</v>
      </c>
      <c r="I51" s="18">
        <f t="shared" si="16"/>
        <v>60</v>
      </c>
      <c r="J51" s="19">
        <f>I51</f>
        <v>60</v>
      </c>
      <c r="K51" s="74" t="s">
        <v>10</v>
      </c>
      <c r="L51" s="86" t="s">
        <v>28</v>
      </c>
      <c r="M51" s="87">
        <f>K52</f>
        <v>29</v>
      </c>
      <c r="N51" s="93" t="s">
        <v>34</v>
      </c>
      <c r="O51" s="93" t="s">
        <v>35</v>
      </c>
    </row>
    <row r="52" spans="1:15" ht="18" customHeight="1" thickTop="1" thickBot="1" x14ac:dyDescent="0.3">
      <c r="A52" s="195"/>
      <c r="B52" s="144">
        <v>5</v>
      </c>
      <c r="C52" s="90">
        <f>IF(B50="",C48,IF(C50&lt;=0,C48,C48+B52))</f>
        <v>19</v>
      </c>
      <c r="D52" s="100">
        <f>D48</f>
        <v>2.5</v>
      </c>
      <c r="E52" s="13" t="s">
        <v>7</v>
      </c>
      <c r="F52" s="153">
        <v>6</v>
      </c>
      <c r="G52" s="153">
        <v>6</v>
      </c>
      <c r="H52" s="153">
        <v>6</v>
      </c>
      <c r="I52" s="153">
        <v>6</v>
      </c>
      <c r="J52" s="155">
        <v>5</v>
      </c>
      <c r="K52" s="101">
        <f>SUM(F52:J52)</f>
        <v>29</v>
      </c>
      <c r="L52" s="88" t="s">
        <v>30</v>
      </c>
      <c r="M52" s="89">
        <f>M51+M48</f>
        <v>315</v>
      </c>
      <c r="N52" s="90">
        <f>ROUNDDOWN((M48-C48+C52+K52)*$N$4,0)</f>
        <v>3</v>
      </c>
      <c r="O52" s="90">
        <f>ROUNDDOWN((M48+K52-+C52)*$O$4,0)</f>
        <v>20</v>
      </c>
    </row>
    <row r="53" spans="1:15" ht="18" customHeight="1" thickTop="1" thickBot="1" x14ac:dyDescent="0.3">
      <c r="A53" s="193">
        <f t="shared" ref="A53" si="17">IF($M56&lt;IF($A$3="하",$S$8,$S$6),0,IF($M56&gt;IF($A$3="하",$S$7,$S$5),"",MAX(A49+1)))</f>
        <v>0</v>
      </c>
      <c r="B53" s="141" t="str">
        <f>IF(O54-C52&lt;$A$1," ","MAX to "&amp;MROUND(IF(IF(O54-C52&gt;$A$1,$A$1,O54-C52)&lt;2,I49,I49*(37-IF(O54-C52&gt;$A$1,$A$1,O54-C52))/36),D56))</f>
        <v xml:space="preserve"> </v>
      </c>
      <c r="C53" s="90" t="str">
        <f>IF(O54&lt;=C52,"X",IF(N54&gt;C52,"must ME","can ME"))</f>
        <v>can ME</v>
      </c>
      <c r="D53" s="75" t="s">
        <v>31</v>
      </c>
      <c r="E53" s="23">
        <v>4</v>
      </c>
      <c r="F53" s="2">
        <v>1</v>
      </c>
      <c r="G53" s="23">
        <f>IF(F54&gt;=90%,2,IF(F54&gt;=80%,4,IF(F54&gt;=70%,6,6)))</f>
        <v>6</v>
      </c>
      <c r="H53" s="3" t="s">
        <v>2</v>
      </c>
      <c r="I53" s="91">
        <f>K54/(100%-IF($A$3="하",$P$8,$P$6)*K56)/K56</f>
        <v>92.817363986862787</v>
      </c>
      <c r="J53" s="92">
        <f>IF("하"=$A$3,$Q$7,$Q$5)</f>
        <v>25</v>
      </c>
      <c r="K53" s="107" t="s">
        <v>33</v>
      </c>
      <c r="L53" s="75" t="s">
        <v>25</v>
      </c>
      <c r="M53" s="76">
        <f>K54</f>
        <v>1755</v>
      </c>
      <c r="N53" s="93" t="s">
        <v>34</v>
      </c>
      <c r="O53" s="93" t="s">
        <v>35</v>
      </c>
    </row>
    <row r="54" spans="1:15" ht="18" customHeight="1" thickTop="1" thickBot="1" x14ac:dyDescent="0.3">
      <c r="A54" s="194"/>
      <c r="B54" s="143"/>
      <c r="C54" s="142" t="str">
        <f>IF(B56="","",IF(B54*36/(37-B56)=0,"",B54*36/(37-B56)))</f>
        <v/>
      </c>
      <c r="D54" s="109" t="str">
        <f>D50</f>
        <v>MP</v>
      </c>
      <c r="E54" s="18">
        <f>IF(C54="",I49,C54)</f>
        <v>88.482524701371489</v>
      </c>
      <c r="F54" s="94">
        <f>100%-J53*IF($A$3="하",$P$8,$P$6)</f>
        <v>0.72249999999999992</v>
      </c>
      <c r="G54" s="7">
        <f t="shared" ref="G54:I55" si="18">F54</f>
        <v>0.72249999999999992</v>
      </c>
      <c r="H54" s="7">
        <f t="shared" si="18"/>
        <v>0.72249999999999992</v>
      </c>
      <c r="I54" s="7">
        <f t="shared" si="18"/>
        <v>0.72249999999999992</v>
      </c>
      <c r="J54" s="8">
        <f>I54</f>
        <v>0.72249999999999992</v>
      </c>
      <c r="K54" s="95">
        <f>F55*F56+G55*G56+H55*H56+I55*I56+J55*J56</f>
        <v>1755</v>
      </c>
      <c r="L54" s="86" t="s">
        <v>27</v>
      </c>
      <c r="M54" s="81">
        <f>M53+M50</f>
        <v>21149.7</v>
      </c>
      <c r="N54" s="90">
        <f>ROUNDDOWN(M52*$N$4,0)</f>
        <v>3</v>
      </c>
      <c r="O54" s="90">
        <f>ROUNDDOWN(M52*$O$4,0)</f>
        <v>22</v>
      </c>
    </row>
    <row r="55" spans="1:15" ht="18" customHeight="1" thickTop="1" thickBot="1" x14ac:dyDescent="0.3">
      <c r="A55" s="194"/>
      <c r="B55" s="141" t="str">
        <f>IF(O54-C52&lt;$A$1," ","1~ "&amp;IF(O54-C52&gt;$A$1,$A$1,O54-C52)&amp;" rep")</f>
        <v xml:space="preserve"> </v>
      </c>
      <c r="C55" s="97" t="s">
        <v>37</v>
      </c>
      <c r="D55" s="98" t="s">
        <v>5</v>
      </c>
      <c r="E55" s="5" t="s">
        <v>3</v>
      </c>
      <c r="F55" s="18">
        <f>MROUND(F54*E54,D56)</f>
        <v>65</v>
      </c>
      <c r="G55" s="18">
        <f t="shared" si="18"/>
        <v>65</v>
      </c>
      <c r="H55" s="18">
        <f t="shared" si="18"/>
        <v>65</v>
      </c>
      <c r="I55" s="18">
        <f t="shared" si="18"/>
        <v>65</v>
      </c>
      <c r="J55" s="19">
        <f>I55</f>
        <v>65</v>
      </c>
      <c r="K55" s="74" t="s">
        <v>10</v>
      </c>
      <c r="L55" s="86" t="s">
        <v>28</v>
      </c>
      <c r="M55" s="87">
        <f>K56</f>
        <v>27</v>
      </c>
      <c r="N55" s="93" t="s">
        <v>34</v>
      </c>
      <c r="O55" s="93" t="s">
        <v>35</v>
      </c>
    </row>
    <row r="56" spans="1:15" ht="18" customHeight="1" thickTop="1" thickBot="1" x14ac:dyDescent="0.3">
      <c r="A56" s="195"/>
      <c r="B56" s="144"/>
      <c r="C56" s="90">
        <f>IF(B54="",C52,IF(C54&lt;=0,C52,C52+B56))</f>
        <v>19</v>
      </c>
      <c r="D56" s="100">
        <f>D52</f>
        <v>2.5</v>
      </c>
      <c r="E56" s="13" t="s">
        <v>7</v>
      </c>
      <c r="F56" s="153">
        <v>6</v>
      </c>
      <c r="G56" s="153">
        <v>6</v>
      </c>
      <c r="H56" s="153">
        <v>6</v>
      </c>
      <c r="I56" s="154">
        <v>5</v>
      </c>
      <c r="J56" s="155">
        <v>4</v>
      </c>
      <c r="K56" s="101">
        <f>SUM(F56:J56)</f>
        <v>27</v>
      </c>
      <c r="L56" s="88" t="s">
        <v>30</v>
      </c>
      <c r="M56" s="89">
        <f>M55+M52</f>
        <v>342</v>
      </c>
      <c r="N56" s="90">
        <f>ROUNDDOWN((M52-C52+C56+K56)*$N$4,0)</f>
        <v>3</v>
      </c>
      <c r="O56" s="90">
        <f>ROUNDDOWN((M52+K56-+C56)*$O$4,0)</f>
        <v>22</v>
      </c>
    </row>
    <row r="57" spans="1:15" ht="18" customHeight="1" thickTop="1" thickBot="1" x14ac:dyDescent="0.3">
      <c r="A57" s="193">
        <f t="shared" ref="A57" si="19">IF($M60&lt;IF($A$3="하",$S$8,$S$6),0,IF($M60&gt;IF($A$3="하",$S$7,$S$5),"",MAX(A53+1)))</f>
        <v>0</v>
      </c>
      <c r="B57" s="141" t="str">
        <f>IF(O58-C56&lt;$A$1," ","MAX to "&amp;MROUND(IF(IF(O58-C56&gt;$A$1,$A$1,O58-C56)&lt;2,I53,I53*(37-IF(O58-C56&gt;$A$1,$A$1,O58-C56))/36),D60))</f>
        <v xml:space="preserve"> </v>
      </c>
      <c r="C57" s="90" t="str">
        <f>IF(O58&lt;=C56,"X",IF(N58&gt;C56,"must ME","can ME"))</f>
        <v>can ME</v>
      </c>
      <c r="D57" s="75" t="s">
        <v>31</v>
      </c>
      <c r="E57" s="23">
        <v>4</v>
      </c>
      <c r="F57" s="2">
        <v>1</v>
      </c>
      <c r="G57" s="23">
        <f>IF(F58&gt;=90%,2,IF(F58&gt;=80%,4,IF(F58&gt;=70%,6,6)))</f>
        <v>6</v>
      </c>
      <c r="H57" s="3" t="s">
        <v>2</v>
      </c>
      <c r="I57" s="91">
        <f>K58/(100%-IF($A$3="하",$P$8,$P$6)*K60)/K60</f>
        <v>96.387262601742108</v>
      </c>
      <c r="J57" s="92">
        <f>IF("하"=$A$3,$Q$7,$Q$5)</f>
        <v>25</v>
      </c>
      <c r="K57" s="107" t="s">
        <v>33</v>
      </c>
      <c r="L57" s="75" t="s">
        <v>25</v>
      </c>
      <c r="M57" s="76">
        <f>K58</f>
        <v>1822.5</v>
      </c>
      <c r="N57" s="93" t="s">
        <v>34</v>
      </c>
      <c r="O57" s="93" t="s">
        <v>35</v>
      </c>
    </row>
    <row r="58" spans="1:15" ht="18" customHeight="1" thickTop="1" thickBot="1" x14ac:dyDescent="0.3">
      <c r="A58" s="194"/>
      <c r="B58" s="143"/>
      <c r="C58" s="142" t="str">
        <f>IF(B60="","",IF(B58*36/(37-B60)=0,"",B58*36/(37-B60)))</f>
        <v/>
      </c>
      <c r="D58" s="109" t="str">
        <f>D54</f>
        <v>MP</v>
      </c>
      <c r="E58" s="18">
        <f>IF(C58="",I53,C58)</f>
        <v>92.817363986862787</v>
      </c>
      <c r="F58" s="94">
        <f>100%-J57*IF($A$3="하",$P$8,$P$6)</f>
        <v>0.72249999999999992</v>
      </c>
      <c r="G58" s="7">
        <f t="shared" ref="G58:I59" si="20">F58</f>
        <v>0.72249999999999992</v>
      </c>
      <c r="H58" s="7">
        <f t="shared" si="20"/>
        <v>0.72249999999999992</v>
      </c>
      <c r="I58" s="7">
        <f t="shared" si="20"/>
        <v>0.72249999999999992</v>
      </c>
      <c r="J58" s="8">
        <f>I58</f>
        <v>0.72249999999999992</v>
      </c>
      <c r="K58" s="95">
        <f>F59*F60+G59*G60+H59*H60+I59*I60+J59*J60</f>
        <v>1822.5</v>
      </c>
      <c r="L58" s="86" t="s">
        <v>27</v>
      </c>
      <c r="M58" s="81">
        <f>M57+M54</f>
        <v>22972.2</v>
      </c>
      <c r="N58" s="90">
        <f>ROUNDDOWN(M56*$N$4,0)</f>
        <v>3</v>
      </c>
      <c r="O58" s="90">
        <f>ROUNDDOWN(M56*$O$4,0)</f>
        <v>23</v>
      </c>
    </row>
    <row r="59" spans="1:15" ht="18" customHeight="1" thickTop="1" thickBot="1" x14ac:dyDescent="0.3">
      <c r="A59" s="194"/>
      <c r="B59" s="141" t="str">
        <f>IF(O58-C56&lt;$A$1," ","1~ "&amp;IF(O58-C56&gt;$A$1,$A$1,O58-C56)&amp;" rep")</f>
        <v xml:space="preserve"> </v>
      </c>
      <c r="C59" s="97" t="s">
        <v>37</v>
      </c>
      <c r="D59" s="98" t="s">
        <v>5</v>
      </c>
      <c r="E59" s="5" t="s">
        <v>3</v>
      </c>
      <c r="F59" s="18">
        <f>MROUND(F58*E58,D60)</f>
        <v>67.5</v>
      </c>
      <c r="G59" s="18">
        <f t="shared" si="20"/>
        <v>67.5</v>
      </c>
      <c r="H59" s="18">
        <f t="shared" si="20"/>
        <v>67.5</v>
      </c>
      <c r="I59" s="18">
        <f t="shared" si="20"/>
        <v>67.5</v>
      </c>
      <c r="J59" s="19">
        <f>I59</f>
        <v>67.5</v>
      </c>
      <c r="K59" s="74" t="s">
        <v>10</v>
      </c>
      <c r="L59" s="86" t="s">
        <v>28</v>
      </c>
      <c r="M59" s="87">
        <f>K60</f>
        <v>27</v>
      </c>
      <c r="N59" s="93" t="s">
        <v>34</v>
      </c>
      <c r="O59" s="93" t="s">
        <v>35</v>
      </c>
    </row>
    <row r="60" spans="1:15" ht="18" customHeight="1" thickTop="1" thickBot="1" x14ac:dyDescent="0.3">
      <c r="A60" s="195"/>
      <c r="B60" s="144"/>
      <c r="C60" s="90">
        <f>IF(B58="",C56,IF(C58&lt;=0,C56,C56+B60))</f>
        <v>19</v>
      </c>
      <c r="D60" s="100">
        <f>D56</f>
        <v>2.5</v>
      </c>
      <c r="E60" s="13" t="s">
        <v>7</v>
      </c>
      <c r="F60" s="153">
        <v>6</v>
      </c>
      <c r="G60" s="153">
        <v>6</v>
      </c>
      <c r="H60" s="153">
        <v>6</v>
      </c>
      <c r="I60" s="154">
        <v>4</v>
      </c>
      <c r="J60" s="155">
        <v>5</v>
      </c>
      <c r="K60" s="101">
        <f>SUM(F60:J60)</f>
        <v>27</v>
      </c>
      <c r="L60" s="88" t="s">
        <v>30</v>
      </c>
      <c r="M60" s="89">
        <f>M59+M56</f>
        <v>369</v>
      </c>
      <c r="N60" s="90">
        <f>ROUNDDOWN((M56-C56+C60+K60)*$N$4,0)</f>
        <v>3</v>
      </c>
      <c r="O60" s="90">
        <f>ROUNDDOWN((M56+K60-+C60)*$O$4,0)</f>
        <v>24</v>
      </c>
    </row>
    <row r="61" spans="1:15" ht="18" customHeight="1" thickTop="1" thickBot="1" x14ac:dyDescent="0.3">
      <c r="A61" s="193">
        <f t="shared" ref="A61" si="21">IF($M64&lt;IF($A$3="하",$S$8,$S$6),0,IF($M64&gt;IF($A$3="하",$S$7,$S$5),"",MAX(A57+1)))</f>
        <v>0</v>
      </c>
      <c r="B61" s="141" t="str">
        <f>IF(O62-C60&lt;$A$1," ","MAX to "&amp;MROUND(IF(IF(O62-C60&gt;$A$1,$A$1,O62-C60)&lt;2,I57,I57*(37-IF(O62-C60&gt;$A$1,$A$1,O62-C60))/36),D64))</f>
        <v>MAX to 85</v>
      </c>
      <c r="C61" s="90" t="str">
        <f>IF(O62&lt;=C60,"X",IF(N62&gt;C60,"must ME","can ME"))</f>
        <v>can ME</v>
      </c>
      <c r="D61" s="75" t="s">
        <v>31</v>
      </c>
      <c r="E61" s="23">
        <v>4</v>
      </c>
      <c r="F61" s="2">
        <v>1</v>
      </c>
      <c r="G61" s="23">
        <f>IF(F62&gt;=90%,2,IF(F62&gt;=80%,4,IF(F62&gt;=70%,6,6)))</f>
        <v>6</v>
      </c>
      <c r="H61" s="3" t="s">
        <v>2</v>
      </c>
      <c r="I61" s="91">
        <f>K62/(100%-IF($A$3="하",$P$8,$P$6)*K64)/K64</f>
        <v>92.169296563928626</v>
      </c>
      <c r="J61" s="92">
        <f>IF("하"=$A$3,$Q$7,$Q$5)</f>
        <v>25</v>
      </c>
      <c r="K61" s="107" t="s">
        <v>33</v>
      </c>
      <c r="L61" s="75" t="s">
        <v>25</v>
      </c>
      <c r="M61" s="76">
        <f>K62</f>
        <v>1812.5</v>
      </c>
      <c r="N61" s="93" t="s">
        <v>34</v>
      </c>
      <c r="O61" s="93" t="s">
        <v>35</v>
      </c>
    </row>
    <row r="62" spans="1:15" ht="18" customHeight="1" thickTop="1" thickBot="1" x14ac:dyDescent="0.3">
      <c r="A62" s="194"/>
      <c r="B62" s="143">
        <v>85</v>
      </c>
      <c r="C62" s="142">
        <f>IF(B64="","",IF(B62*36/(37-B64)=0,"",B62*36/(37-B64)))</f>
        <v>85</v>
      </c>
      <c r="D62" s="109" t="str">
        <f>D58</f>
        <v>MP</v>
      </c>
      <c r="E62" s="18">
        <f>IF(C62="",I57,C62)</f>
        <v>85</v>
      </c>
      <c r="F62" s="94">
        <f>100%-J61*IF($A$3="하",$P$8,$P$6)</f>
        <v>0.72249999999999992</v>
      </c>
      <c r="G62" s="7">
        <f t="shared" ref="G62:I63" si="22">F62</f>
        <v>0.72249999999999992</v>
      </c>
      <c r="H62" s="7">
        <f t="shared" si="22"/>
        <v>0.72249999999999992</v>
      </c>
      <c r="I62" s="7">
        <f t="shared" si="22"/>
        <v>0.72249999999999992</v>
      </c>
      <c r="J62" s="8">
        <f>I62</f>
        <v>0.72249999999999992</v>
      </c>
      <c r="K62" s="95">
        <f>F63*F64+G63*G64+H63*H64+I63*I64+J63*J64</f>
        <v>1812.5</v>
      </c>
      <c r="L62" s="86" t="s">
        <v>27</v>
      </c>
      <c r="M62" s="81">
        <f>M61+M58</f>
        <v>24784.7</v>
      </c>
      <c r="N62" s="90">
        <f>ROUNDDOWN(M60*$N$4,0)</f>
        <v>3</v>
      </c>
      <c r="O62" s="90">
        <f>ROUNDDOWN(M60*$O$4,0)</f>
        <v>25</v>
      </c>
    </row>
    <row r="63" spans="1:15" ht="18" customHeight="1" thickTop="1" thickBot="1" x14ac:dyDescent="0.3">
      <c r="A63" s="194"/>
      <c r="B63" s="141" t="str">
        <f>IF(O62-C60&lt;$A$1," ","1~ "&amp;IF(O62-C60&gt;$A$1,$A$1,O62-C60)&amp;" rep")</f>
        <v>1~ 5 rep</v>
      </c>
      <c r="C63" s="97" t="s">
        <v>37</v>
      </c>
      <c r="D63" s="98" t="s">
        <v>5</v>
      </c>
      <c r="E63" s="5" t="s">
        <v>3</v>
      </c>
      <c r="F63" s="18">
        <f>MROUND(F62*E62,D64)</f>
        <v>62.5</v>
      </c>
      <c r="G63" s="18">
        <f t="shared" si="22"/>
        <v>62.5</v>
      </c>
      <c r="H63" s="18">
        <f t="shared" si="22"/>
        <v>62.5</v>
      </c>
      <c r="I63" s="18">
        <f t="shared" si="22"/>
        <v>62.5</v>
      </c>
      <c r="J63" s="19">
        <f>I63</f>
        <v>62.5</v>
      </c>
      <c r="K63" s="74" t="s">
        <v>10</v>
      </c>
      <c r="L63" s="86" t="s">
        <v>28</v>
      </c>
      <c r="M63" s="87">
        <f>K64</f>
        <v>29</v>
      </c>
      <c r="N63" s="93" t="s">
        <v>34</v>
      </c>
      <c r="O63" s="93" t="s">
        <v>35</v>
      </c>
    </row>
    <row r="64" spans="1:15" ht="18" customHeight="1" thickTop="1" thickBot="1" x14ac:dyDescent="0.3">
      <c r="A64" s="195"/>
      <c r="B64" s="144">
        <v>1</v>
      </c>
      <c r="C64" s="90">
        <f>IF(B62="",C60,IF(C62&lt;=0,C60,C60+B64))</f>
        <v>20</v>
      </c>
      <c r="D64" s="100">
        <f>D60</f>
        <v>2.5</v>
      </c>
      <c r="E64" s="13" t="s">
        <v>7</v>
      </c>
      <c r="F64" s="153">
        <v>6</v>
      </c>
      <c r="G64" s="153">
        <v>6</v>
      </c>
      <c r="H64" s="153">
        <v>6</v>
      </c>
      <c r="I64" s="153">
        <v>6</v>
      </c>
      <c r="J64" s="155">
        <v>5</v>
      </c>
      <c r="K64" s="101">
        <f>SUM(F64:J64)</f>
        <v>29</v>
      </c>
      <c r="L64" s="88" t="s">
        <v>30</v>
      </c>
      <c r="M64" s="89">
        <f>M63+M60</f>
        <v>398</v>
      </c>
      <c r="N64" s="90">
        <f>ROUNDDOWN((M60-C60+C64+K64)*$N$4,0)</f>
        <v>3</v>
      </c>
      <c r="O64" s="90">
        <f>ROUNDDOWN((M60+K64-+C64)*$O$4,0)</f>
        <v>26</v>
      </c>
    </row>
    <row r="65" spans="1:15" ht="18" customHeight="1" thickTop="1" thickBot="1" x14ac:dyDescent="0.3">
      <c r="A65" s="193">
        <f>IF($M68&lt;IF($A$3="하",$S$8,$S$6),0,IF($M68&gt;IF($A$3="하",$S$7,$S$5),"",MAX(A61+1)))</f>
        <v>0</v>
      </c>
      <c r="B65" s="141" t="str">
        <f>IF(O66-C64&lt;$A$1," ","MAX to "&amp;MROUND(IF(IF(O66-C64&gt;$A$1,$A$1,O66-C64)&lt;2,I61,I61*(37-IF(O66-C64&gt;$A$1,$A$1,O66-C64))/36),D68))</f>
        <v>MAX to 82.5</v>
      </c>
      <c r="C65" s="90" t="str">
        <f>IF(O66&lt;=C64,"X",IF(N66&gt;C64,"must ME","can ME"))</f>
        <v>can ME</v>
      </c>
      <c r="D65" s="75" t="s">
        <v>31</v>
      </c>
      <c r="E65" s="23">
        <v>4</v>
      </c>
      <c r="F65" s="2">
        <v>1</v>
      </c>
      <c r="G65" s="23">
        <f>IF(F66&gt;=90%,2,IF(F66&gt;=80%,4,IF(F66&gt;=70%,6,6)))</f>
        <v>6</v>
      </c>
      <c r="H65" s="3" t="s">
        <v>2</v>
      </c>
      <c r="I65" s="91">
        <f>K66/(100%-IF($A$3="하",$P$8,$P$6)*K68)/K68</f>
        <v>86.760925449871465</v>
      </c>
      <c r="J65" s="92">
        <f>IF("하"=$A$3,$Q$7,$Q$5)</f>
        <v>25</v>
      </c>
      <c r="K65" s="107" t="s">
        <v>33</v>
      </c>
      <c r="L65" s="75" t="s">
        <v>25</v>
      </c>
      <c r="M65" s="76">
        <f>K66</f>
        <v>1350</v>
      </c>
      <c r="N65" s="93" t="s">
        <v>34</v>
      </c>
      <c r="O65" s="93" t="s">
        <v>35</v>
      </c>
    </row>
    <row r="66" spans="1:15" ht="18" customHeight="1" thickTop="1" thickBot="1" x14ac:dyDescent="0.3">
      <c r="A66" s="194"/>
      <c r="B66" s="143"/>
      <c r="C66" s="142" t="str">
        <f>IF(B68="","",IF(B66*36/(37-B68)=0,"",B66*36/(37-B68)))</f>
        <v/>
      </c>
      <c r="D66" s="109" t="s">
        <v>45</v>
      </c>
      <c r="E66" s="18">
        <f>IF(C66="",I61,C66)</f>
        <v>92.169296563928626</v>
      </c>
      <c r="F66" s="94">
        <f>100%-J65*IF($A$3="하",$P$8,$P$6)</f>
        <v>0.72249999999999992</v>
      </c>
      <c r="G66" s="7">
        <f t="shared" ref="G66:G67" si="23">F66</f>
        <v>0.72249999999999992</v>
      </c>
      <c r="H66" s="7">
        <f t="shared" ref="H66:H67" si="24">G66</f>
        <v>0.72249999999999992</v>
      </c>
      <c r="I66" s="7">
        <f t="shared" ref="I66:I67" si="25">H66</f>
        <v>0.72249999999999992</v>
      </c>
      <c r="J66" s="8">
        <f>I66</f>
        <v>0.72249999999999992</v>
      </c>
      <c r="K66" s="95">
        <f>F67*F68+G67*G68+H67*H68+I67*I68+J67*J68</f>
        <v>1350</v>
      </c>
      <c r="L66" s="86" t="s">
        <v>27</v>
      </c>
      <c r="M66" s="81">
        <f>M65+M62</f>
        <v>26134.7</v>
      </c>
      <c r="N66" s="90">
        <f>ROUNDDOWN(M64*$N$4,0)</f>
        <v>3</v>
      </c>
      <c r="O66" s="90">
        <f>ROUNDDOWN(M64*$O$4,0)</f>
        <v>27</v>
      </c>
    </row>
    <row r="67" spans="1:15" ht="18" customHeight="1" thickTop="1" thickBot="1" x14ac:dyDescent="0.3">
      <c r="A67" s="194"/>
      <c r="B67" s="141" t="str">
        <f>IF(O66-C64&lt;$A$1," ","1~ "&amp;IF(O66-C64&gt;$A$1,$A$1,O66-C64)&amp;" rep")</f>
        <v>1~ 5 rep</v>
      </c>
      <c r="C67" s="97" t="s">
        <v>37</v>
      </c>
      <c r="D67" s="98" t="s">
        <v>5</v>
      </c>
      <c r="E67" s="5" t="s">
        <v>3</v>
      </c>
      <c r="F67" s="18">
        <v>67.5</v>
      </c>
      <c r="G67" s="18">
        <f t="shared" si="23"/>
        <v>67.5</v>
      </c>
      <c r="H67" s="18">
        <f t="shared" si="24"/>
        <v>67.5</v>
      </c>
      <c r="I67" s="18">
        <f t="shared" si="25"/>
        <v>67.5</v>
      </c>
      <c r="J67" s="19">
        <f>I67</f>
        <v>67.5</v>
      </c>
      <c r="K67" s="74" t="s">
        <v>10</v>
      </c>
      <c r="L67" s="86" t="s">
        <v>28</v>
      </c>
      <c r="M67" s="87">
        <f>K68</f>
        <v>20</v>
      </c>
      <c r="N67" s="93" t="s">
        <v>34</v>
      </c>
      <c r="O67" s="93" t="s">
        <v>35</v>
      </c>
    </row>
    <row r="68" spans="1:15" ht="18" customHeight="1" thickTop="1" thickBot="1" x14ac:dyDescent="0.3">
      <c r="A68" s="195"/>
      <c r="B68" s="144"/>
      <c r="C68" s="90">
        <f>IF(B66="",C64,IF(C66&lt;=0,C64,C64+B68))</f>
        <v>20</v>
      </c>
      <c r="D68" s="100">
        <f>D64</f>
        <v>2.5</v>
      </c>
      <c r="E68" s="13" t="s">
        <v>7</v>
      </c>
      <c r="F68" s="153">
        <v>4</v>
      </c>
      <c r="G68" s="154">
        <v>4</v>
      </c>
      <c r="H68" s="154">
        <v>4</v>
      </c>
      <c r="I68" s="154">
        <v>4</v>
      </c>
      <c r="J68" s="155">
        <v>4</v>
      </c>
      <c r="K68" s="101">
        <f>SUM(F68:J68)</f>
        <v>20</v>
      </c>
      <c r="L68" s="88" t="s">
        <v>30</v>
      </c>
      <c r="M68" s="89">
        <f>M67+M64</f>
        <v>418</v>
      </c>
      <c r="N68" s="90">
        <f>ROUNDDOWN((M64-C64+C68+K68)*$N$4,0)</f>
        <v>4</v>
      </c>
      <c r="O68" s="90">
        <f>ROUNDDOWN((M64+K68-+C68)*$O$4,0)</f>
        <v>27</v>
      </c>
    </row>
    <row r="69" spans="1:15" ht="18" customHeight="1" thickTop="1" thickBot="1" x14ac:dyDescent="0.3">
      <c r="A69" s="193">
        <f t="shared" ref="A69" si="26">IF($M72&lt;IF($A$3="하",$S$8,$S$6),0,IF($M72&gt;IF($A$3="하",$S$7,$S$5),"",MAX(A65+1)))</f>
        <v>0</v>
      </c>
      <c r="B69" s="141" t="str">
        <f>IF(O70-C68&lt;$A$1," ","MAX to "&amp;MROUND(IF(IF(O70-C68&gt;$A$1,$A$1,O70-C68)&lt;2,I65,I65*(37-IF(O70-C68&gt;$A$1,$A$1,O70-C68))/36),D72))</f>
        <v>MAX to 77.5</v>
      </c>
      <c r="C69" s="90" t="str">
        <f>IF(O70&lt;=C68,"X",IF(N70&gt;C68,"must ME","can ME"))</f>
        <v>can ME</v>
      </c>
      <c r="D69" s="75" t="s">
        <v>31</v>
      </c>
      <c r="E69" s="23">
        <v>4</v>
      </c>
      <c r="F69" s="2">
        <v>1</v>
      </c>
      <c r="G69" s="23">
        <f>IF(F70&gt;=90%,2,IF(F70&gt;=80%,4,IF(F70&gt;=70%,6,6)))</f>
        <v>6</v>
      </c>
      <c r="H69" s="3" t="s">
        <v>2</v>
      </c>
      <c r="I69" s="91">
        <f>K70/(100%-IF($A$3="하",$P$8,$P$6)*K72)/K72</f>
        <v>101.91172336238402</v>
      </c>
      <c r="J69" s="92">
        <f>IF("하"=$A$3,$Q$7,$Q$5)</f>
        <v>25</v>
      </c>
      <c r="K69" s="107" t="s">
        <v>33</v>
      </c>
      <c r="L69" s="75" t="s">
        <v>25</v>
      </c>
      <c r="M69" s="76">
        <f>K70</f>
        <v>1885</v>
      </c>
      <c r="N69" s="93" t="s">
        <v>34</v>
      </c>
      <c r="O69" s="93" t="s">
        <v>35</v>
      </c>
    </row>
    <row r="70" spans="1:15" ht="18" customHeight="1" thickTop="1" thickBot="1" x14ac:dyDescent="0.3">
      <c r="A70" s="194"/>
      <c r="B70" s="143">
        <v>100</v>
      </c>
      <c r="C70" s="142">
        <f>IF(B72="","",IF(B70*36/(37-B72)=0,"",B70*36/(37-B72)))</f>
        <v>100</v>
      </c>
      <c r="D70" s="109" t="str">
        <f>D66</f>
        <v>PP</v>
      </c>
      <c r="E70" s="18">
        <f>IF(C70="",I65,C70)</f>
        <v>100</v>
      </c>
      <c r="F70" s="94">
        <f>100%-J69*IF($A$3="하",$P$8,$P$6)</f>
        <v>0.72249999999999992</v>
      </c>
      <c r="G70" s="7">
        <f t="shared" ref="G70:G71" si="27">F70</f>
        <v>0.72249999999999992</v>
      </c>
      <c r="H70" s="7">
        <f t="shared" ref="H70:H71" si="28">G70</f>
        <v>0.72249999999999992</v>
      </c>
      <c r="I70" s="7">
        <f t="shared" ref="I70:I71" si="29">H70</f>
        <v>0.72249999999999992</v>
      </c>
      <c r="J70" s="8">
        <f>I70</f>
        <v>0.72249999999999992</v>
      </c>
      <c r="K70" s="95">
        <f>F71*F72+G71*G72+H71*H72+I71*I72+J71*J72</f>
        <v>1885</v>
      </c>
      <c r="L70" s="86" t="s">
        <v>27</v>
      </c>
      <c r="M70" s="81">
        <f>M69+M66</f>
        <v>28019.7</v>
      </c>
      <c r="N70" s="90">
        <f>ROUNDDOWN(M68*$N$4,0)</f>
        <v>4</v>
      </c>
      <c r="O70" s="90">
        <f>ROUNDDOWN(M68*$O$4,0)</f>
        <v>29</v>
      </c>
    </row>
    <row r="71" spans="1:15" ht="18" customHeight="1" thickTop="1" thickBot="1" x14ac:dyDescent="0.3">
      <c r="A71" s="194"/>
      <c r="B71" s="141" t="str">
        <f>IF(O70-C68&lt;$A$1," ","1~ "&amp;IF(O70-C68&gt;$A$1,$A$1,O70-C68)&amp;" rep")</f>
        <v>1~ 5 rep</v>
      </c>
      <c r="C71" s="97" t="s">
        <v>37</v>
      </c>
      <c r="D71" s="98" t="s">
        <v>5</v>
      </c>
      <c r="E71" s="5" t="s">
        <v>3</v>
      </c>
      <c r="F71" s="18">
        <f>MROUND(F70*E70,D72)</f>
        <v>72.5</v>
      </c>
      <c r="G71" s="18">
        <f t="shared" si="27"/>
        <v>72.5</v>
      </c>
      <c r="H71" s="18">
        <f t="shared" si="28"/>
        <v>72.5</v>
      </c>
      <c r="I71" s="18">
        <f t="shared" si="29"/>
        <v>72.5</v>
      </c>
      <c r="J71" s="19">
        <f>I71</f>
        <v>72.5</v>
      </c>
      <c r="K71" s="74" t="s">
        <v>10</v>
      </c>
      <c r="L71" s="86" t="s">
        <v>28</v>
      </c>
      <c r="M71" s="87">
        <f>K72</f>
        <v>26</v>
      </c>
      <c r="N71" s="93" t="s">
        <v>34</v>
      </c>
      <c r="O71" s="93" t="s">
        <v>35</v>
      </c>
    </row>
    <row r="72" spans="1:15" ht="18" customHeight="1" thickTop="1" thickBot="1" x14ac:dyDescent="0.3">
      <c r="A72" s="195"/>
      <c r="B72" s="144">
        <v>1</v>
      </c>
      <c r="C72" s="90">
        <f>IF(B70="",C68,IF(C70&lt;=0,C68,C68+B72))</f>
        <v>21</v>
      </c>
      <c r="D72" s="100">
        <f>D68</f>
        <v>2.5</v>
      </c>
      <c r="E72" s="13" t="s">
        <v>7</v>
      </c>
      <c r="F72" s="153">
        <v>6</v>
      </c>
      <c r="G72" s="153">
        <v>6</v>
      </c>
      <c r="H72" s="153">
        <v>6</v>
      </c>
      <c r="I72" s="154">
        <v>4</v>
      </c>
      <c r="J72" s="155">
        <v>4</v>
      </c>
      <c r="K72" s="101">
        <f>SUM(F72:J72)</f>
        <v>26</v>
      </c>
      <c r="L72" s="88" t="s">
        <v>30</v>
      </c>
      <c r="M72" s="89">
        <f>M71+M68</f>
        <v>444</v>
      </c>
      <c r="N72" s="90">
        <f>ROUNDDOWN((M68-C68+C72+K72)*$N$4,0)</f>
        <v>4</v>
      </c>
      <c r="O72" s="90">
        <f>ROUNDDOWN((M68+K72-+C72)*$O$4,0)</f>
        <v>29</v>
      </c>
    </row>
    <row r="73" spans="1:15" ht="18" customHeight="1" thickTop="1" thickBot="1" x14ac:dyDescent="0.3">
      <c r="A73" s="193">
        <f t="shared" ref="A73" si="30">IF($M76&lt;IF($A$3="하",$S$8,$S$6),0,IF($M76&gt;IF($A$3="하",$S$7,$S$5),"",MAX(A69+1)))</f>
        <v>0</v>
      </c>
      <c r="B73" s="141" t="str">
        <f>IF(O74-C72&lt;$A$1," ","MAX to "&amp;MROUND(IF(IF(O74-C72&gt;$A$1,$A$1,O74-C72)&lt;2,I69,I69*(37-IF(O74-C72&gt;$A$1,$A$1,O74-C72))/36),D76))</f>
        <v>MAX to 90</v>
      </c>
      <c r="C73" s="90" t="str">
        <f>IF(O74&lt;=C72,"X",IF(N74&gt;C72,"must ME","can ME"))</f>
        <v>can ME</v>
      </c>
      <c r="D73" s="75" t="s">
        <v>31</v>
      </c>
      <c r="E73" s="23">
        <v>4</v>
      </c>
      <c r="F73" s="2">
        <v>1</v>
      </c>
      <c r="G73" s="23">
        <f>IF(F74&gt;=90%,2,IF(F74&gt;=80%,4,IF(F74&gt;=70%,6,6)))</f>
        <v>6</v>
      </c>
      <c r="H73" s="3" t="s">
        <v>2</v>
      </c>
      <c r="I73" s="91">
        <f>K74/(100%-IF($A$3="하",$P$8,$P$6)*K76)/K76</f>
        <v>123.68815592203897</v>
      </c>
      <c r="J73" s="92">
        <f>IF("하"=$A$3,$Q$7,$Q$5)</f>
        <v>25</v>
      </c>
      <c r="K73" s="107" t="s">
        <v>33</v>
      </c>
      <c r="L73" s="75" t="s">
        <v>25</v>
      </c>
      <c r="M73" s="76">
        <f>K74</f>
        <v>2475</v>
      </c>
      <c r="N73" s="93" t="s">
        <v>34</v>
      </c>
      <c r="O73" s="93" t="s">
        <v>35</v>
      </c>
    </row>
    <row r="74" spans="1:15" ht="18" customHeight="1" thickTop="1" thickBot="1" x14ac:dyDescent="0.3">
      <c r="A74" s="194"/>
      <c r="B74" s="143">
        <v>100</v>
      </c>
      <c r="C74" s="142">
        <f>IF(B76="","",IF(B74*36/(37-B76)=0,"",B74*36/(37-B76)))</f>
        <v>112.5</v>
      </c>
      <c r="D74" s="109" t="s">
        <v>46</v>
      </c>
      <c r="E74" s="18">
        <f>IF(C74="",I69,C74)</f>
        <v>112.5</v>
      </c>
      <c r="F74" s="94">
        <f>100%-J73*IF($A$3="하",$P$8,$P$6)</f>
        <v>0.72249999999999992</v>
      </c>
      <c r="G74" s="7">
        <f t="shared" ref="G74:G75" si="31">F74</f>
        <v>0.72249999999999992</v>
      </c>
      <c r="H74" s="7">
        <f t="shared" ref="H74:H75" si="32">G74</f>
        <v>0.72249999999999992</v>
      </c>
      <c r="I74" s="7">
        <f t="shared" ref="I74:I75" si="33">H74</f>
        <v>0.72249999999999992</v>
      </c>
      <c r="J74" s="8">
        <f>I74</f>
        <v>0.72249999999999992</v>
      </c>
      <c r="K74" s="95">
        <f>F75*F76+G75*G76+H75*H76+I75*I76+J75*J76</f>
        <v>2475</v>
      </c>
      <c r="L74" s="86" t="s">
        <v>27</v>
      </c>
      <c r="M74" s="81">
        <f>M73+M70</f>
        <v>30494.7</v>
      </c>
      <c r="N74" s="90">
        <f>ROUNDDOWN(M72*$N$4,0)</f>
        <v>4</v>
      </c>
      <c r="O74" s="90">
        <f>ROUNDDOWN(M72*$O$4,0)</f>
        <v>31</v>
      </c>
    </row>
    <row r="75" spans="1:15" ht="18" customHeight="1" thickTop="1" thickBot="1" x14ac:dyDescent="0.3">
      <c r="A75" s="194"/>
      <c r="B75" s="141" t="str">
        <f>IF(O74-C72&lt;$A$1," ","1~ "&amp;IF(O74-C72&gt;$A$1,$A$1,O74-C72)&amp;" rep")</f>
        <v>1~ 5 rep</v>
      </c>
      <c r="C75" s="97" t="s">
        <v>37</v>
      </c>
      <c r="D75" s="98" t="s">
        <v>5</v>
      </c>
      <c r="E75" s="5" t="s">
        <v>3</v>
      </c>
      <c r="F75" s="18">
        <f>MROUND(F74*E74,D76)</f>
        <v>82.5</v>
      </c>
      <c r="G75" s="18">
        <f t="shared" si="31"/>
        <v>82.5</v>
      </c>
      <c r="H75" s="18">
        <f t="shared" si="32"/>
        <v>82.5</v>
      </c>
      <c r="I75" s="18">
        <f t="shared" si="33"/>
        <v>82.5</v>
      </c>
      <c r="J75" s="19">
        <f>I75</f>
        <v>82.5</v>
      </c>
      <c r="K75" s="74" t="s">
        <v>10</v>
      </c>
      <c r="L75" s="86" t="s">
        <v>28</v>
      </c>
      <c r="M75" s="87">
        <f>K76</f>
        <v>30</v>
      </c>
      <c r="N75" s="93" t="s">
        <v>34</v>
      </c>
      <c r="O75" s="93" t="s">
        <v>35</v>
      </c>
    </row>
    <row r="76" spans="1:15" ht="18" customHeight="1" thickTop="1" thickBot="1" x14ac:dyDescent="0.3">
      <c r="A76" s="195"/>
      <c r="B76" s="144">
        <v>5</v>
      </c>
      <c r="C76" s="90">
        <f>IF(B74="",C72,IF(C74&lt;=0,C72,C72+B76))</f>
        <v>26</v>
      </c>
      <c r="D76" s="100">
        <f>D72</f>
        <v>2.5</v>
      </c>
      <c r="E76" s="13" t="s">
        <v>7</v>
      </c>
      <c r="F76" s="153">
        <v>6</v>
      </c>
      <c r="G76" s="153">
        <v>6</v>
      </c>
      <c r="H76" s="153">
        <v>6</v>
      </c>
      <c r="I76" s="153">
        <v>6</v>
      </c>
      <c r="J76" s="155">
        <v>6</v>
      </c>
      <c r="K76" s="101">
        <f>SUM(F76:J76)</f>
        <v>30</v>
      </c>
      <c r="L76" s="88" t="s">
        <v>30</v>
      </c>
      <c r="M76" s="89">
        <f>M75+M72</f>
        <v>474</v>
      </c>
      <c r="N76" s="90">
        <f>ROUNDDOWN((M72-C72+C76+K76)*$N$4,0)</f>
        <v>4</v>
      </c>
      <c r="O76" s="90">
        <f>ROUNDDOWN((M72+K76-+C76)*$O$4,0)</f>
        <v>31</v>
      </c>
    </row>
    <row r="77" spans="1:15" ht="18" customHeight="1" thickTop="1" thickBot="1" x14ac:dyDescent="0.3">
      <c r="A77" s="193">
        <f t="shared" ref="A77" si="34">IF($M80&lt;IF($A$3="하",$S$8,$S$6),0,IF($M80&gt;IF($A$3="하",$S$7,$S$5),"",MAX(A73+1)))</f>
        <v>0</v>
      </c>
      <c r="B77" s="141" t="str">
        <f>IF(O78-C76&lt;$A$1," ","MAX to "&amp;MROUND(IF(IF(O78-C76&gt;$A$1,$A$1,O78-C76)&lt;2,I73,I73*(37-IF(O78-C76&gt;$A$1,$A$1,O78-C76))/36),D80))</f>
        <v>MAX to 110</v>
      </c>
      <c r="C77" s="90" t="str">
        <f>IF(O78&lt;=C76,"X",IF(N78&gt;C76,"must ME","can ME"))</f>
        <v>can ME</v>
      </c>
      <c r="D77" s="75" t="s">
        <v>31</v>
      </c>
      <c r="E77" s="23">
        <v>4</v>
      </c>
      <c r="F77" s="2">
        <v>1</v>
      </c>
      <c r="G77" s="23">
        <f>IF(F78&gt;=90%,2,IF(F78&gt;=80%,4,IF(F78&gt;=70%,6,6)))</f>
        <v>6</v>
      </c>
      <c r="H77" s="3" t="s">
        <v>2</v>
      </c>
      <c r="I77" s="91">
        <f>K78/(100%-IF($A$3="하",$P$8,$P$6)*K80)/K80</f>
        <v>124.94645152077682</v>
      </c>
      <c r="J77" s="92">
        <f>IF("하"=$A$3,$Q$7,$Q$5)</f>
        <v>25</v>
      </c>
      <c r="K77" s="107" t="s">
        <v>33</v>
      </c>
      <c r="L77" s="75" t="s">
        <v>25</v>
      </c>
      <c r="M77" s="76">
        <f>K78</f>
        <v>2362.5</v>
      </c>
      <c r="N77" s="93" t="s">
        <v>34</v>
      </c>
      <c r="O77" s="93" t="s">
        <v>35</v>
      </c>
    </row>
    <row r="78" spans="1:15" ht="18" customHeight="1" thickTop="1" thickBot="1" x14ac:dyDescent="0.3">
      <c r="A78" s="194"/>
      <c r="B78" s="143">
        <v>110</v>
      </c>
      <c r="C78" s="142">
        <f>IF(B80="","",IF(B78*36/(37-B80)=0,"",B78*36/(37-B80)))</f>
        <v>120</v>
      </c>
      <c r="D78" s="109" t="str">
        <f>D74</f>
        <v>BP</v>
      </c>
      <c r="E78" s="18">
        <f>IF(C78="",I73,C78)</f>
        <v>120</v>
      </c>
      <c r="F78" s="94">
        <f>100%-J77*IF($A$3="하",$P$8,$P$6)</f>
        <v>0.72249999999999992</v>
      </c>
      <c r="G78" s="7">
        <f t="shared" ref="G78:G79" si="35">F78</f>
        <v>0.72249999999999992</v>
      </c>
      <c r="H78" s="7">
        <f t="shared" ref="H78:H79" si="36">G78</f>
        <v>0.72249999999999992</v>
      </c>
      <c r="I78" s="7">
        <f t="shared" ref="I78:I79" si="37">H78</f>
        <v>0.72249999999999992</v>
      </c>
      <c r="J78" s="8">
        <f>I78</f>
        <v>0.72249999999999992</v>
      </c>
      <c r="K78" s="95">
        <f>F79*F80+G79*G80+H79*H80+I79*I80+J79*J80</f>
        <v>2362.5</v>
      </c>
      <c r="L78" s="86" t="s">
        <v>27</v>
      </c>
      <c r="M78" s="81">
        <f>M77+M74</f>
        <v>32857.199999999997</v>
      </c>
      <c r="N78" s="90">
        <f>ROUNDDOWN(M76*$N$4,0)</f>
        <v>4</v>
      </c>
      <c r="O78" s="90">
        <f>ROUNDDOWN(M76*$O$4,0)</f>
        <v>33</v>
      </c>
    </row>
    <row r="79" spans="1:15" ht="18" customHeight="1" thickTop="1" thickBot="1" x14ac:dyDescent="0.3">
      <c r="A79" s="194"/>
      <c r="B79" s="141" t="str">
        <f>IF(O78-C76&lt;$A$1," ","1~ "&amp;IF(O78-C76&gt;$A$1,$A$1,O78-C76)&amp;" rep")</f>
        <v>1~ 5 rep</v>
      </c>
      <c r="C79" s="97" t="s">
        <v>37</v>
      </c>
      <c r="D79" s="98" t="s">
        <v>5</v>
      </c>
      <c r="E79" s="5" t="s">
        <v>3</v>
      </c>
      <c r="F79" s="18">
        <f>MROUND(F78*E78,D80)</f>
        <v>87.5</v>
      </c>
      <c r="G79" s="18">
        <f t="shared" si="35"/>
        <v>87.5</v>
      </c>
      <c r="H79" s="18">
        <f t="shared" si="36"/>
        <v>87.5</v>
      </c>
      <c r="I79" s="18">
        <f t="shared" si="37"/>
        <v>87.5</v>
      </c>
      <c r="J79" s="19">
        <f>I79</f>
        <v>87.5</v>
      </c>
      <c r="K79" s="74" t="s">
        <v>10</v>
      </c>
      <c r="L79" s="86" t="s">
        <v>28</v>
      </c>
      <c r="M79" s="87">
        <f>K80</f>
        <v>27</v>
      </c>
      <c r="N79" s="93" t="s">
        <v>34</v>
      </c>
      <c r="O79" s="93" t="s">
        <v>35</v>
      </c>
    </row>
    <row r="80" spans="1:15" ht="18" customHeight="1" thickTop="1" thickBot="1" x14ac:dyDescent="0.3">
      <c r="A80" s="195"/>
      <c r="B80" s="144">
        <v>4</v>
      </c>
      <c r="C80" s="90">
        <f>IF(B78="",C76,IF(C78&lt;=0,C76,C76+B80))</f>
        <v>30</v>
      </c>
      <c r="D80" s="100">
        <f>D76</f>
        <v>2.5</v>
      </c>
      <c r="E80" s="13" t="s">
        <v>7</v>
      </c>
      <c r="F80" s="153">
        <v>6</v>
      </c>
      <c r="G80" s="153">
        <v>6</v>
      </c>
      <c r="H80" s="153">
        <v>6</v>
      </c>
      <c r="I80" s="154">
        <v>5</v>
      </c>
      <c r="J80" s="155">
        <v>4</v>
      </c>
      <c r="K80" s="101">
        <f>SUM(F80:J80)</f>
        <v>27</v>
      </c>
      <c r="L80" s="88" t="s">
        <v>30</v>
      </c>
      <c r="M80" s="89">
        <f>M79+M76</f>
        <v>501</v>
      </c>
      <c r="N80" s="90">
        <f>ROUNDDOWN((M76-C76+C80+K80)*$N$4,0)</f>
        <v>5</v>
      </c>
      <c r="O80" s="90">
        <f>ROUNDDOWN((M76+K80-+C80)*$O$4,0)</f>
        <v>32</v>
      </c>
    </row>
    <row r="81" spans="1:15" ht="18" customHeight="1" thickTop="1" thickBot="1" x14ac:dyDescent="0.3">
      <c r="A81" s="193">
        <f t="shared" ref="A81" si="38">IF($M84&lt;IF($A$3="하",$S$8,$S$6),0,IF($M84&gt;IF($A$3="하",$S$7,$S$5),"",MAX(A77+1)))</f>
        <v>0</v>
      </c>
      <c r="B81" s="141" t="str">
        <f>IF(O82-C80&lt;$A$1," ","MAX to "&amp;MROUND(IF(IF(O82-C80&gt;$A$1,$A$1,O82-C80)&lt;2,I77,I77*(37-IF(O82-C80&gt;$A$1,$A$1,O82-C80))/36),D84))</f>
        <v>MAX to 110</v>
      </c>
      <c r="C81" s="90" t="str">
        <f>IF(O82&lt;=C80,"X",IF(N82&gt;C80,"must ME","can ME"))</f>
        <v>can ME</v>
      </c>
      <c r="D81" s="75" t="s">
        <v>31</v>
      </c>
      <c r="E81" s="23">
        <v>4</v>
      </c>
      <c r="F81" s="2">
        <v>1</v>
      </c>
      <c r="G81" s="23">
        <f>IF(F82&gt;=90%,2,IF(F82&gt;=80%,4,IF(F82&gt;=70%,6,6)))</f>
        <v>6</v>
      </c>
      <c r="H81" s="3" t="s">
        <v>2</v>
      </c>
      <c r="I81" s="91">
        <f>K82/(100%-IF($A$3="하",$P$8,$P$6)*K84)/K84</f>
        <v>132.72378705205722</v>
      </c>
      <c r="J81" s="92">
        <f>IF("하"=$A$3,$Q$7,$Q$5)</f>
        <v>25</v>
      </c>
      <c r="K81" s="107" t="s">
        <v>33</v>
      </c>
      <c r="L81" s="75" t="s">
        <v>25</v>
      </c>
      <c r="M81" s="76">
        <f>K82</f>
        <v>2610</v>
      </c>
      <c r="N81" s="93" t="s">
        <v>34</v>
      </c>
      <c r="O81" s="93" t="s">
        <v>35</v>
      </c>
    </row>
    <row r="82" spans="1:15" ht="18" customHeight="1" thickTop="1" thickBot="1" x14ac:dyDescent="0.3">
      <c r="A82" s="194"/>
      <c r="B82" s="143">
        <v>110</v>
      </c>
      <c r="C82" s="142">
        <f>IF(B84="","",IF(B82*36/(37-B84)=0,"",B82*36/(37-B84)))</f>
        <v>123.75</v>
      </c>
      <c r="D82" s="109" t="str">
        <f>D78</f>
        <v>BP</v>
      </c>
      <c r="E82" s="18">
        <f>IF(C82="",I77,C82)</f>
        <v>123.75</v>
      </c>
      <c r="F82" s="94">
        <f>100%-J81*IF($A$3="하",$P$8,$P$6)</f>
        <v>0.72249999999999992</v>
      </c>
      <c r="G82" s="7">
        <f t="shared" ref="G82:I83" si="39">F82</f>
        <v>0.72249999999999992</v>
      </c>
      <c r="H82" s="7">
        <f t="shared" si="39"/>
        <v>0.72249999999999992</v>
      </c>
      <c r="I82" s="7">
        <f t="shared" si="39"/>
        <v>0.72249999999999992</v>
      </c>
      <c r="J82" s="8">
        <f>I82</f>
        <v>0.72249999999999992</v>
      </c>
      <c r="K82" s="95">
        <f>F83*F84+G83*G84+H83*H84+I83*I84+J83*J84</f>
        <v>2610</v>
      </c>
      <c r="L82" s="86" t="s">
        <v>27</v>
      </c>
      <c r="M82" s="81">
        <f>M81+M78</f>
        <v>35467.199999999997</v>
      </c>
      <c r="N82" s="90">
        <f>ROUNDDOWN(M80*$N$4,0)</f>
        <v>5</v>
      </c>
      <c r="O82" s="90">
        <f>ROUNDDOWN(M80*$O$4,0)</f>
        <v>35</v>
      </c>
    </row>
    <row r="83" spans="1:15" ht="18" customHeight="1" thickTop="1" thickBot="1" x14ac:dyDescent="0.3">
      <c r="A83" s="194"/>
      <c r="B83" s="141" t="str">
        <f>IF(O82-C80&lt;$A$1," ","1~ "&amp;IF(O82-C80&gt;$A$1,$A$1,O82-C80)&amp;" rep")</f>
        <v>1~ 5 rep</v>
      </c>
      <c r="C83" s="97" t="s">
        <v>37</v>
      </c>
      <c r="D83" s="98" t="s">
        <v>5</v>
      </c>
      <c r="E83" s="5" t="s">
        <v>3</v>
      </c>
      <c r="F83" s="18">
        <f>MROUND(F82*E82,D84)</f>
        <v>90</v>
      </c>
      <c r="G83" s="18">
        <f t="shared" si="39"/>
        <v>90</v>
      </c>
      <c r="H83" s="18">
        <f t="shared" si="39"/>
        <v>90</v>
      </c>
      <c r="I83" s="18">
        <f t="shared" si="39"/>
        <v>90</v>
      </c>
      <c r="J83" s="19">
        <f>I83</f>
        <v>90</v>
      </c>
      <c r="K83" s="74" t="s">
        <v>10</v>
      </c>
      <c r="L83" s="86" t="s">
        <v>28</v>
      </c>
      <c r="M83" s="87">
        <f>K84</f>
        <v>29</v>
      </c>
      <c r="N83" s="93" t="s">
        <v>34</v>
      </c>
      <c r="O83" s="93" t="s">
        <v>35</v>
      </c>
    </row>
    <row r="84" spans="1:15" ht="18" customHeight="1" thickTop="1" thickBot="1" x14ac:dyDescent="0.3">
      <c r="A84" s="195"/>
      <c r="B84" s="144">
        <v>5</v>
      </c>
      <c r="C84" s="90">
        <f>IF(B82="",C80,IF(C82&lt;=0,C80,C80+B84))</f>
        <v>35</v>
      </c>
      <c r="D84" s="100">
        <f>D80</f>
        <v>2.5</v>
      </c>
      <c r="E84" s="13" t="s">
        <v>7</v>
      </c>
      <c r="F84" s="153">
        <v>6</v>
      </c>
      <c r="G84" s="153">
        <v>6</v>
      </c>
      <c r="H84" s="153">
        <v>6</v>
      </c>
      <c r="I84" s="153">
        <v>6</v>
      </c>
      <c r="J84" s="155">
        <v>5</v>
      </c>
      <c r="K84" s="101">
        <f>SUM(F84:J84)</f>
        <v>29</v>
      </c>
      <c r="L84" s="88" t="s">
        <v>30</v>
      </c>
      <c r="M84" s="89">
        <f>M83+M80</f>
        <v>530</v>
      </c>
      <c r="N84" s="90">
        <f>ROUNDDOWN((M80-C80+C84+K84)*$N$4,0)</f>
        <v>5</v>
      </c>
      <c r="O84" s="90">
        <f>ROUNDDOWN((M80+K84-+C84)*$O$4,0)</f>
        <v>34</v>
      </c>
    </row>
    <row r="85" spans="1:15" ht="18" customHeight="1" thickTop="1" thickBot="1" x14ac:dyDescent="0.3">
      <c r="A85" s="193">
        <f t="shared" ref="A85" si="40">IF($M88&lt;IF($A$3="하",$S$8,$S$6),0,IF($M88&gt;IF($A$3="하",$S$7,$S$5),"",MAX(A81+1)))</f>
        <v>0</v>
      </c>
      <c r="B85" s="141" t="str">
        <f>IF(O86-C84&lt;$A$1," ","MAX to "&amp;MROUND(IF(IF(O86-C84&gt;$A$1,$A$1,O86-C84)&lt;2,I81,I81*(37-IF(O86-C84&gt;$A$1,$A$1,O86-C84))/36),D88))</f>
        <v xml:space="preserve"> </v>
      </c>
      <c r="C85" s="90" t="str">
        <f>IF(O86&lt;=C84,"X",IF(N86&gt;C84,"must ME","can ME"))</f>
        <v>can ME</v>
      </c>
      <c r="D85" s="75" t="s">
        <v>31</v>
      </c>
      <c r="E85" s="23">
        <v>4</v>
      </c>
      <c r="F85" s="2">
        <v>1</v>
      </c>
      <c r="G85" s="23">
        <f>IF(F86&gt;=90%,2,IF(F86&gt;=80%,4,IF(F86&gt;=70%,6,6)))</f>
        <v>6</v>
      </c>
      <c r="H85" s="3" t="s">
        <v>2</v>
      </c>
      <c r="I85" s="91">
        <f>K86/(100%-IF($A$3="하",$P$8,$P$6)*K88)/K88</f>
        <v>90.684852002321534</v>
      </c>
      <c r="J85" s="92">
        <f>IF("하"=$A$3,$Q$7,$Q$5)</f>
        <v>25</v>
      </c>
      <c r="K85" s="107" t="s">
        <v>33</v>
      </c>
      <c r="L85" s="75" t="s">
        <v>25</v>
      </c>
      <c r="M85" s="76">
        <f>K86</f>
        <v>1750</v>
      </c>
      <c r="N85" s="93" t="s">
        <v>34</v>
      </c>
      <c r="O85" s="93" t="s">
        <v>35</v>
      </c>
    </row>
    <row r="86" spans="1:15" ht="18" customHeight="1" thickTop="1" thickBot="1" x14ac:dyDescent="0.3">
      <c r="A86" s="194"/>
      <c r="B86" s="143">
        <v>85</v>
      </c>
      <c r="C86" s="142">
        <f>IF(B88="","",IF(B86*36/(37-B88)=0,"",B86*36/(37-B88)))</f>
        <v>85</v>
      </c>
      <c r="D86" s="109" t="s">
        <v>15</v>
      </c>
      <c r="E86" s="18">
        <f>IF(C86="",I81,C86)</f>
        <v>85</v>
      </c>
      <c r="F86" s="94">
        <f>100%-J85*IF($A$3="하",$P$8,$P$6)</f>
        <v>0.72249999999999992</v>
      </c>
      <c r="G86" s="7">
        <f t="shared" ref="G86:I87" si="41">F86</f>
        <v>0.72249999999999992</v>
      </c>
      <c r="H86" s="7">
        <f t="shared" si="41"/>
        <v>0.72249999999999992</v>
      </c>
      <c r="I86" s="7">
        <f t="shared" si="41"/>
        <v>0.72249999999999992</v>
      </c>
      <c r="J86" s="8">
        <f>I86</f>
        <v>0.72249999999999992</v>
      </c>
      <c r="K86" s="95">
        <f>F87*F88+G87*G88+H87*H88+I87*I88+J87*J88</f>
        <v>1750</v>
      </c>
      <c r="L86" s="86" t="s">
        <v>27</v>
      </c>
      <c r="M86" s="81">
        <f>M85+M82</f>
        <v>37217.199999999997</v>
      </c>
      <c r="N86" s="90">
        <f>ROUNDDOWN(M84*$N$4,0)</f>
        <v>5</v>
      </c>
      <c r="O86" s="90">
        <f>ROUNDDOWN(M84*$O$4,0)</f>
        <v>37</v>
      </c>
    </row>
    <row r="87" spans="1:15" ht="18" customHeight="1" thickTop="1" thickBot="1" x14ac:dyDescent="0.3">
      <c r="A87" s="194"/>
      <c r="B87" s="141" t="str">
        <f>IF(O86-C84&lt;$A$1," ","1~ "&amp;IF(O86-C84&gt;$A$1,$A$1,O86-C84)&amp;" rep")</f>
        <v xml:space="preserve"> </v>
      </c>
      <c r="C87" s="97" t="s">
        <v>37</v>
      </c>
      <c r="D87" s="98" t="s">
        <v>5</v>
      </c>
      <c r="E87" s="5" t="s">
        <v>3</v>
      </c>
      <c r="F87" s="18">
        <f>MROUND(F86*E86,D88)</f>
        <v>62.5</v>
      </c>
      <c r="G87" s="18">
        <f t="shared" si="41"/>
        <v>62.5</v>
      </c>
      <c r="H87" s="18">
        <f t="shared" si="41"/>
        <v>62.5</v>
      </c>
      <c r="I87" s="18">
        <f t="shared" si="41"/>
        <v>62.5</v>
      </c>
      <c r="J87" s="19">
        <f>I87</f>
        <v>62.5</v>
      </c>
      <c r="K87" s="74" t="s">
        <v>10</v>
      </c>
      <c r="L87" s="86" t="s">
        <v>28</v>
      </c>
      <c r="M87" s="87">
        <f>K88</f>
        <v>28</v>
      </c>
      <c r="N87" s="93" t="s">
        <v>34</v>
      </c>
      <c r="O87" s="93" t="s">
        <v>35</v>
      </c>
    </row>
    <row r="88" spans="1:15" ht="18" customHeight="1" thickTop="1" thickBot="1" x14ac:dyDescent="0.3">
      <c r="A88" s="195"/>
      <c r="B88" s="144">
        <v>1</v>
      </c>
      <c r="C88" s="90">
        <f>IF(B86="",C84,IF(C86&lt;=0,C84,C84+B88))</f>
        <v>36</v>
      </c>
      <c r="D88" s="100">
        <f>D84</f>
        <v>2.5</v>
      </c>
      <c r="E88" s="13" t="s">
        <v>7</v>
      </c>
      <c r="F88" s="153">
        <v>6</v>
      </c>
      <c r="G88" s="153">
        <v>6</v>
      </c>
      <c r="H88" s="153">
        <v>6</v>
      </c>
      <c r="I88" s="153">
        <v>6</v>
      </c>
      <c r="J88" s="155">
        <v>4</v>
      </c>
      <c r="K88" s="101">
        <f>SUM(F88:J88)</f>
        <v>28</v>
      </c>
      <c r="L88" s="88" t="s">
        <v>30</v>
      </c>
      <c r="M88" s="89">
        <f>M87+M84</f>
        <v>558</v>
      </c>
      <c r="N88" s="90">
        <f>ROUNDDOWN((M84-C84+C88+K88)*$N$4,0)</f>
        <v>5</v>
      </c>
      <c r="O88" s="90">
        <f>ROUNDDOWN((M84+K88-+C88)*$O$4,0)</f>
        <v>36</v>
      </c>
    </row>
    <row r="89" spans="1:15" ht="18" customHeight="1" thickTop="1" thickBot="1" x14ac:dyDescent="0.3">
      <c r="A89" s="193">
        <f t="shared" ref="A89" si="42">IF($M92&lt;IF($A$3="하",$S$8,$S$6),0,IF($M92&gt;IF($A$3="하",$S$7,$S$5),"",MAX(A85+1)))</f>
        <v>0</v>
      </c>
      <c r="B89" s="141" t="str">
        <f>IF(O90-C92&lt;$A$1," ","MAX to "&amp;MROUND(IF(IF(O90-C92&gt;$A$1,$A$1,O90-C92)&lt;2,I85,I85*(37-IF(O90-C92&gt;$A$1,$A$1,O90-C92))/36),D92))</f>
        <v xml:space="preserve"> </v>
      </c>
      <c r="C89" s="90" t="str">
        <f>IF(O90&lt;=C88,"X",IF(N90&gt;C88,"must ME","can ME"))</f>
        <v>can ME</v>
      </c>
      <c r="D89" s="131" t="s">
        <v>31</v>
      </c>
      <c r="E89" s="132">
        <v>4</v>
      </c>
      <c r="F89" s="133" t="s">
        <v>32</v>
      </c>
      <c r="G89" s="132">
        <f>IF(F90&gt;=90%,2,IF(F90&gt;=80%,4,IF(F90&gt;=70%,6,6)))</f>
        <v>6</v>
      </c>
      <c r="H89" s="134" t="s">
        <v>2</v>
      </c>
      <c r="I89" s="135">
        <f>K90/(100%-IF($A$3="하",$P$8,$P$6)*K92)/K92</f>
        <v>134.93253373313343</v>
      </c>
      <c r="J89" s="136">
        <f>IF("하"=$A$3,$Q$7,$Q$5)</f>
        <v>25</v>
      </c>
      <c r="K89" s="107" t="s">
        <v>33</v>
      </c>
      <c r="L89" s="75" t="s">
        <v>25</v>
      </c>
      <c r="M89" s="76">
        <f>K90</f>
        <v>2700</v>
      </c>
      <c r="N89" s="93" t="s">
        <v>34</v>
      </c>
      <c r="O89" s="93" t="s">
        <v>35</v>
      </c>
    </row>
    <row r="90" spans="1:15" ht="18" customHeight="1" thickTop="1" thickBot="1" x14ac:dyDescent="0.3">
      <c r="A90" s="194"/>
      <c r="B90" s="143">
        <v>125</v>
      </c>
      <c r="C90" s="142">
        <f>IF(B92="","",IF(B90*36/(37-B92)=0,"",B90*36/(37-B92)))</f>
        <v>125</v>
      </c>
      <c r="D90" s="109">
        <f>B86</f>
        <v>85</v>
      </c>
      <c r="E90" s="18">
        <f>IF(C90="",B87,C90)</f>
        <v>125</v>
      </c>
      <c r="F90" s="94">
        <f>100%-J89*IF($A$3="하",$P$8,$P$6)</f>
        <v>0.72249999999999992</v>
      </c>
      <c r="G90" s="7">
        <f t="shared" ref="G90:I91" si="43">F90</f>
        <v>0.72249999999999992</v>
      </c>
      <c r="H90" s="7">
        <f t="shared" si="43"/>
        <v>0.72249999999999992</v>
      </c>
      <c r="I90" s="7">
        <f t="shared" si="43"/>
        <v>0.72249999999999992</v>
      </c>
      <c r="J90" s="8">
        <f>I90</f>
        <v>0.72249999999999992</v>
      </c>
      <c r="K90" s="95">
        <f>F91*F92+G91*G92+H91*H92+I91*I92+J91*J92</f>
        <v>2700</v>
      </c>
      <c r="L90" s="86" t="s">
        <v>27</v>
      </c>
      <c r="M90" s="81">
        <f>M89+M86</f>
        <v>39917.199999999997</v>
      </c>
      <c r="N90" s="90">
        <f>ROUNDDOWN(M88*$N$4,0)</f>
        <v>5</v>
      </c>
      <c r="O90" s="90">
        <f>ROUNDDOWN(M88*$O$4,0)</f>
        <v>39</v>
      </c>
    </row>
    <row r="91" spans="1:15" ht="18" customHeight="1" thickTop="1" thickBot="1" x14ac:dyDescent="0.3">
      <c r="A91" s="194"/>
      <c r="B91" s="141" t="str">
        <f>IF(O90-C92&lt;$A$1," ","1~ "&amp;IF(O90-C92&gt;$A$1,$A$1,O90-C92)&amp;" rep")</f>
        <v xml:space="preserve"> </v>
      </c>
      <c r="C91" s="97" t="s">
        <v>37</v>
      </c>
      <c r="D91" s="98" t="s">
        <v>5</v>
      </c>
      <c r="E91" s="5" t="s">
        <v>3</v>
      </c>
      <c r="F91" s="18">
        <f>MROUND(F90*E90,D92)</f>
        <v>90</v>
      </c>
      <c r="G91" s="18">
        <f t="shared" si="43"/>
        <v>90</v>
      </c>
      <c r="H91" s="18">
        <f t="shared" si="43"/>
        <v>90</v>
      </c>
      <c r="I91" s="18">
        <f t="shared" si="43"/>
        <v>90</v>
      </c>
      <c r="J91" s="19">
        <f>I91</f>
        <v>90</v>
      </c>
      <c r="K91" s="74" t="s">
        <v>10</v>
      </c>
      <c r="L91" s="86" t="s">
        <v>28</v>
      </c>
      <c r="M91" s="87">
        <f>K92</f>
        <v>30</v>
      </c>
      <c r="N91" s="93" t="s">
        <v>34</v>
      </c>
      <c r="O91" s="93" t="s">
        <v>35</v>
      </c>
    </row>
    <row r="92" spans="1:15" ht="18" customHeight="1" thickTop="1" thickBot="1" x14ac:dyDescent="0.3">
      <c r="A92" s="195"/>
      <c r="B92" s="143">
        <v>1</v>
      </c>
      <c r="C92" s="90">
        <f>IF(B90="",C88,IF(C90&lt;=0,C88,C88+B92))</f>
        <v>37</v>
      </c>
      <c r="D92" s="113">
        <v>2.5</v>
      </c>
      <c r="E92" s="13" t="s">
        <v>7</v>
      </c>
      <c r="F92" s="153">
        <v>6</v>
      </c>
      <c r="G92" s="153">
        <v>6</v>
      </c>
      <c r="H92" s="153">
        <v>6</v>
      </c>
      <c r="I92" s="154">
        <v>6</v>
      </c>
      <c r="J92" s="155">
        <v>6</v>
      </c>
      <c r="K92" s="101">
        <f>SUM(F92:J92)</f>
        <v>30</v>
      </c>
      <c r="L92" s="88" t="s">
        <v>30</v>
      </c>
      <c r="M92" s="89">
        <f>M91+M88</f>
        <v>588</v>
      </c>
      <c r="N92" s="90">
        <f>ROUNDDOWN((M88-C88+C92+K92)*$N$4,0)</f>
        <v>5</v>
      </c>
      <c r="O92" s="90">
        <f>ROUNDDOWN((M88+K92-+C92)*$O$4,0)</f>
        <v>38</v>
      </c>
    </row>
    <row r="93" spans="1:15" ht="18" customHeight="1" thickTop="1" thickBot="1" x14ac:dyDescent="0.3">
      <c r="A93" s="193">
        <f t="shared" ref="A93" si="44">IF($M96&lt;IF($A$3="하",$S$8,$S$6),0,IF($M96&gt;IF($A$3="하",$S$7,$S$5),"",MAX(A89+1)))</f>
        <v>0</v>
      </c>
      <c r="B93" s="141" t="str">
        <f>IF(O94-C92&lt;$A$1," ","MAX to "&amp;MROUND(IF(IF(O94-C92&gt;$A$1,$A$1,O94-C92)&lt;2,I89,I89*(37-IF(O94-C92&gt;$A$1,$A$1,O94-C92))/36),D96))</f>
        <v xml:space="preserve"> </v>
      </c>
      <c r="C93" s="90" t="str">
        <f>IF(O94&lt;=C92,"X",IF(N94&gt;C92,"must ME","can ME"))</f>
        <v>can ME</v>
      </c>
      <c r="D93" s="75" t="s">
        <v>31</v>
      </c>
      <c r="E93" s="23">
        <v>4</v>
      </c>
      <c r="F93" s="2">
        <v>1</v>
      </c>
      <c r="G93" s="23">
        <f>IF(F94&gt;=90%,2,IF(F94&gt;=80%,4,IF(F94&gt;=70%,6,6)))</f>
        <v>6</v>
      </c>
      <c r="H93" s="3" t="s">
        <v>2</v>
      </c>
      <c r="I93" s="91">
        <f>K94/(100%-IF($A$3="하",$P$8,$P$6)*K96)/K96</f>
        <v>92.169296563928626</v>
      </c>
      <c r="J93" s="92">
        <f>IF("하"=$A$3,$Q$7,$Q$5)</f>
        <v>25</v>
      </c>
      <c r="K93" s="107" t="s">
        <v>33</v>
      </c>
      <c r="L93" s="75" t="s">
        <v>25</v>
      </c>
      <c r="M93" s="76">
        <f>K94</f>
        <v>1812.5</v>
      </c>
      <c r="N93" s="93" t="s">
        <v>34</v>
      </c>
      <c r="O93" s="93" t="s">
        <v>35</v>
      </c>
    </row>
    <row r="94" spans="1:15" ht="18" customHeight="1" thickTop="1" thickBot="1" x14ac:dyDescent="0.3">
      <c r="A94" s="194"/>
      <c r="B94" s="143">
        <v>85</v>
      </c>
      <c r="C94" s="142">
        <f>IF(B96="","",IF(B94*36/(37-B96)=0,"",B94*36/(37-B96)))</f>
        <v>85</v>
      </c>
      <c r="D94" s="109" t="s">
        <v>15</v>
      </c>
      <c r="E94" s="18">
        <f>IF(C94="",I89,C94)</f>
        <v>85</v>
      </c>
      <c r="F94" s="94">
        <f>100%-J93*IF($A$3="하",$P$8,$P$6)</f>
        <v>0.72249999999999992</v>
      </c>
      <c r="G94" s="7">
        <f t="shared" ref="G94:I95" si="45">F94</f>
        <v>0.72249999999999992</v>
      </c>
      <c r="H94" s="7">
        <f t="shared" si="45"/>
        <v>0.72249999999999992</v>
      </c>
      <c r="I94" s="7">
        <f t="shared" si="45"/>
        <v>0.72249999999999992</v>
      </c>
      <c r="J94" s="8">
        <f>I94</f>
        <v>0.72249999999999992</v>
      </c>
      <c r="K94" s="95">
        <f>F95*F96+G95*G96+H95*H96+I95*I96+J95*J96</f>
        <v>1812.5</v>
      </c>
      <c r="L94" s="86" t="s">
        <v>27</v>
      </c>
      <c r="M94" s="81">
        <f>M93+M90</f>
        <v>41729.699999999997</v>
      </c>
      <c r="N94" s="90">
        <f>ROUNDDOWN(M92*$N$4,0)</f>
        <v>5</v>
      </c>
      <c r="O94" s="90">
        <f>ROUNDDOWN(M92*$O$4,0)</f>
        <v>41</v>
      </c>
    </row>
    <row r="95" spans="1:15" ht="18" customHeight="1" thickTop="1" thickBot="1" x14ac:dyDescent="0.3">
      <c r="A95" s="194"/>
      <c r="B95" s="141" t="str">
        <f>IF(O94-C92&lt;$A$1," ","1~ "&amp;IF(O94-C92&gt;$A$1,$A$1,O94-C92)&amp;" rep")</f>
        <v xml:space="preserve"> </v>
      </c>
      <c r="C95" s="97" t="s">
        <v>37</v>
      </c>
      <c r="D95" s="98" t="s">
        <v>5</v>
      </c>
      <c r="E95" s="5" t="s">
        <v>3</v>
      </c>
      <c r="F95" s="18">
        <f>MROUND(F94*E94,D96)</f>
        <v>62.5</v>
      </c>
      <c r="G95" s="18">
        <f t="shared" si="45"/>
        <v>62.5</v>
      </c>
      <c r="H95" s="18">
        <f t="shared" si="45"/>
        <v>62.5</v>
      </c>
      <c r="I95" s="18">
        <f t="shared" si="45"/>
        <v>62.5</v>
      </c>
      <c r="J95" s="19">
        <f>I95</f>
        <v>62.5</v>
      </c>
      <c r="K95" s="74" t="s">
        <v>10</v>
      </c>
      <c r="L95" s="86" t="s">
        <v>28</v>
      </c>
      <c r="M95" s="87">
        <f>K96</f>
        <v>29</v>
      </c>
      <c r="N95" s="93" t="s">
        <v>34</v>
      </c>
      <c r="O95" s="93" t="s">
        <v>35</v>
      </c>
    </row>
    <row r="96" spans="1:15" ht="18" customHeight="1" thickTop="1" thickBot="1" x14ac:dyDescent="0.3">
      <c r="A96" s="195"/>
      <c r="B96" s="144">
        <v>1</v>
      </c>
      <c r="C96" s="90">
        <f>IF(B94="",C92,IF(C94&lt;=0,C92,C92+B96))</f>
        <v>38</v>
      </c>
      <c r="D96" s="100">
        <f>D92</f>
        <v>2.5</v>
      </c>
      <c r="E96" s="13" t="s">
        <v>7</v>
      </c>
      <c r="F96" s="153">
        <v>6</v>
      </c>
      <c r="G96" s="153">
        <v>6</v>
      </c>
      <c r="H96" s="153">
        <v>6</v>
      </c>
      <c r="I96" s="154">
        <v>5</v>
      </c>
      <c r="J96" s="155">
        <v>6</v>
      </c>
      <c r="K96" s="101">
        <f>SUM(F96:J96)</f>
        <v>29</v>
      </c>
      <c r="L96" s="88" t="s">
        <v>30</v>
      </c>
      <c r="M96" s="89">
        <f>M95+M92</f>
        <v>617</v>
      </c>
      <c r="N96" s="90">
        <f>ROUNDDOWN((M92-C92+C96+K96)*$N$4,0)</f>
        <v>6</v>
      </c>
      <c r="O96" s="90">
        <f>ROUNDDOWN((M92+K96-+C96)*$O$4,0)</f>
        <v>40</v>
      </c>
    </row>
    <row r="97" spans="1:15" ht="18" customHeight="1" thickTop="1" thickBot="1" x14ac:dyDescent="0.3">
      <c r="A97" s="193">
        <f t="shared" ref="A97" si="46">IF($M100&lt;IF($A$3="하",$S$8,$S$6),0,IF($M100&gt;IF($A$3="하",$S$7,$S$5),"",MAX(A93+1)))</f>
        <v>0</v>
      </c>
      <c r="B97" s="141" t="str">
        <f>IF(O98-C96&lt;$A$1," ","MAX to "&amp;MROUND(IF(IF(O98-C96&gt;$A$1,$A$1,O98-C96)&lt;2,I93,I93*(37-IF(O98-C96&gt;$A$1,$A$1,O98-C96))/36),D100))</f>
        <v>MAX to 82.5</v>
      </c>
      <c r="C97" s="90" t="str">
        <f>IF(O98&lt;=C96,"X",IF(N98&gt;C96,"must ME","can ME"))</f>
        <v>can ME</v>
      </c>
      <c r="D97" s="75" t="s">
        <v>31</v>
      </c>
      <c r="E97" s="23">
        <v>4</v>
      </c>
      <c r="F97" s="2">
        <v>1</v>
      </c>
      <c r="G97" s="23">
        <f>IF(F98&gt;=90%,2,IF(F98&gt;=80%,4,IF(F98&gt;=70%,6,6)))</f>
        <v>6</v>
      </c>
      <c r="H97" s="3" t="s">
        <v>2</v>
      </c>
      <c r="I97" s="91">
        <f>K98/(100%-IF($A$3="하",$P$8,$P$6)*K100)/K100</f>
        <v>93.425605536332185</v>
      </c>
      <c r="J97" s="92">
        <f>IF("하"=$A$3,$Q$7,$Q$5)</f>
        <v>25</v>
      </c>
      <c r="K97" s="107" t="s">
        <v>33</v>
      </c>
      <c r="L97" s="75" t="s">
        <v>25</v>
      </c>
      <c r="M97" s="76">
        <f>K98</f>
        <v>1687.5</v>
      </c>
      <c r="N97" s="93" t="s">
        <v>34</v>
      </c>
      <c r="O97" s="93" t="s">
        <v>35</v>
      </c>
    </row>
    <row r="98" spans="1:15" ht="18" customHeight="1" thickTop="1" thickBot="1" x14ac:dyDescent="0.3">
      <c r="A98" s="194"/>
      <c r="B98" s="143"/>
      <c r="C98" s="142" t="str">
        <f>IF(B100="","",IF(B98*36/(37-B100)=0,"",B98*36/(37-B100)))</f>
        <v/>
      </c>
      <c r="D98" s="109" t="str">
        <f>D94</f>
        <v>MP</v>
      </c>
      <c r="E98" s="18">
        <f>IF(C98="",I93,C98)</f>
        <v>92.169296563928626</v>
      </c>
      <c r="F98" s="94">
        <f>100%-J97*IF($A$3="하",$P$8,$P$6)</f>
        <v>0.72249999999999992</v>
      </c>
      <c r="G98" s="7">
        <f t="shared" ref="G98:I99" si="47">F98</f>
        <v>0.72249999999999992</v>
      </c>
      <c r="H98" s="7">
        <f t="shared" si="47"/>
        <v>0.72249999999999992</v>
      </c>
      <c r="I98" s="7">
        <f t="shared" si="47"/>
        <v>0.72249999999999992</v>
      </c>
      <c r="J98" s="8">
        <f>I98</f>
        <v>0.72249999999999992</v>
      </c>
      <c r="K98" s="95">
        <f>F99*F100+G99*G100+H99*H100+I99*I100+J99*J100</f>
        <v>1687.5</v>
      </c>
      <c r="L98" s="86" t="s">
        <v>27</v>
      </c>
      <c r="M98" s="81">
        <f>M97+M94</f>
        <v>43417.2</v>
      </c>
      <c r="N98" s="90">
        <f>ROUNDDOWN(M96*$N$4,0)</f>
        <v>6</v>
      </c>
      <c r="O98" s="90">
        <f>ROUNDDOWN(M96*$O$4,0)</f>
        <v>43</v>
      </c>
    </row>
    <row r="99" spans="1:15" ht="18" customHeight="1" thickTop="1" thickBot="1" x14ac:dyDescent="0.3">
      <c r="A99" s="194"/>
      <c r="B99" s="141" t="str">
        <f>IF(O98-C96&lt;$A$1," ","1~ "&amp;IF(O98-C96&gt;$A$1,$A$1,O98-C96)&amp;" rep")</f>
        <v>1~ 5 rep</v>
      </c>
      <c r="C99" s="97" t="s">
        <v>37</v>
      </c>
      <c r="D99" s="98" t="s">
        <v>5</v>
      </c>
      <c r="E99" s="5" t="s">
        <v>3</v>
      </c>
      <c r="F99" s="18">
        <f>MROUND(F98*E98,D100)</f>
        <v>67.5</v>
      </c>
      <c r="G99" s="18">
        <f t="shared" si="47"/>
        <v>67.5</v>
      </c>
      <c r="H99" s="18">
        <f t="shared" si="47"/>
        <v>67.5</v>
      </c>
      <c r="I99" s="18">
        <f t="shared" si="47"/>
        <v>67.5</v>
      </c>
      <c r="J99" s="19">
        <f>I99</f>
        <v>67.5</v>
      </c>
      <c r="K99" s="74" t="s">
        <v>10</v>
      </c>
      <c r="L99" s="86" t="s">
        <v>28</v>
      </c>
      <c r="M99" s="87">
        <f>K100</f>
        <v>25</v>
      </c>
      <c r="N99" s="93" t="s">
        <v>34</v>
      </c>
      <c r="O99" s="93" t="s">
        <v>35</v>
      </c>
    </row>
    <row r="100" spans="1:15" ht="18" customHeight="1" thickTop="1" thickBot="1" x14ac:dyDescent="0.3">
      <c r="A100" s="195"/>
      <c r="B100" s="144"/>
      <c r="C100" s="90">
        <f>IF(B98="",C96,IF(C98&lt;=0,C96,C96+B100))</f>
        <v>38</v>
      </c>
      <c r="D100" s="100">
        <f>D96</f>
        <v>2.5</v>
      </c>
      <c r="E100" s="13" t="s">
        <v>7</v>
      </c>
      <c r="F100" s="103">
        <f xml:space="preserve"> IF($A$3="하",0,IF(MROUND(J97/5,1)&lt;=G97,IF(MROUND(J97/5,1)&gt;=E97,MROUND(J97/5,1),E97),G97))</f>
        <v>5</v>
      </c>
      <c r="G100" s="104">
        <f>IF(MROUND((J97-F100)/4,1)&lt;=G97,IF(MROUND((J97-F100)/4,1)&gt;=E97,MROUND((J97-F100)/4,1),E97),G97)</f>
        <v>5</v>
      </c>
      <c r="H100" s="104">
        <f>IF(MROUND((J97-F100-G100)/3,1)&lt;=G97,IF(MROUND((J97-F100-G100)/3,1)&gt;=E97,MROUND((J97-F100-G100)/3,1),E97),G97)</f>
        <v>5</v>
      </c>
      <c r="I100" s="104">
        <f>IF(MROUND((J97-F100-G100-H100)/2,1)&lt;=G97,IF((J97-F100-G100-H100)/2&gt;=E97,MROUND((J97-F100-G100-H100)/2,1),J97-F100-G100-H100),G97)</f>
        <v>5</v>
      </c>
      <c r="J100" s="105">
        <f>IF((J97-(F100+G100+H100+I100))&gt;0,(J97-(F100+G100+H100+I100)),0)</f>
        <v>5</v>
      </c>
      <c r="K100" s="101">
        <f>SUM(F100:J100)</f>
        <v>25</v>
      </c>
      <c r="L100" s="88" t="s">
        <v>30</v>
      </c>
      <c r="M100" s="89">
        <f>M99+M96</f>
        <v>642</v>
      </c>
      <c r="N100" s="90">
        <f>ROUNDDOWN((M96-C96+C100+K100)*$N$4,0)</f>
        <v>6</v>
      </c>
      <c r="O100" s="90">
        <f>ROUNDDOWN((M96+K100-+C100)*$O$4,0)</f>
        <v>42</v>
      </c>
    </row>
    <row r="101" spans="1:15" ht="18" customHeight="1" thickTop="1" thickBot="1" x14ac:dyDescent="0.3">
      <c r="A101" s="193">
        <f t="shared" ref="A101" si="48">IF($M104&lt;IF($A$3="하",$S$8,$S$6),0,IF($M104&gt;IF($A$3="하",$S$7,$S$5),"",MAX(A97+1)))</f>
        <v>1</v>
      </c>
      <c r="B101" s="141" t="str">
        <f>IF(O102-C100&lt;$A$1," ","MAX to "&amp;MROUND(IF(IF(O102-C100&gt;$A$1,$A$1,O102-C100)&lt;2,I97,I97*(37-IF(O102-C100&gt;$A$1,$A$1,O102-C100))/36),D104))</f>
        <v>MAX to 82.5</v>
      </c>
      <c r="C101" s="90" t="str">
        <f>IF(O102&lt;=C100,"X",IF(N102&gt;C100,"must ME","can ME"))</f>
        <v>can ME</v>
      </c>
      <c r="D101" s="75" t="s">
        <v>31</v>
      </c>
      <c r="E101" s="23">
        <v>4</v>
      </c>
      <c r="F101" s="2">
        <v>1</v>
      </c>
      <c r="G101" s="23">
        <f>IF(F102&gt;=90%,2,IF(F102&gt;=80%,4,IF(F102&gt;=70%,6,6)))</f>
        <v>6</v>
      </c>
      <c r="H101" s="3" t="s">
        <v>2</v>
      </c>
      <c r="I101" s="91">
        <f>K102/(100%-IF($A$3="하",$P$8,$P$6)*K104)/K104</f>
        <v>93.425605536332185</v>
      </c>
      <c r="J101" s="92">
        <f>IF("하"=$A$3,$Q$7,$Q$5)</f>
        <v>25</v>
      </c>
      <c r="K101" s="107" t="s">
        <v>33</v>
      </c>
      <c r="L101" s="75" t="s">
        <v>25</v>
      </c>
      <c r="M101" s="76">
        <f>K102</f>
        <v>1687.5</v>
      </c>
      <c r="N101" s="93" t="s">
        <v>34</v>
      </c>
      <c r="O101" s="93" t="s">
        <v>35</v>
      </c>
    </row>
    <row r="102" spans="1:15" ht="18" customHeight="1" thickTop="1" thickBot="1" x14ac:dyDescent="0.3">
      <c r="A102" s="194"/>
      <c r="B102" s="143"/>
      <c r="C102" s="142" t="str">
        <f>IF(B104="","",IF(B102*36/(37-B104)=0,"",B102*36/(37-B104)))</f>
        <v/>
      </c>
      <c r="D102" s="109" t="str">
        <f>D98</f>
        <v>MP</v>
      </c>
      <c r="E102" s="18">
        <f>IF(C102="",I97,C102)</f>
        <v>93.425605536332185</v>
      </c>
      <c r="F102" s="94">
        <f>100%-J101*IF($A$3="하",$P$8,$P$6)</f>
        <v>0.72249999999999992</v>
      </c>
      <c r="G102" s="7">
        <f t="shared" ref="G102:I103" si="49">F102</f>
        <v>0.72249999999999992</v>
      </c>
      <c r="H102" s="7">
        <f t="shared" si="49"/>
        <v>0.72249999999999992</v>
      </c>
      <c r="I102" s="7">
        <f t="shared" si="49"/>
        <v>0.72249999999999992</v>
      </c>
      <c r="J102" s="8">
        <f>I102</f>
        <v>0.72249999999999992</v>
      </c>
      <c r="K102" s="95">
        <f>F103*F104+G103*G104+H103*H104+I103*I104+J103*J104</f>
        <v>1687.5</v>
      </c>
      <c r="L102" s="86" t="s">
        <v>27</v>
      </c>
      <c r="M102" s="81">
        <f>M101+M98</f>
        <v>45104.7</v>
      </c>
      <c r="N102" s="90">
        <f>ROUNDDOWN(M100*$N$4,0)</f>
        <v>6</v>
      </c>
      <c r="O102" s="90">
        <f>ROUNDDOWN(M100*$O$4,0)</f>
        <v>44</v>
      </c>
    </row>
    <row r="103" spans="1:15" ht="18" customHeight="1" thickTop="1" thickBot="1" x14ac:dyDescent="0.3">
      <c r="A103" s="194"/>
      <c r="B103" s="141" t="str">
        <f>IF(O102-C100&lt;$A$1," ","1~ "&amp;IF(O102-C100&gt;$A$1,$A$1,O102-C100)&amp;" rep")</f>
        <v>1~ 5 rep</v>
      </c>
      <c r="C103" s="97" t="s">
        <v>37</v>
      </c>
      <c r="D103" s="98" t="s">
        <v>5</v>
      </c>
      <c r="E103" s="5" t="s">
        <v>3</v>
      </c>
      <c r="F103" s="18">
        <f>MROUND(F102*E102,D104)</f>
        <v>67.5</v>
      </c>
      <c r="G103" s="18">
        <f t="shared" si="49"/>
        <v>67.5</v>
      </c>
      <c r="H103" s="18">
        <f t="shared" si="49"/>
        <v>67.5</v>
      </c>
      <c r="I103" s="18">
        <f t="shared" si="49"/>
        <v>67.5</v>
      </c>
      <c r="J103" s="19">
        <f>I103</f>
        <v>67.5</v>
      </c>
      <c r="K103" s="74" t="s">
        <v>10</v>
      </c>
      <c r="L103" s="86" t="s">
        <v>28</v>
      </c>
      <c r="M103" s="87">
        <f>K104</f>
        <v>25</v>
      </c>
      <c r="N103" s="93" t="s">
        <v>34</v>
      </c>
      <c r="O103" s="93" t="s">
        <v>35</v>
      </c>
    </row>
    <row r="104" spans="1:15" ht="18" customHeight="1" thickTop="1" thickBot="1" x14ac:dyDescent="0.3">
      <c r="A104" s="195"/>
      <c r="B104" s="144"/>
      <c r="C104" s="90">
        <f>IF(B102="",C100,IF(C102&lt;=0,C100,C100+B104))</f>
        <v>38</v>
      </c>
      <c r="D104" s="100">
        <f>D100</f>
        <v>2.5</v>
      </c>
      <c r="E104" s="13" t="s">
        <v>7</v>
      </c>
      <c r="F104" s="103">
        <f xml:space="preserve"> IF($A$3="하",0,IF(MROUND(J101/5,1)&lt;=G101,IF(MROUND(J101/5,1)&gt;=E101,MROUND(J101/5,1),E101),G101))</f>
        <v>5</v>
      </c>
      <c r="G104" s="104">
        <f>IF(MROUND((J101-F104)/4,1)&lt;=G101,IF(MROUND((J101-F104)/4,1)&gt;=E101,MROUND((J101-F104)/4,1),E101),G101)</f>
        <v>5</v>
      </c>
      <c r="H104" s="104">
        <f>IF(MROUND((J101-F104-G104)/3,1)&lt;=G101,IF(MROUND((J101-F104-G104)/3,1)&gt;=E101,MROUND((J101-F104-G104)/3,1),E101),G101)</f>
        <v>5</v>
      </c>
      <c r="I104" s="104">
        <f>IF(MROUND((J101-F104-G104-H104)/2,1)&lt;=G101,IF((J101-F104-G104-H104)/2&gt;=E101,MROUND((J101-F104-G104-H104)/2,1),J101-F104-G104-H104),G101)</f>
        <v>5</v>
      </c>
      <c r="J104" s="105">
        <f>IF((J101-(F104+G104+H104+I104))&gt;0,(J101-(F104+G104+H104+I104)),0)</f>
        <v>5</v>
      </c>
      <c r="K104" s="101">
        <f>SUM(F104:J104)</f>
        <v>25</v>
      </c>
      <c r="L104" s="88" t="s">
        <v>30</v>
      </c>
      <c r="M104" s="89">
        <f>M103+M100</f>
        <v>667</v>
      </c>
      <c r="N104" s="90">
        <f>ROUNDDOWN((M100-C100+C104+K104)*$N$4,0)</f>
        <v>6</v>
      </c>
      <c r="O104" s="90">
        <f>ROUNDDOWN((M100+K104-+C104)*$O$4,0)</f>
        <v>44</v>
      </c>
    </row>
    <row r="105" spans="1:15" ht="18" customHeight="1" thickTop="1" thickBot="1" x14ac:dyDescent="0.3">
      <c r="A105" s="193">
        <f t="shared" ref="A105" si="50">IF($M108&lt;IF($A$3="하",$S$8,$S$6),0,IF($M108&gt;IF($A$3="하",$S$7,$S$5),"",MAX(A101+1)))</f>
        <v>2</v>
      </c>
      <c r="B105" s="141" t="str">
        <f>IF(O106-C104&lt;$A$1," ","MAX to "&amp;MROUND(IF(IF(O106-C104&gt;$A$1,$A$1,O106-C104)&lt;2,I101,I101*(37-IF(O106-C104&gt;$A$1,$A$1,O106-C104))/36),D108))</f>
        <v>MAX to 82.5</v>
      </c>
      <c r="C105" s="90" t="str">
        <f>IF(O106&lt;=C104,"X",IF(N106&gt;C104,"must ME","can ME"))</f>
        <v>can ME</v>
      </c>
      <c r="D105" s="75" t="s">
        <v>31</v>
      </c>
      <c r="E105" s="23">
        <v>4</v>
      </c>
      <c r="F105" s="2">
        <v>1</v>
      </c>
      <c r="G105" s="23">
        <f>IF(F106&gt;=90%,2,IF(F106&gt;=80%,4,IF(F106&gt;=70%,6,6)))</f>
        <v>6</v>
      </c>
      <c r="H105" s="3" t="s">
        <v>2</v>
      </c>
      <c r="I105" s="91">
        <f>K106/(100%-IF($A$3="하",$P$8,$P$6)*K108)/K108</f>
        <v>93.425605536332185</v>
      </c>
      <c r="J105" s="92">
        <f>IF("하"=$A$3,$Q$7,$Q$5)</f>
        <v>25</v>
      </c>
      <c r="K105" s="107" t="s">
        <v>33</v>
      </c>
      <c r="L105" s="75" t="s">
        <v>25</v>
      </c>
      <c r="M105" s="76">
        <f>K106</f>
        <v>1687.5</v>
      </c>
      <c r="N105" s="93" t="s">
        <v>34</v>
      </c>
      <c r="O105" s="93" t="s">
        <v>35</v>
      </c>
    </row>
    <row r="106" spans="1:15" ht="18" customHeight="1" thickTop="1" thickBot="1" x14ac:dyDescent="0.3">
      <c r="A106" s="194"/>
      <c r="B106" s="143"/>
      <c r="C106" s="142" t="str">
        <f>IF(B108="","",IF(B106*36/(37-B108)=0,"",B106*36/(37-B108)))</f>
        <v/>
      </c>
      <c r="D106" s="109" t="str">
        <f>D102</f>
        <v>MP</v>
      </c>
      <c r="E106" s="18">
        <f>IF(C106="",I101,C106)</f>
        <v>93.425605536332185</v>
      </c>
      <c r="F106" s="94">
        <f>100%-J105*IF($A$3="하",$P$8,$P$6)</f>
        <v>0.72249999999999992</v>
      </c>
      <c r="G106" s="7">
        <f t="shared" ref="G106:G107" si="51">F106</f>
        <v>0.72249999999999992</v>
      </c>
      <c r="H106" s="7">
        <f t="shared" ref="H106:H107" si="52">G106</f>
        <v>0.72249999999999992</v>
      </c>
      <c r="I106" s="7">
        <f t="shared" ref="I106:I107" si="53">H106</f>
        <v>0.72249999999999992</v>
      </c>
      <c r="J106" s="8">
        <f>I106</f>
        <v>0.72249999999999992</v>
      </c>
      <c r="K106" s="95">
        <f>F107*F108+G107*G108+H107*H108+I107*I108+J107*J108</f>
        <v>1687.5</v>
      </c>
      <c r="L106" s="86" t="s">
        <v>27</v>
      </c>
      <c r="M106" s="81">
        <f>M105+M102</f>
        <v>46792.2</v>
      </c>
      <c r="N106" s="90">
        <f>ROUNDDOWN(M104*$N$4,0)</f>
        <v>6</v>
      </c>
      <c r="O106" s="90">
        <f>ROUNDDOWN(M104*$O$4,0)</f>
        <v>46</v>
      </c>
    </row>
    <row r="107" spans="1:15" ht="18" customHeight="1" thickTop="1" thickBot="1" x14ac:dyDescent="0.3">
      <c r="A107" s="194"/>
      <c r="B107" s="141" t="str">
        <f>IF(O106-C104&lt;$A$1," ","1~ "&amp;IF(O106-C104&gt;$A$1,$A$1,O106-C104)&amp;" rep")</f>
        <v>1~ 5 rep</v>
      </c>
      <c r="C107" s="97" t="s">
        <v>37</v>
      </c>
      <c r="D107" s="98" t="s">
        <v>5</v>
      </c>
      <c r="E107" s="5" t="s">
        <v>3</v>
      </c>
      <c r="F107" s="18">
        <f>MROUND(F106*E106,D108)</f>
        <v>67.5</v>
      </c>
      <c r="G107" s="18">
        <f t="shared" si="51"/>
        <v>67.5</v>
      </c>
      <c r="H107" s="18">
        <f t="shared" si="52"/>
        <v>67.5</v>
      </c>
      <c r="I107" s="18">
        <f t="shared" si="53"/>
        <v>67.5</v>
      </c>
      <c r="J107" s="19">
        <f>I107</f>
        <v>67.5</v>
      </c>
      <c r="K107" s="74" t="s">
        <v>10</v>
      </c>
      <c r="L107" s="86" t="s">
        <v>28</v>
      </c>
      <c r="M107" s="87">
        <f>K108</f>
        <v>25</v>
      </c>
      <c r="N107" s="93" t="s">
        <v>34</v>
      </c>
      <c r="O107" s="93" t="s">
        <v>35</v>
      </c>
    </row>
    <row r="108" spans="1:15" ht="18" customHeight="1" thickTop="1" thickBot="1" x14ac:dyDescent="0.3">
      <c r="A108" s="195"/>
      <c r="B108" s="144"/>
      <c r="C108" s="90">
        <f>IF(B106="",C104,IF(C106&lt;=0,C104,C104+B108))</f>
        <v>38</v>
      </c>
      <c r="D108" s="100">
        <f>D104</f>
        <v>2.5</v>
      </c>
      <c r="E108" s="13" t="s">
        <v>7</v>
      </c>
      <c r="F108" s="103">
        <f xml:space="preserve"> IF($A$3="하",0,IF(MROUND(J105/5,1)&lt;=G105,IF(MROUND(J105/5,1)&gt;=E105,MROUND(J105/5,1),E105),G105))</f>
        <v>5</v>
      </c>
      <c r="G108" s="104">
        <f>IF(MROUND((J105-F108)/4,1)&lt;=G105,IF(MROUND((J105-F108)/4,1)&gt;=E105,MROUND((J105-F108)/4,1),E105),G105)</f>
        <v>5</v>
      </c>
      <c r="H108" s="104">
        <f>IF(MROUND((J105-F108-G108)/3,1)&lt;=G105,IF(MROUND((J105-F108-G108)/3,1)&gt;=E105,MROUND((J105-F108-G108)/3,1),E105),G105)</f>
        <v>5</v>
      </c>
      <c r="I108" s="104">
        <f>IF(MROUND((J105-F108-G108-H108)/2,1)&lt;=G105,IF((J105-F108-G108-H108)/2&gt;=E105,MROUND((J105-F108-G108-H108)/2,1),J105-F108-G108-H108),G105)</f>
        <v>5</v>
      </c>
      <c r="J108" s="105">
        <f>IF((J105-(F108+G108+H108+I108))&gt;0,(J105-(F108+G108+H108+I108)),0)</f>
        <v>5</v>
      </c>
      <c r="K108" s="101">
        <f>SUM(F108:J108)</f>
        <v>25</v>
      </c>
      <c r="L108" s="88" t="s">
        <v>30</v>
      </c>
      <c r="M108" s="89">
        <f>M107+M104</f>
        <v>692</v>
      </c>
      <c r="N108" s="90">
        <f>ROUNDDOWN((M104-C104+C108+K108)*$N$4,0)</f>
        <v>6</v>
      </c>
      <c r="O108" s="90">
        <f>ROUNDDOWN((M104+K108-+C108)*$O$4,0)</f>
        <v>45</v>
      </c>
    </row>
    <row r="109" spans="1:15" ht="18" customHeight="1" thickTop="1" thickBot="1" x14ac:dyDescent="0.3">
      <c r="A109" s="193">
        <f t="shared" ref="A109" si="54">IF($M112&lt;IF($A$3="하",$S$8,$S$6),0,IF($M112&gt;IF($A$3="하",$S$7,$S$5),"",MAX(A105+1)))</f>
        <v>3</v>
      </c>
      <c r="B109" s="141" t="str">
        <f>IF(O110-C108&lt;$A$1," ","MAX to "&amp;MROUND(IF(IF(O110-C108&gt;$A$1,$A$1,O110-C108)&lt;2,I105,I105*(37-IF(O110-C108&gt;$A$1,$A$1,O110-C108))/36),D112))</f>
        <v>MAX to 82.5</v>
      </c>
      <c r="C109" s="90" t="str">
        <f>IF(O110&lt;=C108,"X",IF(N110&gt;C108,"must ME","can ME"))</f>
        <v>can ME</v>
      </c>
      <c r="D109" s="75" t="s">
        <v>31</v>
      </c>
      <c r="E109" s="23">
        <v>4</v>
      </c>
      <c r="F109" s="2">
        <v>1</v>
      </c>
      <c r="G109" s="23">
        <f>IF(F110&gt;=90%,2,IF(F110&gt;=80%,4,IF(F110&gt;=70%,6,6)))</f>
        <v>6</v>
      </c>
      <c r="H109" s="3" t="s">
        <v>2</v>
      </c>
      <c r="I109" s="91">
        <f>K110/(100%-IF($A$3="하",$P$8,$P$6)*K112)/K112</f>
        <v>93.425605536332185</v>
      </c>
      <c r="J109" s="92">
        <f>IF("하"=$A$3,$Q$7,$Q$5)</f>
        <v>25</v>
      </c>
      <c r="K109" s="107" t="s">
        <v>33</v>
      </c>
      <c r="L109" s="75" t="s">
        <v>25</v>
      </c>
      <c r="M109" s="76">
        <f>K110</f>
        <v>1687.5</v>
      </c>
      <c r="N109" s="93" t="s">
        <v>34</v>
      </c>
      <c r="O109" s="93" t="s">
        <v>35</v>
      </c>
    </row>
    <row r="110" spans="1:15" ht="18" customHeight="1" thickTop="1" thickBot="1" x14ac:dyDescent="0.3">
      <c r="A110" s="194"/>
      <c r="B110" s="143"/>
      <c r="C110" s="142" t="str">
        <f>IF(B112="","",IF(B110*36/(37-B112)=0,"",B110*36/(37-B112)))</f>
        <v/>
      </c>
      <c r="D110" s="109" t="str">
        <f>D106</f>
        <v>MP</v>
      </c>
      <c r="E110" s="18">
        <f>IF(C110="",I105,C110)</f>
        <v>93.425605536332185</v>
      </c>
      <c r="F110" s="94">
        <f>100%-J109*IF($A$3="하",$P$8,$P$6)</f>
        <v>0.72249999999999992</v>
      </c>
      <c r="G110" s="7">
        <f t="shared" ref="G110:G111" si="55">F110</f>
        <v>0.72249999999999992</v>
      </c>
      <c r="H110" s="7">
        <f t="shared" ref="H110:H111" si="56">G110</f>
        <v>0.72249999999999992</v>
      </c>
      <c r="I110" s="7">
        <f t="shared" ref="I110:I111" si="57">H110</f>
        <v>0.72249999999999992</v>
      </c>
      <c r="J110" s="8">
        <f>I110</f>
        <v>0.72249999999999992</v>
      </c>
      <c r="K110" s="95">
        <f>F111*F112+G111*G112+H111*H112+I111*I112+J111*J112</f>
        <v>1687.5</v>
      </c>
      <c r="L110" s="86" t="s">
        <v>27</v>
      </c>
      <c r="M110" s="81">
        <f>M109+M106</f>
        <v>48479.7</v>
      </c>
      <c r="N110" s="90">
        <f>ROUNDDOWN(M108*$N$4,0)</f>
        <v>6</v>
      </c>
      <c r="O110" s="90">
        <f>ROUNDDOWN(M108*$O$4,0)</f>
        <v>48</v>
      </c>
    </row>
    <row r="111" spans="1:15" ht="18" customHeight="1" thickTop="1" thickBot="1" x14ac:dyDescent="0.3">
      <c r="A111" s="194"/>
      <c r="B111" s="141" t="str">
        <f>IF(O110-C108&lt;$A$1," ","1~ "&amp;IF(O110-C108&gt;$A$1,$A$1,O110-C108)&amp;" rep")</f>
        <v>1~ 5 rep</v>
      </c>
      <c r="C111" s="97" t="s">
        <v>37</v>
      </c>
      <c r="D111" s="98" t="s">
        <v>5</v>
      </c>
      <c r="E111" s="5" t="s">
        <v>3</v>
      </c>
      <c r="F111" s="18">
        <f>MROUND(F110*E110,D112)</f>
        <v>67.5</v>
      </c>
      <c r="G111" s="18">
        <f t="shared" si="55"/>
        <v>67.5</v>
      </c>
      <c r="H111" s="18">
        <f t="shared" si="56"/>
        <v>67.5</v>
      </c>
      <c r="I111" s="18">
        <f t="shared" si="57"/>
        <v>67.5</v>
      </c>
      <c r="J111" s="19">
        <f>I111</f>
        <v>67.5</v>
      </c>
      <c r="K111" s="74" t="s">
        <v>10</v>
      </c>
      <c r="L111" s="86" t="s">
        <v>28</v>
      </c>
      <c r="M111" s="87">
        <f>K112</f>
        <v>25</v>
      </c>
      <c r="N111" s="93" t="s">
        <v>34</v>
      </c>
      <c r="O111" s="93" t="s">
        <v>35</v>
      </c>
    </row>
    <row r="112" spans="1:15" ht="18" customHeight="1" thickTop="1" thickBot="1" x14ac:dyDescent="0.3">
      <c r="A112" s="195"/>
      <c r="B112" s="144"/>
      <c r="C112" s="90">
        <f>IF(B110="",C108,IF(C110&lt;=0,C108,C108+B112))</f>
        <v>38</v>
      </c>
      <c r="D112" s="100">
        <f>D108</f>
        <v>2.5</v>
      </c>
      <c r="E112" s="13" t="s">
        <v>7</v>
      </c>
      <c r="F112" s="103">
        <f xml:space="preserve"> IF($A$3="하",0,IF(MROUND(J109/5,1)&lt;=G109,IF(MROUND(J109/5,1)&gt;=E109,MROUND(J109/5,1),E109),G109))</f>
        <v>5</v>
      </c>
      <c r="G112" s="104">
        <f>IF(MROUND((J109-F112)/4,1)&lt;=G109,IF(MROUND((J109-F112)/4,1)&gt;=E109,MROUND((J109-F112)/4,1),E109),G109)</f>
        <v>5</v>
      </c>
      <c r="H112" s="104">
        <f>IF(MROUND((J109-F112-G112)/3,1)&lt;=G109,IF(MROUND((J109-F112-G112)/3,1)&gt;=E109,MROUND((J109-F112-G112)/3,1),E109),G109)</f>
        <v>5</v>
      </c>
      <c r="I112" s="104">
        <f>IF(MROUND((J109-F112-G112-H112)/2,1)&lt;=G109,IF((J109-F112-G112-H112)/2&gt;=E109,MROUND((J109-F112-G112-H112)/2,1),J109-F112-G112-H112),G109)</f>
        <v>5</v>
      </c>
      <c r="J112" s="105">
        <f>IF((J109-(F112+G112+H112+I112))&gt;0,(J109-(F112+G112+H112+I112)),0)</f>
        <v>5</v>
      </c>
      <c r="K112" s="101">
        <f>SUM(F112:J112)</f>
        <v>25</v>
      </c>
      <c r="L112" s="88" t="s">
        <v>30</v>
      </c>
      <c r="M112" s="89">
        <f>M111+M108</f>
        <v>717</v>
      </c>
      <c r="N112" s="90">
        <f>ROUNDDOWN((M108-C108+C112+K112)*$N$4,0)</f>
        <v>7</v>
      </c>
      <c r="O112" s="90">
        <f>ROUNDDOWN((M108+K112-+C112)*$O$4,0)</f>
        <v>47</v>
      </c>
    </row>
    <row r="113" spans="1:15" ht="18" customHeight="1" thickTop="1" thickBot="1" x14ac:dyDescent="0.3">
      <c r="A113" s="193">
        <f t="shared" ref="A113" si="58">IF($M116&lt;IF($A$3="하",$S$8,$S$6),0,IF($M116&gt;IF($A$3="하",$S$7,$S$5),"",MAX(A109+1)))</f>
        <v>4</v>
      </c>
      <c r="B113" s="141" t="str">
        <f>IF(O114-C112&lt;$A$1," ","MAX to "&amp;MROUND(IF(IF(O114-C112&gt;$A$1,$A$1,O114-C112)&lt;2,I109,I109*(37-IF(O114-C112&gt;$A$1,$A$1,O114-C112))/36),D116))</f>
        <v>MAX to 82.5</v>
      </c>
      <c r="C113" s="90" t="str">
        <f>IF(O114&lt;=C112,"X",IF(N114&gt;C112,"must ME","can ME"))</f>
        <v>can ME</v>
      </c>
      <c r="D113" s="75" t="s">
        <v>31</v>
      </c>
      <c r="E113" s="23">
        <v>4</v>
      </c>
      <c r="F113" s="2">
        <v>1</v>
      </c>
      <c r="G113" s="23">
        <f>IF(F114&gt;=90%,2,IF(F114&gt;=80%,4,IF(F114&gt;=70%,6,6)))</f>
        <v>6</v>
      </c>
      <c r="H113" s="3" t="s">
        <v>2</v>
      </c>
      <c r="I113" s="91">
        <f>K114/(100%-IF($A$3="하",$P$8,$P$6)*K116)/K116</f>
        <v>93.425605536332185</v>
      </c>
      <c r="J113" s="92">
        <f>IF("하"=$A$3,$Q$7,$Q$5)</f>
        <v>25</v>
      </c>
      <c r="K113" s="107" t="s">
        <v>33</v>
      </c>
      <c r="L113" s="75" t="s">
        <v>25</v>
      </c>
      <c r="M113" s="76">
        <f>K114</f>
        <v>1687.5</v>
      </c>
      <c r="N113" s="93" t="s">
        <v>34</v>
      </c>
      <c r="O113" s="93" t="s">
        <v>35</v>
      </c>
    </row>
    <row r="114" spans="1:15" ht="18" customHeight="1" thickTop="1" thickBot="1" x14ac:dyDescent="0.3">
      <c r="A114" s="194"/>
      <c r="B114" s="143"/>
      <c r="C114" s="142" t="str">
        <f>IF(B116="","",IF(B114*36/(37-B116)=0,"",B114*36/(37-B116)))</f>
        <v/>
      </c>
      <c r="D114" s="109" t="str">
        <f>D110</f>
        <v>MP</v>
      </c>
      <c r="E114" s="18">
        <f>IF(C114="",I109,C114)</f>
        <v>93.425605536332185</v>
      </c>
      <c r="F114" s="94">
        <f>100%-J113*IF($A$3="하",$P$8,$P$6)</f>
        <v>0.72249999999999992</v>
      </c>
      <c r="G114" s="7">
        <f t="shared" ref="G114:G115" si="59">F114</f>
        <v>0.72249999999999992</v>
      </c>
      <c r="H114" s="7">
        <f t="shared" ref="H114:H115" si="60">G114</f>
        <v>0.72249999999999992</v>
      </c>
      <c r="I114" s="7">
        <f t="shared" ref="I114:I115" si="61">H114</f>
        <v>0.72249999999999992</v>
      </c>
      <c r="J114" s="8">
        <f>I114</f>
        <v>0.72249999999999992</v>
      </c>
      <c r="K114" s="95">
        <f>F115*F116+G115*G116+H115*H116+I115*I116+J115*J116</f>
        <v>1687.5</v>
      </c>
      <c r="L114" s="86" t="s">
        <v>27</v>
      </c>
      <c r="M114" s="81">
        <f>M113+M110</f>
        <v>50167.199999999997</v>
      </c>
      <c r="N114" s="90">
        <f>ROUNDDOWN(M112*$N$4,0)</f>
        <v>7</v>
      </c>
      <c r="O114" s="90">
        <f>ROUNDDOWN(M112*$O$4,0)</f>
        <v>50</v>
      </c>
    </row>
    <row r="115" spans="1:15" ht="18" customHeight="1" thickTop="1" thickBot="1" x14ac:dyDescent="0.3">
      <c r="A115" s="194"/>
      <c r="B115" s="141" t="str">
        <f>IF(O114-C112&lt;$A$1," ","1~ "&amp;IF(O114-C112&gt;$A$1,$A$1,O114-C112)&amp;" rep")</f>
        <v>1~ 5 rep</v>
      </c>
      <c r="C115" s="97" t="s">
        <v>37</v>
      </c>
      <c r="D115" s="98" t="s">
        <v>5</v>
      </c>
      <c r="E115" s="5" t="s">
        <v>3</v>
      </c>
      <c r="F115" s="18">
        <f>MROUND(F114*E114,D116)</f>
        <v>67.5</v>
      </c>
      <c r="G115" s="18">
        <f t="shared" si="59"/>
        <v>67.5</v>
      </c>
      <c r="H115" s="18">
        <f t="shared" si="60"/>
        <v>67.5</v>
      </c>
      <c r="I115" s="18">
        <f t="shared" si="61"/>
        <v>67.5</v>
      </c>
      <c r="J115" s="19">
        <f>I115</f>
        <v>67.5</v>
      </c>
      <c r="K115" s="74" t="s">
        <v>10</v>
      </c>
      <c r="L115" s="86" t="s">
        <v>28</v>
      </c>
      <c r="M115" s="87">
        <f>K116</f>
        <v>25</v>
      </c>
      <c r="N115" s="93" t="s">
        <v>34</v>
      </c>
      <c r="O115" s="93" t="s">
        <v>35</v>
      </c>
    </row>
    <row r="116" spans="1:15" ht="18" customHeight="1" thickTop="1" thickBot="1" x14ac:dyDescent="0.3">
      <c r="A116" s="195"/>
      <c r="B116" s="144"/>
      <c r="C116" s="90">
        <f>IF(B114="",C112,IF(C114&lt;=0,C112,C112+B116))</f>
        <v>38</v>
      </c>
      <c r="D116" s="100">
        <f>D112</f>
        <v>2.5</v>
      </c>
      <c r="E116" s="13" t="s">
        <v>7</v>
      </c>
      <c r="F116" s="103">
        <f xml:space="preserve"> IF($A$3="하",0,IF(MROUND(J113/5,1)&lt;=G113,IF(MROUND(J113/5,1)&gt;=E113,MROUND(J113/5,1),E113),G113))</f>
        <v>5</v>
      </c>
      <c r="G116" s="104">
        <f>IF(MROUND((J113-F116)/4,1)&lt;=G113,IF(MROUND((J113-F116)/4,1)&gt;=E113,MROUND((J113-F116)/4,1),E113),G113)</f>
        <v>5</v>
      </c>
      <c r="H116" s="104">
        <f>IF(MROUND((J113-F116-G116)/3,1)&lt;=G113,IF(MROUND((J113-F116-G116)/3,1)&gt;=E113,MROUND((J113-F116-G116)/3,1),E113),G113)</f>
        <v>5</v>
      </c>
      <c r="I116" s="104">
        <f>IF(MROUND((J113-F116-G116-H116)/2,1)&lt;=G113,IF((J113-F116-G116-H116)/2&gt;=E113,MROUND((J113-F116-G116-H116)/2,1),J113-F116-G116-H116),G113)</f>
        <v>5</v>
      </c>
      <c r="J116" s="105">
        <f>IF((J113-(F116+G116+H116+I116))&gt;0,(J113-(F116+G116+H116+I116)),0)</f>
        <v>5</v>
      </c>
      <c r="K116" s="101">
        <f>SUM(F116:J116)</f>
        <v>25</v>
      </c>
      <c r="L116" s="88" t="s">
        <v>30</v>
      </c>
      <c r="M116" s="89">
        <f>M115+M112</f>
        <v>742</v>
      </c>
      <c r="N116" s="90">
        <f>ROUNDDOWN((M112-C112+C116+K116)*$N$4,0)</f>
        <v>7</v>
      </c>
      <c r="O116" s="90">
        <f>ROUNDDOWN((M112+K116-+C116)*$O$4,0)</f>
        <v>49</v>
      </c>
    </row>
    <row r="117" spans="1:15" ht="18" customHeight="1" thickTop="1" thickBot="1" x14ac:dyDescent="0.3">
      <c r="A117" s="193">
        <f t="shared" ref="A117" si="62">IF($M120&lt;IF($A$3="하",$S$8,$S$6),0,IF($M120&gt;IF($A$3="하",$S$7,$S$5),"",MAX(A113+1)))</f>
        <v>5</v>
      </c>
      <c r="B117" s="141" t="str">
        <f>IF(O118-C116&lt;$A$1," ","MAX to "&amp;MROUND(IF(IF(O118-C116&gt;$A$1,$A$1,O118-C116)&lt;2,I113,I113*(37-IF(O118-C116&gt;$A$1,$A$1,O118-C116))/36),D120))</f>
        <v>MAX to 82.5</v>
      </c>
      <c r="C117" s="90" t="str">
        <f>IF(O118&lt;=C116,"X",IF(N118&gt;C116,"must ME","can ME"))</f>
        <v>can ME</v>
      </c>
      <c r="D117" s="75" t="s">
        <v>31</v>
      </c>
      <c r="E117" s="23">
        <v>4</v>
      </c>
      <c r="F117" s="2">
        <v>1</v>
      </c>
      <c r="G117" s="23">
        <f>IF(F118&gt;=90%,2,IF(F118&gt;=80%,4,IF(F118&gt;=70%,6,6)))</f>
        <v>6</v>
      </c>
      <c r="H117" s="3" t="s">
        <v>2</v>
      </c>
      <c r="I117" s="91">
        <f>K118/(100%-IF($A$3="하",$P$8,$P$6)*K120)/K120</f>
        <v>93.425605536332185</v>
      </c>
      <c r="J117" s="92">
        <f>IF("하"=$A$3,$Q$7,$Q$5)</f>
        <v>25</v>
      </c>
      <c r="K117" s="107" t="s">
        <v>33</v>
      </c>
      <c r="L117" s="75" t="s">
        <v>25</v>
      </c>
      <c r="M117" s="76">
        <f>K118</f>
        <v>1687.5</v>
      </c>
      <c r="N117" s="93" t="s">
        <v>34</v>
      </c>
      <c r="O117" s="93" t="s">
        <v>35</v>
      </c>
    </row>
    <row r="118" spans="1:15" ht="18" customHeight="1" thickTop="1" thickBot="1" x14ac:dyDescent="0.3">
      <c r="A118" s="194"/>
      <c r="B118" s="143"/>
      <c r="C118" s="142" t="str">
        <f>IF(B120="","",IF(B118*36/(37-B120)=0,"",B118*36/(37-B120)))</f>
        <v/>
      </c>
      <c r="D118" s="109" t="str">
        <f>D114</f>
        <v>MP</v>
      </c>
      <c r="E118" s="18">
        <f>IF(C118="",I113,C118)</f>
        <v>93.425605536332185</v>
      </c>
      <c r="F118" s="94">
        <f>100%-J117*IF($A$3="하",$P$8,$P$6)</f>
        <v>0.72249999999999992</v>
      </c>
      <c r="G118" s="7">
        <f t="shared" ref="G118:G119" si="63">F118</f>
        <v>0.72249999999999992</v>
      </c>
      <c r="H118" s="7">
        <f t="shared" ref="H118:H119" si="64">G118</f>
        <v>0.72249999999999992</v>
      </c>
      <c r="I118" s="7">
        <f t="shared" ref="I118:I119" si="65">H118</f>
        <v>0.72249999999999992</v>
      </c>
      <c r="J118" s="8">
        <f>I118</f>
        <v>0.72249999999999992</v>
      </c>
      <c r="K118" s="95">
        <f>F119*F120+G119*G120+H119*H120+I119*I120+J119*J120</f>
        <v>1687.5</v>
      </c>
      <c r="L118" s="86" t="s">
        <v>27</v>
      </c>
      <c r="M118" s="81">
        <f>M117+M114</f>
        <v>51854.7</v>
      </c>
      <c r="N118" s="90">
        <f>ROUNDDOWN(M116*$N$4,0)</f>
        <v>7</v>
      </c>
      <c r="O118" s="90">
        <f>ROUNDDOWN(M116*$O$4,0)</f>
        <v>51</v>
      </c>
    </row>
    <row r="119" spans="1:15" ht="18" customHeight="1" thickTop="1" thickBot="1" x14ac:dyDescent="0.3">
      <c r="A119" s="194"/>
      <c r="B119" s="141" t="str">
        <f>IF(O118-C116&lt;$A$1," ","1~ "&amp;IF(O118-C116&gt;$A$1,$A$1,O118-C116)&amp;" rep")</f>
        <v>1~ 5 rep</v>
      </c>
      <c r="C119" s="97" t="s">
        <v>37</v>
      </c>
      <c r="D119" s="98" t="s">
        <v>5</v>
      </c>
      <c r="E119" s="5" t="s">
        <v>3</v>
      </c>
      <c r="F119" s="18">
        <f>MROUND(F118*E118,D120)</f>
        <v>67.5</v>
      </c>
      <c r="G119" s="18">
        <f t="shared" si="63"/>
        <v>67.5</v>
      </c>
      <c r="H119" s="18">
        <f t="shared" si="64"/>
        <v>67.5</v>
      </c>
      <c r="I119" s="18">
        <f t="shared" si="65"/>
        <v>67.5</v>
      </c>
      <c r="J119" s="19">
        <f>I119</f>
        <v>67.5</v>
      </c>
      <c r="K119" s="74" t="s">
        <v>10</v>
      </c>
      <c r="L119" s="86" t="s">
        <v>28</v>
      </c>
      <c r="M119" s="87">
        <f>K120</f>
        <v>25</v>
      </c>
      <c r="N119" s="93" t="s">
        <v>34</v>
      </c>
      <c r="O119" s="93" t="s">
        <v>35</v>
      </c>
    </row>
    <row r="120" spans="1:15" ht="18" customHeight="1" thickTop="1" thickBot="1" x14ac:dyDescent="0.3">
      <c r="A120" s="195"/>
      <c r="B120" s="144"/>
      <c r="C120" s="90">
        <f>IF(B118="",C116,IF(C118&lt;=0,C116,C116+B120))</f>
        <v>38</v>
      </c>
      <c r="D120" s="100">
        <f>D116</f>
        <v>2.5</v>
      </c>
      <c r="E120" s="13" t="s">
        <v>7</v>
      </c>
      <c r="F120" s="103">
        <f xml:space="preserve"> IF($A$3="하",0,IF(MROUND(J117/5,1)&lt;=G117,IF(MROUND(J117/5,1)&gt;=E117,MROUND(J117/5,1),E117),G117))</f>
        <v>5</v>
      </c>
      <c r="G120" s="104">
        <f>IF(MROUND((J117-F120)/4,1)&lt;=G117,IF(MROUND((J117-F120)/4,1)&gt;=E117,MROUND((J117-F120)/4,1),E117),G117)</f>
        <v>5</v>
      </c>
      <c r="H120" s="104">
        <f>IF(MROUND((J117-F120-G120)/3,1)&lt;=G117,IF(MROUND((J117-F120-G120)/3,1)&gt;=E117,MROUND((J117-F120-G120)/3,1),E117),G117)</f>
        <v>5</v>
      </c>
      <c r="I120" s="104">
        <f>IF(MROUND((J117-F120-G120-H120)/2,1)&lt;=G117,IF((J117-F120-G120-H120)/2&gt;=E117,MROUND((J117-F120-G120-H120)/2,1),J117-F120-G120-H120),G117)</f>
        <v>5</v>
      </c>
      <c r="J120" s="105">
        <f>IF((J117-(F120+G120+H120+I120))&gt;0,(J117-(F120+G120+H120+I120)),0)</f>
        <v>5</v>
      </c>
      <c r="K120" s="101">
        <f>SUM(F120:J120)</f>
        <v>25</v>
      </c>
      <c r="L120" s="88" t="s">
        <v>30</v>
      </c>
      <c r="M120" s="89">
        <f>M119+M116</f>
        <v>767</v>
      </c>
      <c r="N120" s="90">
        <f>ROUNDDOWN((M116-C116+C120+K120)*$N$4,0)</f>
        <v>7</v>
      </c>
      <c r="O120" s="90">
        <f>ROUNDDOWN((M116+K120-+C120)*$O$4,0)</f>
        <v>51</v>
      </c>
    </row>
    <row r="121" spans="1:15" ht="18" customHeight="1" thickTop="1" thickBot="1" x14ac:dyDescent="0.3">
      <c r="A121" s="193">
        <f t="shared" ref="A121" si="66">IF($M124&lt;IF($A$3="하",$S$8,$S$6),0,IF($M124&gt;IF($A$3="하",$S$7,$S$5),"",MAX(A117+1)))</f>
        <v>6</v>
      </c>
      <c r="B121" s="141" t="str">
        <f>IF(O122-C120&lt;$A$1," ","MAX to "&amp;MROUND(IF(IF(O122-C120&gt;$A$1,$A$1,O122-C120)&lt;2,I117,I117*(37-IF(O122-C120&gt;$A$1,$A$1,O122-C120))/36),D124))</f>
        <v>MAX to 82.5</v>
      </c>
      <c r="C121" s="90" t="str">
        <f>IF(O122&lt;=C120,"X",IF(N122&gt;C120,"must ME","can ME"))</f>
        <v>can ME</v>
      </c>
      <c r="D121" s="75" t="s">
        <v>31</v>
      </c>
      <c r="E121" s="23">
        <v>4</v>
      </c>
      <c r="F121" s="2">
        <v>1</v>
      </c>
      <c r="G121" s="23">
        <f>IF(F122&gt;=90%,2,IF(F122&gt;=80%,4,IF(F122&gt;=70%,6,6)))</f>
        <v>6</v>
      </c>
      <c r="H121" s="3" t="s">
        <v>2</v>
      </c>
      <c r="I121" s="91">
        <f>K122/(100%-IF($A$3="하",$P$8,$P$6)*K124)/K124</f>
        <v>93.425605536332185</v>
      </c>
      <c r="J121" s="92">
        <f>IF("하"=$A$3,$Q$7,$Q$5)</f>
        <v>25</v>
      </c>
      <c r="K121" s="107" t="s">
        <v>33</v>
      </c>
      <c r="L121" s="75" t="s">
        <v>25</v>
      </c>
      <c r="M121" s="76">
        <f>K122</f>
        <v>1687.5</v>
      </c>
      <c r="N121" s="93" t="s">
        <v>34</v>
      </c>
      <c r="O121" s="93" t="s">
        <v>35</v>
      </c>
    </row>
    <row r="122" spans="1:15" ht="18" customHeight="1" thickTop="1" thickBot="1" x14ac:dyDescent="0.3">
      <c r="A122" s="194"/>
      <c r="B122" s="143"/>
      <c r="C122" s="142" t="str">
        <f>IF(B124="","",IF(B122*36/(37-B124)=0,"",B122*36/(37-B124)))</f>
        <v/>
      </c>
      <c r="D122" s="109" t="str">
        <f>D118</f>
        <v>MP</v>
      </c>
      <c r="E122" s="18">
        <f>IF(C122="",I117,C122)</f>
        <v>93.425605536332185</v>
      </c>
      <c r="F122" s="94">
        <f>100%-J121*IF($A$3="하",$P$8,$P$6)</f>
        <v>0.72249999999999992</v>
      </c>
      <c r="G122" s="7">
        <f t="shared" ref="G122:G123" si="67">F122</f>
        <v>0.72249999999999992</v>
      </c>
      <c r="H122" s="7">
        <f t="shared" ref="H122:H123" si="68">G122</f>
        <v>0.72249999999999992</v>
      </c>
      <c r="I122" s="7">
        <f t="shared" ref="I122:I123" si="69">H122</f>
        <v>0.72249999999999992</v>
      </c>
      <c r="J122" s="8">
        <f>I122</f>
        <v>0.72249999999999992</v>
      </c>
      <c r="K122" s="95">
        <f>F123*F124+G123*G124+H123*H124+I123*I124+J123*J124</f>
        <v>1687.5</v>
      </c>
      <c r="L122" s="86" t="s">
        <v>27</v>
      </c>
      <c r="M122" s="81">
        <f>M121+M118</f>
        <v>53542.2</v>
      </c>
      <c r="N122" s="90">
        <f>ROUNDDOWN(M120*$N$4,0)</f>
        <v>7</v>
      </c>
      <c r="O122" s="90">
        <f>ROUNDDOWN(M120*$O$4,0)</f>
        <v>53</v>
      </c>
    </row>
    <row r="123" spans="1:15" ht="18" customHeight="1" thickTop="1" thickBot="1" x14ac:dyDescent="0.3">
      <c r="A123" s="194"/>
      <c r="B123" s="141" t="str">
        <f>IF(O122-C120&lt;$A$1," ","1~ "&amp;IF(O122-C120&gt;$A$1,$A$1,O122-C120)&amp;" rep")</f>
        <v>1~ 5 rep</v>
      </c>
      <c r="C123" s="97" t="s">
        <v>37</v>
      </c>
      <c r="D123" s="98" t="s">
        <v>5</v>
      </c>
      <c r="E123" s="5" t="s">
        <v>3</v>
      </c>
      <c r="F123" s="18">
        <f>MROUND(F122*E122,D124)</f>
        <v>67.5</v>
      </c>
      <c r="G123" s="18">
        <f t="shared" si="67"/>
        <v>67.5</v>
      </c>
      <c r="H123" s="18">
        <f t="shared" si="68"/>
        <v>67.5</v>
      </c>
      <c r="I123" s="18">
        <f t="shared" si="69"/>
        <v>67.5</v>
      </c>
      <c r="J123" s="19">
        <f>I123</f>
        <v>67.5</v>
      </c>
      <c r="K123" s="74" t="s">
        <v>10</v>
      </c>
      <c r="L123" s="86" t="s">
        <v>28</v>
      </c>
      <c r="M123" s="87">
        <f>K124</f>
        <v>25</v>
      </c>
      <c r="N123" s="93" t="s">
        <v>34</v>
      </c>
      <c r="O123" s="93" t="s">
        <v>35</v>
      </c>
    </row>
    <row r="124" spans="1:15" ht="18" customHeight="1" thickTop="1" thickBot="1" x14ac:dyDescent="0.3">
      <c r="A124" s="195"/>
      <c r="B124" s="144"/>
      <c r="C124" s="90">
        <f>IF(B122="",C120,IF(C122&lt;=0,C120,C120+B124))</f>
        <v>38</v>
      </c>
      <c r="D124" s="100">
        <f>D120</f>
        <v>2.5</v>
      </c>
      <c r="E124" s="13" t="s">
        <v>7</v>
      </c>
      <c r="F124" s="103">
        <f xml:space="preserve"> IF($A$3="하",0,IF(MROUND(J121/5,1)&lt;=G121,IF(MROUND(J121/5,1)&gt;=E121,MROUND(J121/5,1),E121),G121))</f>
        <v>5</v>
      </c>
      <c r="G124" s="104">
        <f>IF(MROUND((J121-F124)/4,1)&lt;=G121,IF(MROUND((J121-F124)/4,1)&gt;=E121,MROUND((J121-F124)/4,1),E121),G121)</f>
        <v>5</v>
      </c>
      <c r="H124" s="104">
        <f>IF(MROUND((J121-F124-G124)/3,1)&lt;=G121,IF(MROUND((J121-F124-G124)/3,1)&gt;=E121,MROUND((J121-F124-G124)/3,1),E121),G121)</f>
        <v>5</v>
      </c>
      <c r="I124" s="104">
        <f>IF(MROUND((J121-F124-G124-H124)/2,1)&lt;=G121,IF((J121-F124-G124-H124)/2&gt;=E121,MROUND((J121-F124-G124-H124)/2,1),J121-F124-G124-H124),G121)</f>
        <v>5</v>
      </c>
      <c r="J124" s="105">
        <f>IF((J121-(F124+G124+H124+I124))&gt;0,(J121-(F124+G124+H124+I124)),0)</f>
        <v>5</v>
      </c>
      <c r="K124" s="101">
        <f>SUM(F124:J124)</f>
        <v>25</v>
      </c>
      <c r="L124" s="88" t="s">
        <v>30</v>
      </c>
      <c r="M124" s="89">
        <f>M123+M120</f>
        <v>792</v>
      </c>
      <c r="N124" s="90">
        <f>ROUNDDOWN((M120-C120+C124+K124)*$N$4,0)</f>
        <v>7</v>
      </c>
      <c r="O124" s="90">
        <f>ROUNDDOWN((M120+K124-+C124)*$O$4,0)</f>
        <v>52</v>
      </c>
    </row>
    <row r="125" spans="1:15" ht="18" customHeight="1" thickTop="1" thickBot="1" x14ac:dyDescent="0.3">
      <c r="A125" s="193">
        <f t="shared" ref="A125" si="70">IF($M128&lt;IF($A$3="하",$S$8,$S$6),0,IF($M128&gt;IF($A$3="하",$S$7,$S$5),"",MAX(A121+1)))</f>
        <v>7</v>
      </c>
      <c r="B125" s="141" t="str">
        <f>IF(O126-C124&lt;$A$1," ","MAX to "&amp;MROUND(IF(IF(O126-C124&gt;$A$1,$A$1,O126-C124)&lt;2,I121,I121*(37-IF(O126-C124&gt;$A$1,$A$1,O126-C124))/36),D128))</f>
        <v>MAX to 82.5</v>
      </c>
      <c r="C125" s="90" t="str">
        <f>IF(O126&lt;=C124,"X",IF(N126&gt;C124,"must ME","can ME"))</f>
        <v>can ME</v>
      </c>
      <c r="D125" s="75" t="s">
        <v>31</v>
      </c>
      <c r="E125" s="23">
        <v>4</v>
      </c>
      <c r="F125" s="2">
        <v>1</v>
      </c>
      <c r="G125" s="23">
        <f>IF(F126&gt;=90%,2,IF(F126&gt;=80%,4,IF(F126&gt;=70%,6,6)))</f>
        <v>6</v>
      </c>
      <c r="H125" s="3" t="s">
        <v>2</v>
      </c>
      <c r="I125" s="91">
        <f>K126/(100%-IF($A$3="하",$P$8,$P$6)*K128)/K128</f>
        <v>93.425605536332185</v>
      </c>
      <c r="J125" s="92">
        <f>IF("하"=$A$3,$Q$7,$Q$5)</f>
        <v>25</v>
      </c>
      <c r="K125" s="107" t="s">
        <v>33</v>
      </c>
      <c r="L125" s="75" t="s">
        <v>25</v>
      </c>
      <c r="M125" s="76">
        <f>K126</f>
        <v>1687.5</v>
      </c>
      <c r="N125" s="93" t="s">
        <v>34</v>
      </c>
      <c r="O125" s="93" t="s">
        <v>35</v>
      </c>
    </row>
    <row r="126" spans="1:15" ht="18" customHeight="1" thickTop="1" thickBot="1" x14ac:dyDescent="0.3">
      <c r="A126" s="194"/>
      <c r="B126" s="143"/>
      <c r="C126" s="142" t="str">
        <f>IF(B128="","",IF(B126*36/(37-B128)=0,"",B126*36/(37-B128)))</f>
        <v/>
      </c>
      <c r="D126" s="109" t="str">
        <f>D122</f>
        <v>MP</v>
      </c>
      <c r="E126" s="18">
        <f>IF(C126="",I121,C126)</f>
        <v>93.425605536332185</v>
      </c>
      <c r="F126" s="94">
        <f>100%-J125*IF($A$3="하",$P$8,$P$6)</f>
        <v>0.72249999999999992</v>
      </c>
      <c r="G126" s="7">
        <f t="shared" ref="G126:G127" si="71">F126</f>
        <v>0.72249999999999992</v>
      </c>
      <c r="H126" s="7">
        <f t="shared" ref="H126:H127" si="72">G126</f>
        <v>0.72249999999999992</v>
      </c>
      <c r="I126" s="7">
        <f t="shared" ref="I126:I127" si="73">H126</f>
        <v>0.72249999999999992</v>
      </c>
      <c r="J126" s="8">
        <f>I126</f>
        <v>0.72249999999999992</v>
      </c>
      <c r="K126" s="95">
        <f>F127*F128+G127*G128+H127*H128+I127*I128+J127*J128</f>
        <v>1687.5</v>
      </c>
      <c r="L126" s="86" t="s">
        <v>27</v>
      </c>
      <c r="M126" s="81">
        <f>M125+M122</f>
        <v>55229.7</v>
      </c>
      <c r="N126" s="90">
        <f>ROUNDDOWN(M124*$N$4,0)</f>
        <v>7</v>
      </c>
      <c r="O126" s="90">
        <f>ROUNDDOWN(M124*$O$4,0)</f>
        <v>55</v>
      </c>
    </row>
    <row r="127" spans="1:15" ht="18" customHeight="1" thickTop="1" thickBot="1" x14ac:dyDescent="0.3">
      <c r="A127" s="194"/>
      <c r="B127" s="141" t="str">
        <f>IF(O126-C124&lt;$A$1," ","1~ "&amp;IF(O126-C124&gt;$A$1,$A$1,O126-C124)&amp;" rep")</f>
        <v>1~ 5 rep</v>
      </c>
      <c r="C127" s="97" t="s">
        <v>37</v>
      </c>
      <c r="D127" s="98" t="s">
        <v>5</v>
      </c>
      <c r="E127" s="5" t="s">
        <v>3</v>
      </c>
      <c r="F127" s="18">
        <f>MROUND(F126*E126,D128)</f>
        <v>67.5</v>
      </c>
      <c r="G127" s="18">
        <f t="shared" si="71"/>
        <v>67.5</v>
      </c>
      <c r="H127" s="18">
        <f t="shared" si="72"/>
        <v>67.5</v>
      </c>
      <c r="I127" s="18">
        <f t="shared" si="73"/>
        <v>67.5</v>
      </c>
      <c r="J127" s="19">
        <f>I127</f>
        <v>67.5</v>
      </c>
      <c r="K127" s="74" t="s">
        <v>10</v>
      </c>
      <c r="L127" s="86" t="s">
        <v>28</v>
      </c>
      <c r="M127" s="87">
        <f>K128</f>
        <v>25</v>
      </c>
      <c r="N127" s="93" t="s">
        <v>34</v>
      </c>
      <c r="O127" s="93" t="s">
        <v>35</v>
      </c>
    </row>
    <row r="128" spans="1:15" ht="18" customHeight="1" thickTop="1" thickBot="1" x14ac:dyDescent="0.3">
      <c r="A128" s="195"/>
      <c r="B128" s="144"/>
      <c r="C128" s="90">
        <f>IF(B126="",C124,IF(C126&lt;=0,C124,C124+B128))</f>
        <v>38</v>
      </c>
      <c r="D128" s="100">
        <f>D124</f>
        <v>2.5</v>
      </c>
      <c r="E128" s="13" t="s">
        <v>7</v>
      </c>
      <c r="F128" s="103">
        <f xml:space="preserve"> IF($A$3="하",0,IF(MROUND(J125/5,1)&lt;=G125,IF(MROUND(J125/5,1)&gt;=E125,MROUND(J125/5,1),E125),G125))</f>
        <v>5</v>
      </c>
      <c r="G128" s="104">
        <f>IF(MROUND((J125-F128)/4,1)&lt;=G125,IF(MROUND((J125-F128)/4,1)&gt;=E125,MROUND((J125-F128)/4,1),E125),G125)</f>
        <v>5</v>
      </c>
      <c r="H128" s="104">
        <f>IF(MROUND((J125-F128-G128)/3,1)&lt;=G125,IF(MROUND((J125-F128-G128)/3,1)&gt;=E125,MROUND((J125-F128-G128)/3,1),E125),G125)</f>
        <v>5</v>
      </c>
      <c r="I128" s="104">
        <f>IF(MROUND((J125-F128-G128-H128)/2,1)&lt;=G125,IF((J125-F128-G128-H128)/2&gt;=E125,MROUND((J125-F128-G128-H128)/2,1),J125-F128-G128-H128),G125)</f>
        <v>5</v>
      </c>
      <c r="J128" s="105">
        <f>IF((J125-(F128+G128+H128+I128))&gt;0,(J125-(F128+G128+H128+I128)),0)</f>
        <v>5</v>
      </c>
      <c r="K128" s="101">
        <f>SUM(F128:J128)</f>
        <v>25</v>
      </c>
      <c r="L128" s="88" t="s">
        <v>30</v>
      </c>
      <c r="M128" s="89">
        <f>M127+M124</f>
        <v>817</v>
      </c>
      <c r="N128" s="90">
        <f>ROUNDDOWN((M124-C124+C128+K128)*$N$4,0)</f>
        <v>8</v>
      </c>
      <c r="O128" s="90">
        <f>ROUNDDOWN((M124+K128-+C128)*$O$4,0)</f>
        <v>54</v>
      </c>
    </row>
    <row r="129" ht="17.25" thickTop="1" x14ac:dyDescent="0.25"/>
  </sheetData>
  <mergeCells count="34">
    <mergeCell ref="A125:A128"/>
    <mergeCell ref="A105:A108"/>
    <mergeCell ref="A109:A112"/>
    <mergeCell ref="A113:A116"/>
    <mergeCell ref="A117:A120"/>
    <mergeCell ref="A121:A124"/>
    <mergeCell ref="G1:H1"/>
    <mergeCell ref="A4:K4"/>
    <mergeCell ref="A5:A8"/>
    <mergeCell ref="A9:A12"/>
    <mergeCell ref="A65:A68"/>
    <mergeCell ref="A13:A16"/>
    <mergeCell ref="A61:A64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7:A60"/>
    <mergeCell ref="E1:F1"/>
    <mergeCell ref="A69:A72"/>
    <mergeCell ref="A73:A76"/>
    <mergeCell ref="A77:A80"/>
    <mergeCell ref="A53:A56"/>
    <mergeCell ref="A93:A96"/>
    <mergeCell ref="A97:A100"/>
    <mergeCell ref="A101:A104"/>
    <mergeCell ref="A81:A84"/>
    <mergeCell ref="A85:A88"/>
    <mergeCell ref="A89:A92"/>
  </mergeCells>
  <phoneticPr fontId="1" type="noConversion"/>
  <conditionalFormatting sqref="A5 A9 A13 A17 A21 A25 A29 A33 A37 A41 A45 A49 A53 A57 A61">
    <cfRule type="containsText" dxfId="925" priority="93" operator="containsText" text="0">
      <formula>NOT(ISERROR(SEARCH("0",A5)))</formula>
    </cfRule>
  </conditionalFormatting>
  <conditionalFormatting sqref="A65 A69 A73 A77">
    <cfRule type="containsText" dxfId="924" priority="76" operator="containsText" text="0">
      <formula>NOT(ISERROR(SEARCH("0",A65)))</formula>
    </cfRule>
  </conditionalFormatting>
  <conditionalFormatting sqref="A81 A85">
    <cfRule type="containsText" dxfId="923" priority="63" operator="containsText" text="0">
      <formula>NOT(ISERROR(SEARCH("0",A81)))</formula>
    </cfRule>
  </conditionalFormatting>
  <conditionalFormatting sqref="A89">
    <cfRule type="containsText" dxfId="922" priority="45" operator="containsText" text="0">
      <formula>NOT(ISERROR(SEARCH("0",A89)))</formula>
    </cfRule>
  </conditionalFormatting>
  <conditionalFormatting sqref="A93 A97 A101">
    <cfRule type="containsText" dxfId="921" priority="50" operator="containsText" text="0">
      <formula>NOT(ISERROR(SEARCH("0",A93)))</formula>
    </cfRule>
  </conditionalFormatting>
  <conditionalFormatting sqref="A105 A109">
    <cfRule type="containsText" dxfId="920" priority="23" operator="containsText" text="0">
      <formula>NOT(ISERROR(SEARCH("0",A105)))</formula>
    </cfRule>
  </conditionalFormatting>
  <conditionalFormatting sqref="A113 A117">
    <cfRule type="containsText" dxfId="919" priority="14" operator="containsText" text="0">
      <formula>NOT(ISERROR(SEARCH("0",A113)))</formula>
    </cfRule>
  </conditionalFormatting>
  <conditionalFormatting sqref="A121 A125">
    <cfRule type="containsText" dxfId="918" priority="5" operator="containsText" text="0">
      <formula>NOT(ISERROR(SEARCH("0",A121)))</formula>
    </cfRule>
  </conditionalFormatting>
  <conditionalFormatting sqref="C2:C3">
    <cfRule type="cellIs" dxfId="917" priority="154" operator="equal">
      <formula>"ME"</formula>
    </cfRule>
  </conditionalFormatting>
  <conditionalFormatting sqref="C5">
    <cfRule type="containsText" dxfId="916" priority="153" operator="containsText" text="must">
      <formula>NOT(ISERROR(SEARCH("must",C5)))</formula>
    </cfRule>
    <cfRule type="containsText" dxfId="915" priority="152" operator="containsText" text="can">
      <formula>NOT(ISERROR(SEARCH("can",C5)))</formula>
    </cfRule>
  </conditionalFormatting>
  <conditionalFormatting sqref="C6:C8">
    <cfRule type="containsText" dxfId="914" priority="147" operator="containsText" text="ME">
      <formula>NOT(ISERROR(SEARCH("ME",C6)))</formula>
    </cfRule>
  </conditionalFormatting>
  <conditionalFormatting sqref="C9">
    <cfRule type="containsText" dxfId="913" priority="150" operator="containsText" text="must">
      <formula>NOT(ISERROR(SEARCH("must",C9)))</formula>
    </cfRule>
    <cfRule type="containsText" dxfId="912" priority="149" operator="containsText" text="can">
      <formula>NOT(ISERROR(SEARCH("can",C9)))</formula>
    </cfRule>
  </conditionalFormatting>
  <conditionalFormatting sqref="C10:C12">
    <cfRule type="containsText" dxfId="911" priority="148" operator="containsText" text="ME">
      <formula>NOT(ISERROR(SEARCH("ME",C10)))</formula>
    </cfRule>
  </conditionalFormatting>
  <conditionalFormatting sqref="C13">
    <cfRule type="containsText" dxfId="910" priority="145" operator="containsText" text="must">
      <formula>NOT(ISERROR(SEARCH("must",C13)))</formula>
    </cfRule>
    <cfRule type="containsText" dxfId="909" priority="144" operator="containsText" text="can">
      <formula>NOT(ISERROR(SEARCH("can",C13)))</formula>
    </cfRule>
  </conditionalFormatting>
  <conditionalFormatting sqref="C14:C16">
    <cfRule type="containsText" dxfId="908" priority="143" operator="containsText" text="ME">
      <formula>NOT(ISERROR(SEARCH("ME",C14)))</formula>
    </cfRule>
  </conditionalFormatting>
  <conditionalFormatting sqref="C17">
    <cfRule type="containsText" dxfId="907" priority="140" operator="containsText" text="must">
      <formula>NOT(ISERROR(SEARCH("must",C17)))</formula>
    </cfRule>
    <cfRule type="containsText" dxfId="906" priority="139" operator="containsText" text="can">
      <formula>NOT(ISERROR(SEARCH("can",C17)))</formula>
    </cfRule>
  </conditionalFormatting>
  <conditionalFormatting sqref="C18:C20">
    <cfRule type="containsText" dxfId="905" priority="138" operator="containsText" text="ME">
      <formula>NOT(ISERROR(SEARCH("ME",C18)))</formula>
    </cfRule>
  </conditionalFormatting>
  <conditionalFormatting sqref="C21">
    <cfRule type="containsText" dxfId="904" priority="136" operator="containsText" text="must">
      <formula>NOT(ISERROR(SEARCH("must",C21)))</formula>
    </cfRule>
    <cfRule type="containsText" dxfId="903" priority="135" operator="containsText" text="can">
      <formula>NOT(ISERROR(SEARCH("can",C21)))</formula>
    </cfRule>
  </conditionalFormatting>
  <conditionalFormatting sqref="C22:C24">
    <cfRule type="containsText" dxfId="902" priority="134" operator="containsText" text="ME">
      <formula>NOT(ISERROR(SEARCH("ME",C22)))</formula>
    </cfRule>
  </conditionalFormatting>
  <conditionalFormatting sqref="C25">
    <cfRule type="containsText" dxfId="901" priority="132" operator="containsText" text="must">
      <formula>NOT(ISERROR(SEARCH("must",C25)))</formula>
    </cfRule>
    <cfRule type="containsText" dxfId="900" priority="131" operator="containsText" text="can">
      <formula>NOT(ISERROR(SEARCH("can",C25)))</formula>
    </cfRule>
  </conditionalFormatting>
  <conditionalFormatting sqref="C26:C28">
    <cfRule type="containsText" dxfId="899" priority="130" operator="containsText" text="ME">
      <formula>NOT(ISERROR(SEARCH("ME",C26)))</formula>
    </cfRule>
  </conditionalFormatting>
  <conditionalFormatting sqref="C29">
    <cfRule type="containsText" dxfId="898" priority="128" operator="containsText" text="must">
      <formula>NOT(ISERROR(SEARCH("must",C29)))</formula>
    </cfRule>
    <cfRule type="containsText" dxfId="897" priority="127" operator="containsText" text="can">
      <formula>NOT(ISERROR(SEARCH("can",C29)))</formula>
    </cfRule>
  </conditionalFormatting>
  <conditionalFormatting sqref="C30:C32">
    <cfRule type="containsText" dxfId="896" priority="126" operator="containsText" text="ME">
      <formula>NOT(ISERROR(SEARCH("ME",C30)))</formula>
    </cfRule>
  </conditionalFormatting>
  <conditionalFormatting sqref="C33">
    <cfRule type="containsText" dxfId="895" priority="124" operator="containsText" text="must">
      <formula>NOT(ISERROR(SEARCH("must",C33)))</formula>
    </cfRule>
    <cfRule type="containsText" dxfId="894" priority="123" operator="containsText" text="can">
      <formula>NOT(ISERROR(SEARCH("can",C33)))</formula>
    </cfRule>
  </conditionalFormatting>
  <conditionalFormatting sqref="C34:C36">
    <cfRule type="containsText" dxfId="893" priority="122" operator="containsText" text="ME">
      <formula>NOT(ISERROR(SEARCH("ME",C34)))</formula>
    </cfRule>
  </conditionalFormatting>
  <conditionalFormatting sqref="C37">
    <cfRule type="containsText" dxfId="892" priority="120" operator="containsText" text="must">
      <formula>NOT(ISERROR(SEARCH("must",C37)))</formula>
    </cfRule>
    <cfRule type="containsText" dxfId="891" priority="119" operator="containsText" text="can">
      <formula>NOT(ISERROR(SEARCH("can",C37)))</formula>
    </cfRule>
  </conditionalFormatting>
  <conditionalFormatting sqref="C38:C40">
    <cfRule type="containsText" dxfId="890" priority="118" operator="containsText" text="ME">
      <formula>NOT(ISERROR(SEARCH("ME",C38)))</formula>
    </cfRule>
  </conditionalFormatting>
  <conditionalFormatting sqref="C41">
    <cfRule type="containsText" dxfId="889" priority="116" operator="containsText" text="must">
      <formula>NOT(ISERROR(SEARCH("must",C41)))</formula>
    </cfRule>
    <cfRule type="containsText" dxfId="888" priority="115" operator="containsText" text="can">
      <formula>NOT(ISERROR(SEARCH("can",C41)))</formula>
    </cfRule>
  </conditionalFormatting>
  <conditionalFormatting sqref="C42:C44">
    <cfRule type="containsText" dxfId="887" priority="114" operator="containsText" text="ME">
      <formula>NOT(ISERROR(SEARCH("ME",C42)))</formula>
    </cfRule>
  </conditionalFormatting>
  <conditionalFormatting sqref="C45">
    <cfRule type="containsText" dxfId="886" priority="112" operator="containsText" text="must">
      <formula>NOT(ISERROR(SEARCH("must",C45)))</formula>
    </cfRule>
    <cfRule type="containsText" dxfId="885" priority="111" operator="containsText" text="can">
      <formula>NOT(ISERROR(SEARCH("can",C45)))</formula>
    </cfRule>
  </conditionalFormatting>
  <conditionalFormatting sqref="C46:C48">
    <cfRule type="containsText" dxfId="884" priority="110" operator="containsText" text="ME">
      <formula>NOT(ISERROR(SEARCH("ME",C46)))</formula>
    </cfRule>
  </conditionalFormatting>
  <conditionalFormatting sqref="C49">
    <cfRule type="containsText" dxfId="883" priority="108" operator="containsText" text="must">
      <formula>NOT(ISERROR(SEARCH("must",C49)))</formula>
    </cfRule>
    <cfRule type="containsText" dxfId="882" priority="107" operator="containsText" text="can">
      <formula>NOT(ISERROR(SEARCH("can",C49)))</formula>
    </cfRule>
  </conditionalFormatting>
  <conditionalFormatting sqref="C50:C52">
    <cfRule type="containsText" dxfId="881" priority="106" operator="containsText" text="ME">
      <formula>NOT(ISERROR(SEARCH("ME",C50)))</formula>
    </cfRule>
  </conditionalFormatting>
  <conditionalFormatting sqref="C53">
    <cfRule type="containsText" dxfId="880" priority="104" operator="containsText" text="must">
      <formula>NOT(ISERROR(SEARCH("must",C53)))</formula>
    </cfRule>
    <cfRule type="containsText" dxfId="879" priority="103" operator="containsText" text="can">
      <formula>NOT(ISERROR(SEARCH("can",C53)))</formula>
    </cfRule>
  </conditionalFormatting>
  <conditionalFormatting sqref="C54:C56">
    <cfRule type="containsText" dxfId="878" priority="102" operator="containsText" text="ME">
      <formula>NOT(ISERROR(SEARCH("ME",C54)))</formula>
    </cfRule>
  </conditionalFormatting>
  <conditionalFormatting sqref="C57">
    <cfRule type="containsText" dxfId="877" priority="100" operator="containsText" text="must">
      <formula>NOT(ISERROR(SEARCH("must",C57)))</formula>
    </cfRule>
    <cfRule type="containsText" dxfId="876" priority="99" operator="containsText" text="can">
      <formula>NOT(ISERROR(SEARCH("can",C57)))</formula>
    </cfRule>
  </conditionalFormatting>
  <conditionalFormatting sqref="C58:C60">
    <cfRule type="containsText" dxfId="875" priority="98" operator="containsText" text="ME">
      <formula>NOT(ISERROR(SEARCH("ME",C58)))</formula>
    </cfRule>
  </conditionalFormatting>
  <conditionalFormatting sqref="C61">
    <cfRule type="containsText" dxfId="874" priority="96" operator="containsText" text="must">
      <formula>NOT(ISERROR(SEARCH("must",C61)))</formula>
    </cfRule>
    <cfRule type="containsText" dxfId="873" priority="95" operator="containsText" text="can">
      <formula>NOT(ISERROR(SEARCH("can",C61)))</formula>
    </cfRule>
  </conditionalFormatting>
  <conditionalFormatting sqref="C62:C64">
    <cfRule type="containsText" dxfId="872" priority="94" operator="containsText" text="ME">
      <formula>NOT(ISERROR(SEARCH("ME",C62)))</formula>
    </cfRule>
  </conditionalFormatting>
  <conditionalFormatting sqref="C65">
    <cfRule type="containsText" dxfId="871" priority="90" operator="containsText" text="can">
      <formula>NOT(ISERROR(SEARCH("can",C65)))</formula>
    </cfRule>
    <cfRule type="containsText" dxfId="870" priority="91" operator="containsText" text="must">
      <formula>NOT(ISERROR(SEARCH("must",C65)))</formula>
    </cfRule>
  </conditionalFormatting>
  <conditionalFormatting sqref="C66:C68">
    <cfRule type="containsText" dxfId="869" priority="89" operator="containsText" text="ME">
      <formula>NOT(ISERROR(SEARCH("ME",C66)))</formula>
    </cfRule>
  </conditionalFormatting>
  <conditionalFormatting sqref="C69">
    <cfRule type="containsText" dxfId="868" priority="87" operator="containsText" text="must">
      <formula>NOT(ISERROR(SEARCH("must",C69)))</formula>
    </cfRule>
    <cfRule type="containsText" dxfId="867" priority="86" operator="containsText" text="can">
      <formula>NOT(ISERROR(SEARCH("can",C69)))</formula>
    </cfRule>
  </conditionalFormatting>
  <conditionalFormatting sqref="C70:C72">
    <cfRule type="containsText" dxfId="866" priority="85" operator="containsText" text="ME">
      <formula>NOT(ISERROR(SEARCH("ME",C70)))</formula>
    </cfRule>
  </conditionalFormatting>
  <conditionalFormatting sqref="C73">
    <cfRule type="containsText" dxfId="865" priority="82" operator="containsText" text="can">
      <formula>NOT(ISERROR(SEARCH("can",C73)))</formula>
    </cfRule>
    <cfRule type="containsText" dxfId="864" priority="83" operator="containsText" text="must">
      <formula>NOT(ISERROR(SEARCH("must",C73)))</formula>
    </cfRule>
  </conditionalFormatting>
  <conditionalFormatting sqref="C74:C76">
    <cfRule type="containsText" dxfId="863" priority="81" operator="containsText" text="ME">
      <formula>NOT(ISERROR(SEARCH("ME",C74)))</formula>
    </cfRule>
  </conditionalFormatting>
  <conditionalFormatting sqref="C77">
    <cfRule type="containsText" dxfId="862" priority="79" operator="containsText" text="must">
      <formula>NOT(ISERROR(SEARCH("must",C77)))</formula>
    </cfRule>
    <cfRule type="containsText" dxfId="861" priority="78" operator="containsText" text="can">
      <formula>NOT(ISERROR(SEARCH("can",C77)))</formula>
    </cfRule>
  </conditionalFormatting>
  <conditionalFormatting sqref="C78:C80">
    <cfRule type="containsText" dxfId="860" priority="77" operator="containsText" text="ME">
      <formula>NOT(ISERROR(SEARCH("ME",C78)))</formula>
    </cfRule>
  </conditionalFormatting>
  <conditionalFormatting sqref="C81">
    <cfRule type="containsText" dxfId="859" priority="74" operator="containsText" text="must">
      <formula>NOT(ISERROR(SEARCH("must",C81)))</formula>
    </cfRule>
    <cfRule type="containsText" dxfId="858" priority="73" operator="containsText" text="can">
      <formula>NOT(ISERROR(SEARCH("can",C81)))</formula>
    </cfRule>
  </conditionalFormatting>
  <conditionalFormatting sqref="C82:C84">
    <cfRule type="containsText" dxfId="857" priority="72" operator="containsText" text="ME">
      <formula>NOT(ISERROR(SEARCH("ME",C82)))</formula>
    </cfRule>
  </conditionalFormatting>
  <conditionalFormatting sqref="C85">
    <cfRule type="containsText" dxfId="856" priority="69" operator="containsText" text="can">
      <formula>NOT(ISERROR(SEARCH("can",C85)))</formula>
    </cfRule>
    <cfRule type="containsText" dxfId="855" priority="70" operator="containsText" text="must">
      <formula>NOT(ISERROR(SEARCH("must",C85)))</formula>
    </cfRule>
  </conditionalFormatting>
  <conditionalFormatting sqref="C86:C88">
    <cfRule type="containsText" dxfId="854" priority="68" operator="containsText" text="ME">
      <formula>NOT(ISERROR(SEARCH("ME",C86)))</formula>
    </cfRule>
  </conditionalFormatting>
  <conditionalFormatting sqref="C89">
    <cfRule type="containsText" dxfId="853" priority="35" operator="containsText" text="can">
      <formula>NOT(ISERROR(SEARCH("can",C89)))</formula>
    </cfRule>
    <cfRule type="containsText" dxfId="852" priority="36" operator="containsText" text="must">
      <formula>NOT(ISERROR(SEARCH("must",C89)))</formula>
    </cfRule>
  </conditionalFormatting>
  <conditionalFormatting sqref="C90:C92">
    <cfRule type="containsText" dxfId="851" priority="28" operator="containsText" text="ME">
      <formula>NOT(ISERROR(SEARCH("ME",C90)))</formula>
    </cfRule>
  </conditionalFormatting>
  <conditionalFormatting sqref="C93">
    <cfRule type="containsText" dxfId="850" priority="34" operator="containsText" text="must">
      <formula>NOT(ISERROR(SEARCH("must",C93)))</formula>
    </cfRule>
    <cfRule type="containsText" dxfId="849" priority="33" operator="containsText" text="can">
      <formula>NOT(ISERROR(SEARCH("can",C93)))</formula>
    </cfRule>
  </conditionalFormatting>
  <conditionalFormatting sqref="C94:C96">
    <cfRule type="containsText" dxfId="848" priority="38" operator="containsText" text="ME">
      <formula>NOT(ISERROR(SEARCH("ME",C94)))</formula>
    </cfRule>
  </conditionalFormatting>
  <conditionalFormatting sqref="C97">
    <cfRule type="containsText" dxfId="847" priority="32" operator="containsText" text="must">
      <formula>NOT(ISERROR(SEARCH("must",C97)))</formula>
    </cfRule>
    <cfRule type="containsText" dxfId="846" priority="31" operator="containsText" text="can">
      <formula>NOT(ISERROR(SEARCH("can",C97)))</formula>
    </cfRule>
  </conditionalFormatting>
  <conditionalFormatting sqref="C98:C100">
    <cfRule type="containsText" dxfId="845" priority="55" operator="containsText" text="ME">
      <formula>NOT(ISERROR(SEARCH("ME",C98)))</formula>
    </cfRule>
  </conditionalFormatting>
  <conditionalFormatting sqref="C101">
    <cfRule type="containsText" dxfId="844" priority="29" operator="containsText" text="can">
      <formula>NOT(ISERROR(SEARCH("can",C101)))</formula>
    </cfRule>
    <cfRule type="containsText" dxfId="843" priority="30" operator="containsText" text="must">
      <formula>NOT(ISERROR(SEARCH("must",C101)))</formula>
    </cfRule>
  </conditionalFormatting>
  <conditionalFormatting sqref="C102:C104">
    <cfRule type="containsText" dxfId="842" priority="51" operator="containsText" text="ME">
      <formula>NOT(ISERROR(SEARCH("ME",C102)))</formula>
    </cfRule>
  </conditionalFormatting>
  <conditionalFormatting sqref="C105">
    <cfRule type="containsText" dxfId="841" priority="22" operator="containsText" text="must">
      <formula>NOT(ISERROR(SEARCH("must",C105)))</formula>
    </cfRule>
    <cfRule type="containsText" dxfId="840" priority="21" operator="containsText" text="can">
      <formula>NOT(ISERROR(SEARCH("can",C105)))</formula>
    </cfRule>
  </conditionalFormatting>
  <conditionalFormatting sqref="C106:C108">
    <cfRule type="containsText" dxfId="839" priority="26" operator="containsText" text="ME">
      <formula>NOT(ISERROR(SEARCH("ME",C106)))</formula>
    </cfRule>
  </conditionalFormatting>
  <conditionalFormatting sqref="C109">
    <cfRule type="containsText" dxfId="838" priority="20" operator="containsText" text="must">
      <formula>NOT(ISERROR(SEARCH("must",C109)))</formula>
    </cfRule>
    <cfRule type="containsText" dxfId="837" priority="19" operator="containsText" text="can">
      <formula>NOT(ISERROR(SEARCH("can",C109)))</formula>
    </cfRule>
  </conditionalFormatting>
  <conditionalFormatting sqref="C110:C112">
    <cfRule type="containsText" dxfId="836" priority="24" operator="containsText" text="ME">
      <formula>NOT(ISERROR(SEARCH("ME",C110)))</formula>
    </cfRule>
  </conditionalFormatting>
  <conditionalFormatting sqref="C113">
    <cfRule type="containsText" dxfId="835" priority="13" operator="containsText" text="must">
      <formula>NOT(ISERROR(SEARCH("must",C113)))</formula>
    </cfRule>
    <cfRule type="containsText" dxfId="834" priority="12" operator="containsText" text="can">
      <formula>NOT(ISERROR(SEARCH("can",C113)))</formula>
    </cfRule>
  </conditionalFormatting>
  <conditionalFormatting sqref="C114:C116">
    <cfRule type="containsText" dxfId="833" priority="17" operator="containsText" text="ME">
      <formula>NOT(ISERROR(SEARCH("ME",C114)))</formula>
    </cfRule>
  </conditionalFormatting>
  <conditionalFormatting sqref="C117">
    <cfRule type="containsText" dxfId="832" priority="11" operator="containsText" text="must">
      <formula>NOT(ISERROR(SEARCH("must",C117)))</formula>
    </cfRule>
    <cfRule type="containsText" dxfId="831" priority="10" operator="containsText" text="can">
      <formula>NOT(ISERROR(SEARCH("can",C117)))</formula>
    </cfRule>
  </conditionalFormatting>
  <conditionalFormatting sqref="C118:C120">
    <cfRule type="containsText" dxfId="830" priority="15" operator="containsText" text="ME">
      <formula>NOT(ISERROR(SEARCH("ME",C118)))</formula>
    </cfRule>
  </conditionalFormatting>
  <conditionalFormatting sqref="C121">
    <cfRule type="containsText" dxfId="829" priority="4" operator="containsText" text="must">
      <formula>NOT(ISERROR(SEARCH("must",C121)))</formula>
    </cfRule>
    <cfRule type="containsText" dxfId="828" priority="3" operator="containsText" text="can">
      <formula>NOT(ISERROR(SEARCH("can",C121)))</formula>
    </cfRule>
  </conditionalFormatting>
  <conditionalFormatting sqref="C122:C124">
    <cfRule type="containsText" dxfId="827" priority="8" operator="containsText" text="ME">
      <formula>NOT(ISERROR(SEARCH("ME",C122)))</formula>
    </cfRule>
  </conditionalFormatting>
  <conditionalFormatting sqref="C125">
    <cfRule type="containsText" dxfId="826" priority="1" operator="containsText" text="can">
      <formula>NOT(ISERROR(SEARCH("can",C125)))</formula>
    </cfRule>
    <cfRule type="containsText" dxfId="825" priority="2" operator="containsText" text="must">
      <formula>NOT(ISERROR(SEARCH("must",C125)))</formula>
    </cfRule>
  </conditionalFormatting>
  <conditionalFormatting sqref="C126:C128">
    <cfRule type="containsText" dxfId="824" priority="6" operator="containsText" text="ME">
      <formula>NOT(ISERROR(SEARCH("ME",C126)))</formula>
    </cfRule>
  </conditionalFormatting>
  <conditionalFormatting sqref="J5">
    <cfRule type="cellIs" dxfId="823" priority="155" operator="equal">
      <formula>"ME"</formula>
    </cfRule>
  </conditionalFormatting>
  <conditionalFormatting sqref="J9">
    <cfRule type="cellIs" dxfId="822" priority="151" operator="equal">
      <formula>"ME"</formula>
    </cfRule>
  </conditionalFormatting>
  <conditionalFormatting sqref="J13">
    <cfRule type="cellIs" dxfId="821" priority="146" operator="equal">
      <formula>"ME"</formula>
    </cfRule>
  </conditionalFormatting>
  <conditionalFormatting sqref="J17">
    <cfRule type="cellIs" dxfId="820" priority="141" operator="equal">
      <formula>"ME"</formula>
    </cfRule>
  </conditionalFormatting>
  <conditionalFormatting sqref="J21">
    <cfRule type="cellIs" dxfId="819" priority="137" operator="equal">
      <formula>"ME"</formula>
    </cfRule>
  </conditionalFormatting>
  <conditionalFormatting sqref="J25">
    <cfRule type="cellIs" dxfId="818" priority="133" operator="equal">
      <formula>"ME"</formula>
    </cfRule>
  </conditionalFormatting>
  <conditionalFormatting sqref="J29">
    <cfRule type="cellIs" dxfId="817" priority="129" operator="equal">
      <formula>"ME"</formula>
    </cfRule>
  </conditionalFormatting>
  <conditionalFormatting sqref="J33">
    <cfRule type="cellIs" dxfId="816" priority="125" operator="equal">
      <formula>"ME"</formula>
    </cfRule>
  </conditionalFormatting>
  <conditionalFormatting sqref="J37">
    <cfRule type="cellIs" dxfId="815" priority="121" operator="equal">
      <formula>"ME"</formula>
    </cfRule>
  </conditionalFormatting>
  <conditionalFormatting sqref="J41">
    <cfRule type="cellIs" dxfId="814" priority="117" operator="equal">
      <formula>"ME"</formula>
    </cfRule>
  </conditionalFormatting>
  <conditionalFormatting sqref="J45">
    <cfRule type="cellIs" dxfId="813" priority="113" operator="equal">
      <formula>"ME"</formula>
    </cfRule>
  </conditionalFormatting>
  <conditionalFormatting sqref="J49">
    <cfRule type="cellIs" dxfId="812" priority="109" operator="equal">
      <formula>"ME"</formula>
    </cfRule>
  </conditionalFormatting>
  <conditionalFormatting sqref="J53">
    <cfRule type="cellIs" dxfId="811" priority="105" operator="equal">
      <formula>"ME"</formula>
    </cfRule>
  </conditionalFormatting>
  <conditionalFormatting sqref="J57">
    <cfRule type="cellIs" dxfId="810" priority="101" operator="equal">
      <formula>"ME"</formula>
    </cfRule>
  </conditionalFormatting>
  <conditionalFormatting sqref="J61">
    <cfRule type="cellIs" dxfId="809" priority="97" operator="equal">
      <formula>"ME"</formula>
    </cfRule>
  </conditionalFormatting>
  <conditionalFormatting sqref="J65">
    <cfRule type="cellIs" dxfId="808" priority="92" operator="equal">
      <formula>"ME"</formula>
    </cfRule>
  </conditionalFormatting>
  <conditionalFormatting sqref="J69">
    <cfRule type="cellIs" dxfId="807" priority="88" operator="equal">
      <formula>"ME"</formula>
    </cfRule>
  </conditionalFormatting>
  <conditionalFormatting sqref="J73">
    <cfRule type="cellIs" dxfId="806" priority="84" operator="equal">
      <formula>"ME"</formula>
    </cfRule>
  </conditionalFormatting>
  <conditionalFormatting sqref="J77">
    <cfRule type="cellIs" dxfId="805" priority="80" operator="equal">
      <formula>"ME"</formula>
    </cfRule>
  </conditionalFormatting>
  <conditionalFormatting sqref="J81">
    <cfRule type="cellIs" dxfId="804" priority="75" operator="equal">
      <formula>"ME"</formula>
    </cfRule>
  </conditionalFormatting>
  <conditionalFormatting sqref="J85">
    <cfRule type="cellIs" dxfId="803" priority="71" operator="equal">
      <formula>"ME"</formula>
    </cfRule>
  </conditionalFormatting>
  <conditionalFormatting sqref="J89">
    <cfRule type="cellIs" dxfId="802" priority="44" operator="equal">
      <formula>"ME"</formula>
    </cfRule>
  </conditionalFormatting>
  <conditionalFormatting sqref="J93">
    <cfRule type="cellIs" dxfId="801" priority="41" operator="equal">
      <formula>"ME"</formula>
    </cfRule>
  </conditionalFormatting>
  <conditionalFormatting sqref="J97">
    <cfRule type="cellIs" dxfId="800" priority="58" operator="equal">
      <formula>"ME"</formula>
    </cfRule>
  </conditionalFormatting>
  <conditionalFormatting sqref="J101">
    <cfRule type="cellIs" dxfId="799" priority="54" operator="equal">
      <formula>"ME"</formula>
    </cfRule>
  </conditionalFormatting>
  <conditionalFormatting sqref="J105">
    <cfRule type="cellIs" dxfId="798" priority="27" operator="equal">
      <formula>"ME"</formula>
    </cfRule>
  </conditionalFormatting>
  <conditionalFormatting sqref="J109">
    <cfRule type="cellIs" dxfId="797" priority="25" operator="equal">
      <formula>"ME"</formula>
    </cfRule>
  </conditionalFormatting>
  <conditionalFormatting sqref="J113">
    <cfRule type="cellIs" dxfId="796" priority="18" operator="equal">
      <formula>"ME"</formula>
    </cfRule>
  </conditionalFormatting>
  <conditionalFormatting sqref="J117">
    <cfRule type="cellIs" dxfId="795" priority="16" operator="equal">
      <formula>"ME"</formula>
    </cfRule>
  </conditionalFormatting>
  <conditionalFormatting sqref="J121">
    <cfRule type="cellIs" dxfId="794" priority="9" operator="equal">
      <formula>"ME"</formula>
    </cfRule>
  </conditionalFormatting>
  <conditionalFormatting sqref="J125">
    <cfRule type="cellIs" dxfId="793" priority="7" operator="equal">
      <formula>"ME"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7EFE-1598-B44D-9842-6F6B32F60F04}">
  <sheetPr>
    <tabColor theme="0"/>
  </sheetPr>
  <dimension ref="A1:S129"/>
  <sheetViews>
    <sheetView zoomScale="85" zoomScaleNormal="85" workbookViewId="0">
      <pane xSplit="1" ySplit="4" topLeftCell="B82" activePane="bottomRight" state="frozen"/>
      <selection pane="bottomLeft" activeCell="A5" sqref="A5"/>
      <selection pane="topRight" activeCell="B1" sqref="B1"/>
      <selection pane="bottomRight" activeCell="I3" sqref="I3"/>
    </sheetView>
  </sheetViews>
  <sheetFormatPr defaultColWidth="8.91015625" defaultRowHeight="16.5" x14ac:dyDescent="0.25"/>
  <cols>
    <col min="1" max="1" width="3.7109375" customWidth="1"/>
    <col min="2" max="2" width="12.87109375" style="140" bestFit="1" customWidth="1"/>
    <col min="3" max="3" width="10.0234375" bestFit="1" customWidth="1"/>
    <col min="4" max="4" width="14.9765625" bestFit="1" customWidth="1"/>
    <col min="5" max="5" width="10.76953125" bestFit="1" customWidth="1"/>
    <col min="6" max="6" width="6.0625" bestFit="1" customWidth="1"/>
    <col min="7" max="7" width="10.76953125" bestFit="1" customWidth="1"/>
    <col min="8" max="10" width="5.4453125" bestFit="1" customWidth="1"/>
    <col min="11" max="11" width="5.07421875" hidden="1" customWidth="1"/>
    <col min="12" max="12" width="7.55078125" hidden="1" customWidth="1"/>
    <col min="13" max="13" width="6.1875" hidden="1" customWidth="1"/>
    <col min="14" max="15" width="7.42578125" hidden="1" customWidth="1"/>
    <col min="16" max="16" width="6.0625" customWidth="1"/>
    <col min="17" max="17" width="3.21484375" customWidth="1"/>
    <col min="18" max="19" width="4.20703125" customWidth="1"/>
  </cols>
  <sheetData>
    <row r="1" spans="1:19" ht="63" customHeight="1" thickTop="1" thickBot="1" x14ac:dyDescent="0.3">
      <c r="A1">
        <v>5</v>
      </c>
      <c r="B1" s="124" t="s">
        <v>40</v>
      </c>
      <c r="C1" s="125">
        <f>ROUNDDOWN((G1-E1)/7,0)+1</f>
        <v>13</v>
      </c>
      <c r="D1" s="146"/>
      <c r="E1" s="196">
        <v>45641</v>
      </c>
      <c r="F1" s="196"/>
      <c r="G1" s="197">
        <v>45731</v>
      </c>
      <c r="H1" s="197"/>
      <c r="L1" s="75" t="s">
        <v>25</v>
      </c>
      <c r="M1" s="76"/>
    </row>
    <row r="2" spans="1:19" ht="18" thickTop="1" thickBot="1" x14ac:dyDescent="0.3">
      <c r="A2" s="126">
        <f>C1</f>
        <v>13</v>
      </c>
      <c r="B2" s="112" t="s">
        <v>43</v>
      </c>
      <c r="C2" s="80" t="s">
        <v>5</v>
      </c>
      <c r="D2" s="78" t="s">
        <v>11</v>
      </c>
      <c r="E2" s="78" t="s">
        <v>12</v>
      </c>
      <c r="F2" s="110" t="s">
        <v>13</v>
      </c>
      <c r="G2" s="147" t="s">
        <v>5</v>
      </c>
      <c r="H2" s="148" t="s">
        <v>11</v>
      </c>
      <c r="I2" s="148" t="s">
        <v>13</v>
      </c>
      <c r="J2" s="149" t="s">
        <v>14</v>
      </c>
      <c r="L2" s="86" t="s">
        <v>27</v>
      </c>
      <c r="M2" s="81"/>
    </row>
    <row r="3" spans="1:19" ht="18" thickTop="1" thickBot="1" x14ac:dyDescent="0.3">
      <c r="A3" s="129" t="s">
        <v>8</v>
      </c>
      <c r="B3" s="119">
        <v>207.5</v>
      </c>
      <c r="C3" s="85">
        <v>2.5</v>
      </c>
      <c r="D3" s="83">
        <v>100</v>
      </c>
      <c r="E3" s="83">
        <v>100</v>
      </c>
      <c r="F3" s="111">
        <f>MROUND(E3-D3*0.85,C3)</f>
        <v>15</v>
      </c>
      <c r="G3" s="150">
        <v>0.1</v>
      </c>
      <c r="H3" s="151">
        <v>100</v>
      </c>
      <c r="I3" s="151">
        <v>50</v>
      </c>
      <c r="J3" s="152">
        <f>MROUND(H3*0.85+I3,G3)</f>
        <v>135</v>
      </c>
      <c r="L3" s="86" t="s">
        <v>28</v>
      </c>
      <c r="M3" s="87"/>
      <c r="N3" s="120" t="s">
        <v>34</v>
      </c>
      <c r="O3" s="93" t="s">
        <v>35</v>
      </c>
    </row>
    <row r="4" spans="1:19" ht="33.75" thickTop="1" thickBot="1" x14ac:dyDescent="0.3">
      <c r="A4" s="198" t="str">
        <f>A3&amp;" 운동"</f>
        <v>하 운동</v>
      </c>
      <c r="B4" s="199"/>
      <c r="C4" s="199"/>
      <c r="D4" s="199"/>
      <c r="E4" s="199"/>
      <c r="F4" s="199"/>
      <c r="G4" s="200"/>
      <c r="H4" s="200"/>
      <c r="I4" s="200"/>
      <c r="J4" s="200"/>
      <c r="K4" s="199"/>
      <c r="L4" s="128" t="s">
        <v>30</v>
      </c>
      <c r="M4" s="115"/>
      <c r="N4" s="116">
        <v>0.01</v>
      </c>
      <c r="O4" s="122">
        <v>7.0000000000000007E-2</v>
      </c>
    </row>
    <row r="5" spans="1:19" ht="18" customHeight="1" thickTop="1" thickBot="1" x14ac:dyDescent="0.3">
      <c r="A5" s="193">
        <f>IF($M8&lt;IF($A$3="하",$S$8,$S$6),0,IF($M8&gt;IF($A$3="하",$S$7,$S$5),"",A1+1))</f>
        <v>0</v>
      </c>
      <c r="B5" s="141" t="str">
        <f>IF(O6-C8&lt;$A$1," ","MAX to "&amp;MROUND(IF(IF(O6-C8&gt;$A$1,$A$1,O6-C8)&lt;2,I1,I1*(37-IF(O6-C8&gt;$A$1,$A$1,O6-C8))/36),D8))</f>
        <v xml:space="preserve"> </v>
      </c>
      <c r="C5" s="90" t="str">
        <f>IF(O6&lt;=C8,"X",IF(N6&gt;C8,"must ME","can ME"))</f>
        <v>X</v>
      </c>
      <c r="D5" s="131" t="s">
        <v>31</v>
      </c>
      <c r="E5" s="132">
        <v>4</v>
      </c>
      <c r="F5" s="133" t="s">
        <v>32</v>
      </c>
      <c r="G5" s="132">
        <f>IF(F6&gt;=90%,2,IF(F6&gt;=80%,4,IF(F6&gt;=70%,6,6)))</f>
        <v>6</v>
      </c>
      <c r="H5" s="134" t="s">
        <v>2</v>
      </c>
      <c r="I5" s="135">
        <f>K6/(100%-IF($A$3="하",$P$8,$P$6)*K8)/K8</f>
        <v>196.41220374492602</v>
      </c>
      <c r="J5" s="136">
        <f>IF("하"=$A$3,$Q$7,$Q$5)</f>
        <v>20</v>
      </c>
      <c r="K5" s="137" t="s">
        <v>33</v>
      </c>
      <c r="L5" s="75" t="s">
        <v>25</v>
      </c>
      <c r="M5" s="76">
        <f>K6</f>
        <v>2550</v>
      </c>
      <c r="N5" s="74" t="s">
        <v>34</v>
      </c>
      <c r="O5" s="74" t="s">
        <v>35</v>
      </c>
      <c r="P5" s="77" t="s">
        <v>26</v>
      </c>
      <c r="Q5" s="77">
        <v>25</v>
      </c>
      <c r="R5" s="77">
        <v>300</v>
      </c>
      <c r="S5" s="77">
        <f>$A$2*R5/4</f>
        <v>975</v>
      </c>
    </row>
    <row r="6" spans="1:19" ht="18" customHeight="1" thickTop="1" thickBot="1" x14ac:dyDescent="0.3">
      <c r="A6" s="194"/>
      <c r="B6" s="143"/>
      <c r="C6" s="142" t="str">
        <f>IF(B8="","",IF(B6*36/(37-B8)=0,"",B6*36/(37-B8)))</f>
        <v/>
      </c>
      <c r="D6" s="109" t="str">
        <f>B2</f>
        <v>역HBSQ</v>
      </c>
      <c r="E6" s="18">
        <f>IF(C6="",B3,C6)</f>
        <v>207.5</v>
      </c>
      <c r="F6" s="94">
        <f>100%-J5*IF($A$3="하",$P$8,$P$6)</f>
        <v>0.72199999999999998</v>
      </c>
      <c r="G6" s="7">
        <f t="shared" ref="G6:I7" si="0">F6</f>
        <v>0.72199999999999998</v>
      </c>
      <c r="H6" s="7">
        <f t="shared" si="0"/>
        <v>0.72199999999999998</v>
      </c>
      <c r="I6" s="7">
        <f t="shared" si="0"/>
        <v>0.72199999999999998</v>
      </c>
      <c r="J6" s="8">
        <f>I6</f>
        <v>0.72199999999999998</v>
      </c>
      <c r="K6" s="95">
        <f>F7*F8+G7*G8+H7*H8+I7*I8+J7*J8</f>
        <v>2550</v>
      </c>
      <c r="L6" s="86" t="s">
        <v>27</v>
      </c>
      <c r="M6" s="81">
        <f>M5+M2</f>
        <v>2550</v>
      </c>
      <c r="N6" s="90">
        <f>ROUNDDOWN(M4*$N$4,0)</f>
        <v>0</v>
      </c>
      <c r="O6" s="90">
        <f>ROUNDDOWN(M4*$O$4,0)</f>
        <v>0</v>
      </c>
      <c r="P6" s="82">
        <v>1.11E-2</v>
      </c>
      <c r="Q6" s="77">
        <v>25</v>
      </c>
      <c r="R6" s="77">
        <v>200</v>
      </c>
      <c r="S6" s="77">
        <f>$A$2*R6/4</f>
        <v>650</v>
      </c>
    </row>
    <row r="7" spans="1:19" ht="18" customHeight="1" thickTop="1" thickBot="1" x14ac:dyDescent="0.3">
      <c r="A7" s="194"/>
      <c r="B7" s="141" t="str">
        <f>IF(O6-C8&lt;$A$1," ","1~ "&amp;IF(O6-C8&gt;$A$1,$A$1,O6-C8)&amp;" rep")</f>
        <v xml:space="preserve"> </v>
      </c>
      <c r="C7" s="97" t="s">
        <v>37</v>
      </c>
      <c r="D7" s="98" t="s">
        <v>5</v>
      </c>
      <c r="E7" s="5" t="s">
        <v>3</v>
      </c>
      <c r="F7" s="18">
        <f>MROUND(F6*E6,D8)</f>
        <v>150</v>
      </c>
      <c r="G7" s="18">
        <f t="shared" si="0"/>
        <v>150</v>
      </c>
      <c r="H7" s="18">
        <f t="shared" si="0"/>
        <v>150</v>
      </c>
      <c r="I7" s="18">
        <f t="shared" si="0"/>
        <v>150</v>
      </c>
      <c r="J7" s="19">
        <f>I7</f>
        <v>150</v>
      </c>
      <c r="K7" s="74" t="s">
        <v>10</v>
      </c>
      <c r="L7" s="86" t="s">
        <v>28</v>
      </c>
      <c r="M7" s="87">
        <f>K8</f>
        <v>17</v>
      </c>
      <c r="N7" s="93" t="s">
        <v>34</v>
      </c>
      <c r="O7" s="93" t="s">
        <v>35</v>
      </c>
      <c r="P7" s="121" t="s">
        <v>29</v>
      </c>
      <c r="Q7" s="77">
        <v>20</v>
      </c>
      <c r="R7" s="77">
        <v>240</v>
      </c>
      <c r="S7" s="77">
        <f>$A$2*R7/4</f>
        <v>780</v>
      </c>
    </row>
    <row r="8" spans="1:19" ht="18" customHeight="1" thickTop="1" thickBot="1" x14ac:dyDescent="0.3">
      <c r="A8" s="195"/>
      <c r="B8" s="143"/>
      <c r="C8" s="90">
        <f>IF(B6="",C4,IF(C6&lt;=0,C8,C8+B8))</f>
        <v>0</v>
      </c>
      <c r="D8" s="113">
        <v>2.5</v>
      </c>
      <c r="E8" s="13" t="s">
        <v>7</v>
      </c>
      <c r="F8" s="153">
        <f xml:space="preserve"> IF($A$3="하",0,IF(MROUND(J5/5,1)&lt;=G5,IF(MROUND(J5/5,1)&gt;=E5,MROUND(J5/5,1),E5),G5))</f>
        <v>0</v>
      </c>
      <c r="G8" s="154">
        <f>IF(MROUND((J5-F8)/4,1)&lt;=G5,IF(MROUND((J5-F8)/4,1)&gt;=E5,MROUND((J5-F8)/4,1),E5),G5)</f>
        <v>5</v>
      </c>
      <c r="H8" s="154">
        <v>4</v>
      </c>
      <c r="I8" s="154">
        <v>4</v>
      </c>
      <c r="J8" s="155">
        <v>4</v>
      </c>
      <c r="K8" s="101">
        <f>SUM(F8:J8)</f>
        <v>17</v>
      </c>
      <c r="L8" s="88" t="s">
        <v>30</v>
      </c>
      <c r="M8" s="89">
        <f>M7+M4</f>
        <v>17</v>
      </c>
      <c r="N8" s="90">
        <f>ROUNDDOWN((M4+C8+K8)*$N$4,0)</f>
        <v>0</v>
      </c>
      <c r="O8" s="90">
        <f>ROUNDDOWN((M4+K8+C8)*$O$4,0)</f>
        <v>1</v>
      </c>
      <c r="P8" s="117">
        <v>1.3899999999999999E-2</v>
      </c>
      <c r="Q8" s="77">
        <v>20</v>
      </c>
      <c r="R8" s="77">
        <v>160</v>
      </c>
      <c r="S8" s="77">
        <f>$A$2*R8/4</f>
        <v>520</v>
      </c>
    </row>
    <row r="9" spans="1:19" ht="18" customHeight="1" thickTop="1" thickBot="1" x14ac:dyDescent="0.3">
      <c r="A9" s="193">
        <f>IF($M12&lt;IF($A$3="하",$S$8,$S$6),0,IF($M12&gt;IF($A$3="하",$S$7,$S$5),"",MAX(A5+1)))</f>
        <v>0</v>
      </c>
      <c r="B9" s="141" t="str">
        <f>IF(O10-C8&lt;$A$1," ","MAX to "&amp;MROUND(IF(IF(O10-C8&gt;$A$1,$A$1,O10-C8)&lt;2,I5,I5*(37-IF(O10-C8&gt;$A$1,$A$1,O10-C8))/36),D12))</f>
        <v xml:space="preserve"> </v>
      </c>
      <c r="C9" s="90" t="str">
        <f>IF(O10&lt;=C8,"X",IF(N10&gt;C8,"must ME","can ME"))</f>
        <v>can ME</v>
      </c>
      <c r="D9" s="75" t="s">
        <v>31</v>
      </c>
      <c r="E9" s="23">
        <v>4</v>
      </c>
      <c r="F9" s="2">
        <v>1</v>
      </c>
      <c r="G9" s="23">
        <f>IF(F10&gt;=90%,2,IF(F10&gt;=80%,4,IF(F10&gt;=70%,6,6)))</f>
        <v>6</v>
      </c>
      <c r="H9" s="3" t="s">
        <v>2</v>
      </c>
      <c r="I9" s="91">
        <f>K10/(100%-IF($A$3="하",$P$8,$P$6)*K12)/K12</f>
        <v>205.2722558340536</v>
      </c>
      <c r="J9" s="92">
        <f>IF("하"=$A$3,$Q$7,$Q$5)</f>
        <v>20</v>
      </c>
      <c r="K9" s="107" t="s">
        <v>33</v>
      </c>
      <c r="L9" s="75" t="s">
        <v>25</v>
      </c>
      <c r="M9" s="76">
        <f>K10</f>
        <v>3135</v>
      </c>
      <c r="N9" s="93" t="s">
        <v>34</v>
      </c>
      <c r="O9" s="93" t="s">
        <v>35</v>
      </c>
    </row>
    <row r="10" spans="1:19" ht="18" customHeight="1" thickTop="1" thickBot="1" x14ac:dyDescent="0.3">
      <c r="A10" s="194"/>
      <c r="B10" s="143"/>
      <c r="C10" s="142" t="str">
        <f>IF(B12="","",IF(B10*36/(37-B12)=0,"",B10*36/(37-B12)))</f>
        <v/>
      </c>
      <c r="D10" s="109" t="str">
        <f>D6</f>
        <v>역HBSQ</v>
      </c>
      <c r="E10" s="18">
        <f>IF(C10="",I5,C10)</f>
        <v>196.41220374492602</v>
      </c>
      <c r="F10" s="94">
        <f>100%-J9*IF($A$3="하",$P$8,$P$6)</f>
        <v>0.72199999999999998</v>
      </c>
      <c r="G10" s="7">
        <f t="shared" ref="G10:I11" si="1">F10</f>
        <v>0.72199999999999998</v>
      </c>
      <c r="H10" s="7">
        <f t="shared" si="1"/>
        <v>0.72199999999999998</v>
      </c>
      <c r="I10" s="7">
        <f t="shared" si="1"/>
        <v>0.72199999999999998</v>
      </c>
      <c r="J10" s="8">
        <f>I10</f>
        <v>0.72199999999999998</v>
      </c>
      <c r="K10" s="95">
        <f>F11*F12+G11*G12+H11*H12+I11*I12+J11*J12</f>
        <v>3135</v>
      </c>
      <c r="L10" s="86" t="s">
        <v>27</v>
      </c>
      <c r="M10" s="81">
        <f>M9+M6</f>
        <v>5685</v>
      </c>
      <c r="N10" s="90">
        <f>ROUNDDOWN(M8*$N$4,0)</f>
        <v>0</v>
      </c>
      <c r="O10" s="90">
        <f>ROUNDDOWN(M8*$O$4,0)</f>
        <v>1</v>
      </c>
    </row>
    <row r="11" spans="1:19" ht="18" customHeight="1" thickTop="1" thickBot="1" x14ac:dyDescent="0.3">
      <c r="A11" s="194"/>
      <c r="B11" s="141" t="str">
        <f>IF(O10-C8&lt;$A$1," ","1~ "&amp;IF(O10-C8&gt;$A$1,$A$1,O10-C8)&amp;" rep")</f>
        <v xml:space="preserve"> </v>
      </c>
      <c r="C11" s="97" t="s">
        <v>37</v>
      </c>
      <c r="D11" s="98" t="s">
        <v>5</v>
      </c>
      <c r="E11" s="5" t="s">
        <v>3</v>
      </c>
      <c r="F11" s="18">
        <f>MROUND(F10*E10,D12)</f>
        <v>142.5</v>
      </c>
      <c r="G11" s="18">
        <f t="shared" si="1"/>
        <v>142.5</v>
      </c>
      <c r="H11" s="18">
        <f t="shared" si="1"/>
        <v>142.5</v>
      </c>
      <c r="I11" s="18">
        <f t="shared" si="1"/>
        <v>142.5</v>
      </c>
      <c r="J11" s="19">
        <f>I11</f>
        <v>142.5</v>
      </c>
      <c r="K11" s="74" t="s">
        <v>10</v>
      </c>
      <c r="L11" s="86" t="s">
        <v>28</v>
      </c>
      <c r="M11" s="87">
        <f>K12</f>
        <v>22</v>
      </c>
      <c r="N11" s="93" t="s">
        <v>34</v>
      </c>
      <c r="O11" s="93" t="s">
        <v>35</v>
      </c>
    </row>
    <row r="12" spans="1:19" ht="18" customHeight="1" thickTop="1" thickBot="1" x14ac:dyDescent="0.3">
      <c r="A12" s="195"/>
      <c r="B12" s="144"/>
      <c r="C12" s="90">
        <f>IF(B10="",C8,IF(C10&lt;=0,C8,C8+B12))</f>
        <v>0</v>
      </c>
      <c r="D12" s="100">
        <f>D8</f>
        <v>2.5</v>
      </c>
      <c r="E12" s="13" t="s">
        <v>7</v>
      </c>
      <c r="F12" s="153">
        <f xml:space="preserve"> IF($A$3="하",0,IF(MROUND(J9/5,1)&lt;=G9,IF(MROUND(J9/5,1)&gt;=E9,MROUND(J9/5,1),E9),G9))</f>
        <v>0</v>
      </c>
      <c r="G12" s="154">
        <f>IF(MROUND((J9-F12)/4,1)&lt;=G9,IF(MROUND((J9-F12)/4,1)&gt;=E9,MROUND((J9-F12)/4,1),E9),G9)</f>
        <v>5</v>
      </c>
      <c r="H12" s="154">
        <f>IF(MROUND((J9-F12-G12)/3,1)&lt;=G9,IF(MROUND((J9-F12-G12)/3,1)&gt;=E9,MROUND((J9-F12-G12)/3,1),E9),G9)</f>
        <v>5</v>
      </c>
      <c r="I12" s="154">
        <v>6</v>
      </c>
      <c r="J12" s="155">
        <v>6</v>
      </c>
      <c r="K12" s="101">
        <f>SUM(F12:J12)</f>
        <v>22</v>
      </c>
      <c r="L12" s="88" t="s">
        <v>30</v>
      </c>
      <c r="M12" s="89">
        <f>M11+M8</f>
        <v>39</v>
      </c>
      <c r="N12" s="90">
        <f>ROUNDDOWN((M8-C8+C12+K12)*$N$4,0)</f>
        <v>0</v>
      </c>
      <c r="O12" s="90">
        <f>ROUNDDOWN((M8+K12-+C12)*$O$4,0)</f>
        <v>2</v>
      </c>
    </row>
    <row r="13" spans="1:19" ht="18" customHeight="1" thickTop="1" thickBot="1" x14ac:dyDescent="0.3">
      <c r="A13" s="193">
        <f t="shared" ref="A13" si="2">IF($M16&lt;IF($A$3="하",$S$8,$S$6),0,IF($M16&gt;IF($A$3="하",$S$7,$S$5),"",MAX(A9+1)))</f>
        <v>0</v>
      </c>
      <c r="B13" s="141" t="str">
        <f>IF(O14-C12&lt;$A$1," ","MAX to "&amp;MROUND(IF(IF(O14-C12&gt;$A$1,$A$1,O14-C12)&lt;2,I9,I9*(37-IF(O14-C12&gt;$A$1,$A$1,O14-C12))/36),D16))</f>
        <v xml:space="preserve"> </v>
      </c>
      <c r="C13" s="90" t="str">
        <f>IF(O14&lt;=C12,"X",IF(N14&gt;C12,"must ME","can ME"))</f>
        <v>can ME</v>
      </c>
      <c r="D13" s="75" t="s">
        <v>31</v>
      </c>
      <c r="E13" s="23">
        <v>4</v>
      </c>
      <c r="F13" s="2">
        <v>1</v>
      </c>
      <c r="G13" s="23">
        <f>IF(F14&gt;=90%,2,IF(F14&gt;=80%,4,IF(F14&gt;=70%,6,6)))</f>
        <v>6</v>
      </c>
      <c r="H13" s="3" t="s">
        <v>2</v>
      </c>
      <c r="I13" s="91">
        <f>K14/(100%-IF($A$3="하",$P$8,$P$6)*K16)/K16</f>
        <v>208.30391187685356</v>
      </c>
      <c r="J13" s="92">
        <f>IF("하"=$A$3,$Q$7,$Q$5)</f>
        <v>20</v>
      </c>
      <c r="K13" s="107" t="s">
        <v>33</v>
      </c>
      <c r="L13" s="75" t="s">
        <v>25</v>
      </c>
      <c r="M13" s="76">
        <f>K14</f>
        <v>3097.5</v>
      </c>
      <c r="N13" s="93" t="s">
        <v>34</v>
      </c>
      <c r="O13" s="93" t="s">
        <v>35</v>
      </c>
    </row>
    <row r="14" spans="1:19" ht="18" customHeight="1" thickTop="1" thickBot="1" x14ac:dyDescent="0.3">
      <c r="A14" s="194"/>
      <c r="B14" s="143"/>
      <c r="C14" s="142" t="str">
        <f>IF(B16="","",IF(B14*36/(37-B16)=0,"",B14*36/(37-B16)))</f>
        <v/>
      </c>
      <c r="D14" s="109" t="str">
        <f>D10</f>
        <v>역HBSQ</v>
      </c>
      <c r="E14" s="18">
        <f>IF(C14="",I9,C14)</f>
        <v>205.2722558340536</v>
      </c>
      <c r="F14" s="94">
        <f>100%-J13*IF($A$3="하",$P$8,$P$6)</f>
        <v>0.72199999999999998</v>
      </c>
      <c r="G14" s="7">
        <f t="shared" ref="G14:I15" si="3">F14</f>
        <v>0.72199999999999998</v>
      </c>
      <c r="H14" s="7">
        <f t="shared" si="3"/>
        <v>0.72199999999999998</v>
      </c>
      <c r="I14" s="7">
        <f t="shared" si="3"/>
        <v>0.72199999999999998</v>
      </c>
      <c r="J14" s="8">
        <f>I14</f>
        <v>0.72199999999999998</v>
      </c>
      <c r="K14" s="95">
        <f>F15*F16+G15*G16+H15*H16+I15*I16+J15*J16</f>
        <v>3097.5</v>
      </c>
      <c r="L14" s="86" t="s">
        <v>27</v>
      </c>
      <c r="M14" s="81">
        <f>M13+M10</f>
        <v>8782.5</v>
      </c>
      <c r="N14" s="90">
        <f>ROUNDDOWN(M12*$N$4,0)</f>
        <v>0</v>
      </c>
      <c r="O14" s="90">
        <f>ROUNDDOWN(M12*$O$4,0)</f>
        <v>2</v>
      </c>
    </row>
    <row r="15" spans="1:19" ht="18" customHeight="1" thickTop="1" thickBot="1" x14ac:dyDescent="0.3">
      <c r="A15" s="194"/>
      <c r="B15" s="141" t="str">
        <f>IF(O14-C12&lt;$A$1," ","1~ "&amp;IF(O14-C12&gt;$A$1,$A$1,O14-C12)&amp;" rep")</f>
        <v xml:space="preserve"> </v>
      </c>
      <c r="C15" s="97" t="s">
        <v>37</v>
      </c>
      <c r="D15" s="98" t="s">
        <v>5</v>
      </c>
      <c r="E15" s="5" t="s">
        <v>3</v>
      </c>
      <c r="F15" s="18">
        <f>MROUND(F14*E14,D16)</f>
        <v>147.5</v>
      </c>
      <c r="G15" s="18">
        <f t="shared" si="3"/>
        <v>147.5</v>
      </c>
      <c r="H15" s="18">
        <f t="shared" si="3"/>
        <v>147.5</v>
      </c>
      <c r="I15" s="18">
        <f t="shared" si="3"/>
        <v>147.5</v>
      </c>
      <c r="J15" s="19">
        <f>I15</f>
        <v>147.5</v>
      </c>
      <c r="K15" s="74" t="s">
        <v>10</v>
      </c>
      <c r="L15" s="86" t="s">
        <v>28</v>
      </c>
      <c r="M15" s="87">
        <f>K16</f>
        <v>21</v>
      </c>
      <c r="N15" s="93" t="s">
        <v>34</v>
      </c>
      <c r="O15" s="93" t="s">
        <v>35</v>
      </c>
    </row>
    <row r="16" spans="1:19" ht="18" customHeight="1" thickTop="1" thickBot="1" x14ac:dyDescent="0.3">
      <c r="A16" s="195"/>
      <c r="B16" s="144"/>
      <c r="C16" s="90">
        <f>IF(B14="",C12,IF(C14&lt;=0,C12,C12+B16))</f>
        <v>0</v>
      </c>
      <c r="D16" s="100">
        <f>D12</f>
        <v>2.5</v>
      </c>
      <c r="E16" s="13" t="s">
        <v>7</v>
      </c>
      <c r="F16" s="153">
        <f xml:space="preserve"> IF($A$3="하",0,IF(MROUND(J13/5,1)&lt;=G13,IF(MROUND(J13/5,1)&gt;=E13,MROUND(J13/5,1),E13),G13))</f>
        <v>0</v>
      </c>
      <c r="G16" s="154">
        <v>6</v>
      </c>
      <c r="H16" s="154">
        <v>6</v>
      </c>
      <c r="I16" s="154">
        <f>IF(MROUND((J13-F16-G16-H16)/2,1)&lt;=G13,IF((J13-F16-G16-H16)/2&gt;=E13,MROUND((J13-F16-G16-H16)/2,1),J13-F16-G16-H16),G13)</f>
        <v>4</v>
      </c>
      <c r="J16" s="155">
        <v>5</v>
      </c>
      <c r="K16" s="101">
        <f>SUM(F16:J16)</f>
        <v>21</v>
      </c>
      <c r="L16" s="88" t="s">
        <v>30</v>
      </c>
      <c r="M16" s="89">
        <f>M15+M12</f>
        <v>60</v>
      </c>
      <c r="N16" s="90">
        <f>ROUNDDOWN((M12-C12+C16+K16)*$N$4,0)</f>
        <v>0</v>
      </c>
      <c r="O16" s="90">
        <f>ROUNDDOWN((M12+K16-+C16)*$O$4,0)</f>
        <v>4</v>
      </c>
    </row>
    <row r="17" spans="1:15" ht="18" customHeight="1" thickTop="1" thickBot="1" x14ac:dyDescent="0.3">
      <c r="A17" s="193">
        <f t="shared" ref="A17" si="4">IF($M20&lt;IF($A$3="하",$S$8,$S$6),0,IF($M20&gt;IF($A$3="하",$S$7,$S$5),"",MAX(A13+1)))</f>
        <v>0</v>
      </c>
      <c r="B17" s="141" t="str">
        <f>IF(O18-C16&lt;$A$1," ","MAX to "&amp;MROUND(IF(IF(O18-C16&gt;$A$1,$A$1,O18-C16)&lt;2,I13,I13*(37-IF(O18-C16&gt;$A$1,$A$1,O18-C16))/36),D20))</f>
        <v xml:space="preserve"> </v>
      </c>
      <c r="C17" s="90" t="str">
        <f>IF(O18&lt;=C16,"X",IF(N18&gt;C16,"must ME","can ME"))</f>
        <v>can ME</v>
      </c>
      <c r="D17" s="75" t="s">
        <v>31</v>
      </c>
      <c r="E17" s="23">
        <v>4</v>
      </c>
      <c r="F17" s="2">
        <v>1</v>
      </c>
      <c r="G17" s="23">
        <f>IF(F18&gt;=90%,2,IF(F18&gt;=80%,4,IF(F18&gt;=70%,6,6)))</f>
        <v>6</v>
      </c>
      <c r="H17" s="3" t="s">
        <v>2</v>
      </c>
      <c r="I17" s="91">
        <f>K18/(100%-IF($A$3="하",$P$8,$P$6)*K20)/K20</f>
        <v>207.75623268698064</v>
      </c>
      <c r="J17" s="92">
        <f>IF("하"=$A$3,$Q$7,$Q$5)</f>
        <v>20</v>
      </c>
      <c r="K17" s="107" t="s">
        <v>33</v>
      </c>
      <c r="L17" s="75" t="s">
        <v>25</v>
      </c>
      <c r="M17" s="76">
        <f>K18</f>
        <v>3000</v>
      </c>
      <c r="N17" s="93" t="s">
        <v>34</v>
      </c>
      <c r="O17" s="93" t="s">
        <v>35</v>
      </c>
    </row>
    <row r="18" spans="1:15" ht="18" customHeight="1" thickTop="1" thickBot="1" x14ac:dyDescent="0.3">
      <c r="A18" s="194"/>
      <c r="B18" s="143"/>
      <c r="C18" s="142" t="str">
        <f>IF(B20="","",IF(B18*36/(37-B20)=0,"",B18*36/(37-B20)))</f>
        <v/>
      </c>
      <c r="D18" s="109" t="str">
        <f>D14</f>
        <v>역HBSQ</v>
      </c>
      <c r="E18" s="18">
        <f>IF(C18="",I13,C18)</f>
        <v>208.30391187685356</v>
      </c>
      <c r="F18" s="94">
        <f>100%-J17*IF($A$3="하",$P$8,$P$6)</f>
        <v>0.72199999999999998</v>
      </c>
      <c r="G18" s="7">
        <f t="shared" ref="G18:I19" si="5">F18</f>
        <v>0.72199999999999998</v>
      </c>
      <c r="H18" s="7">
        <f t="shared" si="5"/>
        <v>0.72199999999999998</v>
      </c>
      <c r="I18" s="7">
        <f t="shared" si="5"/>
        <v>0.72199999999999998</v>
      </c>
      <c r="J18" s="8">
        <f>I18</f>
        <v>0.72199999999999998</v>
      </c>
      <c r="K18" s="95">
        <f>F19*F20+G19*G20+H19*H20+I19*I20+J19*J20</f>
        <v>3000</v>
      </c>
      <c r="L18" s="86" t="s">
        <v>27</v>
      </c>
      <c r="M18" s="81">
        <f>M17+M14</f>
        <v>11782.5</v>
      </c>
      <c r="N18" s="90">
        <f>ROUNDDOWN(M16*$N$4,0)</f>
        <v>0</v>
      </c>
      <c r="O18" s="90">
        <f>ROUNDDOWN(M16*$O$4,0)</f>
        <v>4</v>
      </c>
    </row>
    <row r="19" spans="1:15" ht="18" customHeight="1" thickTop="1" thickBot="1" x14ac:dyDescent="0.3">
      <c r="A19" s="194"/>
      <c r="B19" s="141" t="str">
        <f>IF(O18-C16&lt;$A$1," ","1~ "&amp;IF(O18-C16&gt;$A$1,$A$1,O18-C16)&amp;" rep")</f>
        <v xml:space="preserve"> </v>
      </c>
      <c r="C19" s="97" t="s">
        <v>37</v>
      </c>
      <c r="D19" s="98" t="s">
        <v>5</v>
      </c>
      <c r="E19" s="5" t="s">
        <v>3</v>
      </c>
      <c r="F19" s="18">
        <f>MROUND(F18*E18,D20)</f>
        <v>150</v>
      </c>
      <c r="G19" s="18">
        <f t="shared" si="5"/>
        <v>150</v>
      </c>
      <c r="H19" s="18">
        <f t="shared" si="5"/>
        <v>150</v>
      </c>
      <c r="I19" s="18">
        <f t="shared" si="5"/>
        <v>150</v>
      </c>
      <c r="J19" s="19">
        <f>I19</f>
        <v>150</v>
      </c>
      <c r="K19" s="74" t="s">
        <v>10</v>
      </c>
      <c r="L19" s="86" t="s">
        <v>28</v>
      </c>
      <c r="M19" s="87">
        <f>K20</f>
        <v>20</v>
      </c>
      <c r="N19" s="93" t="s">
        <v>34</v>
      </c>
      <c r="O19" s="93" t="s">
        <v>35</v>
      </c>
    </row>
    <row r="20" spans="1:15" ht="18" customHeight="1" thickTop="1" thickBot="1" x14ac:dyDescent="0.3">
      <c r="A20" s="195"/>
      <c r="B20" s="144"/>
      <c r="C20" s="90">
        <f>IF(B18="",C16,IF(C18&lt;=0,C16,C16+B20))</f>
        <v>0</v>
      </c>
      <c r="D20" s="100">
        <f>D16</f>
        <v>2.5</v>
      </c>
      <c r="E20" s="13" t="s">
        <v>7</v>
      </c>
      <c r="F20" s="153">
        <f xml:space="preserve"> IF($A$3="하",0,IF(MROUND(J17/5,1)&lt;=G17,IF(MROUND(J17/5,1)&gt;=E17,MROUND(J17/5,1),E17),G17))</f>
        <v>0</v>
      </c>
      <c r="G20" s="154">
        <f>IF(MROUND((J17-F20)/4,1)&lt;=G17,IF(MROUND((J17-F20)/4,1)&gt;=E17,MROUND((J17-F20)/4,1),E17),G17)</f>
        <v>5</v>
      </c>
      <c r="H20" s="154">
        <f>IF(MROUND((J17-F20-G20)/3,1)&lt;=G17,IF(MROUND((J17-F20-G20)/3,1)&gt;=E17,MROUND((J17-F20-G20)/3,1),E17),G17)</f>
        <v>5</v>
      </c>
      <c r="I20" s="154">
        <f>IF(MROUND((J17-F20-G20-H20)/2,1)&lt;=G17,IF((J17-F20-G20-H20)/2&gt;=E17,MROUND((J17-F20-G20-H20)/2,1),J17-F20-G20-H20),G17)</f>
        <v>5</v>
      </c>
      <c r="J20" s="155">
        <f>IF((J17-(F20+G20+H20+I20))&gt;0,(J17-(F20+G20+H20+I20)),0)</f>
        <v>5</v>
      </c>
      <c r="K20" s="101">
        <f>SUM(F20:J20)</f>
        <v>20</v>
      </c>
      <c r="L20" s="88" t="s">
        <v>30</v>
      </c>
      <c r="M20" s="89">
        <f>M19+M16</f>
        <v>80</v>
      </c>
      <c r="N20" s="90">
        <f>ROUNDDOWN((M16-C16+C20+K20)*$N$4,0)</f>
        <v>0</v>
      </c>
      <c r="O20" s="90">
        <f>ROUNDDOWN((M16+K20-+C20)*$O$4,0)</f>
        <v>5</v>
      </c>
    </row>
    <row r="21" spans="1:15" ht="18" customHeight="1" thickTop="1" thickBot="1" x14ac:dyDescent="0.3">
      <c r="A21" s="193">
        <f>IF($M24&lt;IF($A$3="하",$S$8,$S$6),0,IF($M24&gt;IF($A$3="하",$S$7,$S$5),"",MAX(A17+1)))</f>
        <v>0</v>
      </c>
      <c r="B21" s="141" t="str">
        <f>IF(O22-C20&lt;$A$1," ","MAX to "&amp;MROUND(IF(IF(O22-C20&gt;$A$1,$A$1,O22-C20)&lt;2,I17,I17*(37-IF(O22-C20&gt;$A$1,$A$1,O22-C20))/36),D24))</f>
        <v>MAX to 185</v>
      </c>
      <c r="C21" s="90" t="str">
        <f>IF(O22&lt;=C20,"X",IF(N22&gt;C20,"must ME","can ME"))</f>
        <v>can ME</v>
      </c>
      <c r="D21" s="75" t="s">
        <v>31</v>
      </c>
      <c r="E21" s="23">
        <v>4</v>
      </c>
      <c r="F21" s="2">
        <v>1</v>
      </c>
      <c r="G21" s="23">
        <f>IF(F22&gt;=90%,2,IF(F22&gt;=80%,4,IF(F22&gt;=70%,6,6)))</f>
        <v>6</v>
      </c>
      <c r="H21" s="3" t="s">
        <v>2</v>
      </c>
      <c r="I21" s="91">
        <f>K22/(100%-IF($A$3="하",$P$8,$P$6)*K24)/K24</f>
        <v>198.82953181272509</v>
      </c>
      <c r="J21" s="92">
        <f>IF("하"=$A$3,$Q$7,$Q$5)</f>
        <v>20</v>
      </c>
      <c r="K21" s="107" t="s">
        <v>33</v>
      </c>
      <c r="L21" s="75" t="s">
        <v>25</v>
      </c>
      <c r="M21" s="76">
        <f>K22</f>
        <v>3180</v>
      </c>
      <c r="N21" s="93" t="s">
        <v>34</v>
      </c>
      <c r="O21" s="93" t="s">
        <v>35</v>
      </c>
    </row>
    <row r="22" spans="1:15" ht="18" customHeight="1" thickTop="1" thickBot="1" x14ac:dyDescent="0.3">
      <c r="A22" s="194"/>
      <c r="B22" s="143">
        <v>185</v>
      </c>
      <c r="C22" s="142">
        <f>IF(B24="","",IF(B22*36/(37-B24)=0,"",B22*36/(37-B24)))</f>
        <v>185</v>
      </c>
      <c r="D22" s="109" t="str">
        <f>D18</f>
        <v>역HBSQ</v>
      </c>
      <c r="E22" s="18">
        <f>IF(C22="",I17,C22)</f>
        <v>185</v>
      </c>
      <c r="F22" s="94">
        <f>100%-J21*IF($A$3="하",$P$8,$P$6)</f>
        <v>0.72199999999999998</v>
      </c>
      <c r="G22" s="7">
        <f t="shared" ref="G22:I23" si="6">F22</f>
        <v>0.72199999999999998</v>
      </c>
      <c r="H22" s="7">
        <f t="shared" si="6"/>
        <v>0.72199999999999998</v>
      </c>
      <c r="I22" s="7">
        <f t="shared" si="6"/>
        <v>0.72199999999999998</v>
      </c>
      <c r="J22" s="8">
        <f>I22</f>
        <v>0.72199999999999998</v>
      </c>
      <c r="K22" s="95">
        <f>F23*F24+G23*G24+H23*H24+I23*I24+J23*J24</f>
        <v>3180</v>
      </c>
      <c r="L22" s="86" t="s">
        <v>27</v>
      </c>
      <c r="M22" s="81">
        <f>M21+M18</f>
        <v>14962.5</v>
      </c>
      <c r="N22" s="90">
        <f>ROUNDDOWN(M20*$N$4,0)</f>
        <v>0</v>
      </c>
      <c r="O22" s="90">
        <f>ROUNDDOWN(M20*$O$4,0)</f>
        <v>5</v>
      </c>
    </row>
    <row r="23" spans="1:15" ht="18" customHeight="1" thickTop="1" thickBot="1" x14ac:dyDescent="0.3">
      <c r="A23" s="194"/>
      <c r="B23" s="141" t="str">
        <f>IF(O22-C20&lt;$A$1," ","1~ "&amp;IF(O22-C20&gt;$A$1,$A$1,O22-C20)&amp;" rep")</f>
        <v>1~ 5 rep</v>
      </c>
      <c r="C23" s="97" t="s">
        <v>37</v>
      </c>
      <c r="D23" s="98" t="s">
        <v>5</v>
      </c>
      <c r="E23" s="5" t="s">
        <v>3</v>
      </c>
      <c r="F23" s="18">
        <f>MROUND(F22*E22,D24)</f>
        <v>132.5</v>
      </c>
      <c r="G23" s="18">
        <f t="shared" si="6"/>
        <v>132.5</v>
      </c>
      <c r="H23" s="18">
        <f t="shared" si="6"/>
        <v>132.5</v>
      </c>
      <c r="I23" s="18">
        <f t="shared" si="6"/>
        <v>132.5</v>
      </c>
      <c r="J23" s="19">
        <f>I23</f>
        <v>132.5</v>
      </c>
      <c r="K23" s="74" t="s">
        <v>10</v>
      </c>
      <c r="L23" s="86" t="s">
        <v>28</v>
      </c>
      <c r="M23" s="87">
        <f>K24</f>
        <v>24</v>
      </c>
      <c r="N23" s="93" t="s">
        <v>34</v>
      </c>
      <c r="O23" s="93" t="s">
        <v>35</v>
      </c>
    </row>
    <row r="24" spans="1:15" ht="18" customHeight="1" thickTop="1" thickBot="1" x14ac:dyDescent="0.3">
      <c r="A24" s="195"/>
      <c r="B24" s="144">
        <v>1</v>
      </c>
      <c r="C24" s="90">
        <f>IF(B22="",C20,IF(C22&lt;=0,C20,C20+B24))</f>
        <v>1</v>
      </c>
      <c r="D24" s="100">
        <f>D20</f>
        <v>2.5</v>
      </c>
      <c r="E24" s="13" t="s">
        <v>7</v>
      </c>
      <c r="F24" s="153">
        <f xml:space="preserve"> IF($A$3="하",0,IF(MROUND(J21/5,1)&lt;=G21,IF(MROUND(J21/5,1)&gt;=E21,MROUND(J21/5,1),E21),G21))</f>
        <v>0</v>
      </c>
      <c r="G24" s="154">
        <v>6</v>
      </c>
      <c r="H24" s="154">
        <v>6</v>
      </c>
      <c r="I24" s="154">
        <v>6</v>
      </c>
      <c r="J24" s="155">
        <v>6</v>
      </c>
      <c r="K24" s="101">
        <f>SUM(F24:J24)</f>
        <v>24</v>
      </c>
      <c r="L24" s="88" t="s">
        <v>30</v>
      </c>
      <c r="M24" s="89">
        <f>M23+M20</f>
        <v>104</v>
      </c>
      <c r="N24" s="90">
        <f>ROUNDDOWN((M20-C20+C24+K24)*$N$4,0)</f>
        <v>1</v>
      </c>
      <c r="O24" s="90">
        <f>ROUNDDOWN((M20+K24-+C24)*$O$4,0)</f>
        <v>7</v>
      </c>
    </row>
    <row r="25" spans="1:15" ht="18" customHeight="1" thickTop="1" thickBot="1" x14ac:dyDescent="0.3">
      <c r="A25" s="193">
        <f>IF($M28&lt;IF($A$3="하",$S$8,$S$6),0,IF($M28&gt;IF($A$3="하",$S$7,$S$5),"",MAX(A21+1)))</f>
        <v>0</v>
      </c>
      <c r="B25" s="141" t="str">
        <f>IF(O26-C24&lt;$A$1," ","MAX to "&amp;MROUND(IF(IF(O26-C24&gt;$A$1,$A$1,O26-C24)&lt;2,I21,I21*(37-IF(O26-C24&gt;$A$1,$A$1,O26-C24))/36),D28))</f>
        <v>MAX to 177.5</v>
      </c>
      <c r="C25" s="90" t="str">
        <f>IF(O26&lt;=C24,"X",IF(N26&gt;C24,"must ME","can ME"))</f>
        <v>can ME</v>
      </c>
      <c r="D25" s="75" t="s">
        <v>31</v>
      </c>
      <c r="E25" s="23">
        <v>4</v>
      </c>
      <c r="F25" s="2">
        <v>1</v>
      </c>
      <c r="G25" s="23">
        <f>IF(F26&gt;=90%,2,IF(F26&gt;=80%,4,IF(F26&gt;=70%,6,6)))</f>
        <v>6</v>
      </c>
      <c r="H25" s="3" t="s">
        <v>2</v>
      </c>
      <c r="I25" s="91">
        <f>K26/(100%-IF($A$3="하",$P$8,$P$6)*K28)/K28</f>
        <v>173.4974466413513</v>
      </c>
      <c r="J25" s="92">
        <f>IF("하"=$A$3,$Q$7,$Q$5)</f>
        <v>20</v>
      </c>
      <c r="K25" s="107" t="s">
        <v>33</v>
      </c>
      <c r="L25" s="75" t="s">
        <v>25</v>
      </c>
      <c r="M25" s="76">
        <f>K26</f>
        <v>2252.5</v>
      </c>
      <c r="N25" s="93" t="s">
        <v>34</v>
      </c>
      <c r="O25" s="93" t="s">
        <v>35</v>
      </c>
    </row>
    <row r="26" spans="1:15" ht="18" customHeight="1" thickTop="1" thickBot="1" x14ac:dyDescent="0.3">
      <c r="A26" s="194"/>
      <c r="B26" s="143">
        <v>177.5</v>
      </c>
      <c r="C26" s="142">
        <f>IF(B28="","",IF(B26*36/(37-B28)=0,"",B26*36/(37-B28)))</f>
        <v>182.57142857142858</v>
      </c>
      <c r="D26" s="109" t="str">
        <f>D22</f>
        <v>역HBSQ</v>
      </c>
      <c r="E26" s="18">
        <f>IF(C26="",I21,C26)</f>
        <v>182.57142857142858</v>
      </c>
      <c r="F26" s="94">
        <f>100%-J25*IF($A$3="하",$P$8,$P$6)</f>
        <v>0.72199999999999998</v>
      </c>
      <c r="G26" s="7">
        <f t="shared" ref="G26:I27" si="7">F26</f>
        <v>0.72199999999999998</v>
      </c>
      <c r="H26" s="7">
        <f t="shared" si="7"/>
        <v>0.72199999999999998</v>
      </c>
      <c r="I26" s="7">
        <f t="shared" si="7"/>
        <v>0.72199999999999998</v>
      </c>
      <c r="J26" s="8">
        <f>I26</f>
        <v>0.72199999999999998</v>
      </c>
      <c r="K26" s="95">
        <f>F27*F28+G27*G28+H27*H28+I27*I28+J27*J28</f>
        <v>2252.5</v>
      </c>
      <c r="L26" s="86" t="s">
        <v>27</v>
      </c>
      <c r="M26" s="81">
        <f>M25+M22</f>
        <v>17215</v>
      </c>
      <c r="N26" s="90">
        <f>ROUNDDOWN(M24*$N$4,0)</f>
        <v>1</v>
      </c>
      <c r="O26" s="90">
        <f>ROUNDDOWN(M24*$O$4,0)</f>
        <v>7</v>
      </c>
    </row>
    <row r="27" spans="1:15" ht="18" customHeight="1" thickTop="1" thickBot="1" x14ac:dyDescent="0.3">
      <c r="A27" s="194"/>
      <c r="B27" s="141" t="str">
        <f>IF(O26-C24&lt;$A$1," ","1~ "&amp;IF(O26-C24&gt;$A$1,$A$1,O26-C24)&amp;" rep")</f>
        <v>1~ 5 rep</v>
      </c>
      <c r="C27" s="97" t="s">
        <v>37</v>
      </c>
      <c r="D27" s="98" t="s">
        <v>5</v>
      </c>
      <c r="E27" s="5" t="s">
        <v>3</v>
      </c>
      <c r="F27" s="18">
        <f>MROUND(F26*E26,D28)</f>
        <v>132.5</v>
      </c>
      <c r="G27" s="18">
        <f t="shared" si="7"/>
        <v>132.5</v>
      </c>
      <c r="H27" s="18">
        <f t="shared" si="7"/>
        <v>132.5</v>
      </c>
      <c r="I27" s="18">
        <f t="shared" si="7"/>
        <v>132.5</v>
      </c>
      <c r="J27" s="19">
        <f>I27</f>
        <v>132.5</v>
      </c>
      <c r="K27" s="74" t="s">
        <v>10</v>
      </c>
      <c r="L27" s="86" t="s">
        <v>28</v>
      </c>
      <c r="M27" s="87">
        <f>K28</f>
        <v>17</v>
      </c>
      <c r="N27" s="93" t="s">
        <v>34</v>
      </c>
      <c r="O27" s="93" t="s">
        <v>35</v>
      </c>
    </row>
    <row r="28" spans="1:15" ht="18" customHeight="1" thickTop="1" thickBot="1" x14ac:dyDescent="0.3">
      <c r="A28" s="195"/>
      <c r="B28" s="144">
        <v>2</v>
      </c>
      <c r="C28" s="90">
        <f>IF(B26="",C24,IF(C26&lt;=0,C24,C24+B28))</f>
        <v>3</v>
      </c>
      <c r="D28" s="100">
        <f>D24</f>
        <v>2.5</v>
      </c>
      <c r="E28" s="13" t="s">
        <v>7</v>
      </c>
      <c r="F28" s="153">
        <f xml:space="preserve"> IF($A$3="하",0,IF(MROUND(J25/5,1)&lt;=G25,IF(MROUND(J25/5,1)&gt;=E25,MROUND(J25/5,1),E25),G25))</f>
        <v>0</v>
      </c>
      <c r="G28" s="154">
        <v>4</v>
      </c>
      <c r="H28" s="154">
        <f>IF(MROUND((J25-F28-G28)/3,1)&lt;=G25,IF(MROUND((J25-F28-G28)/3,1)&gt;=E25,MROUND((J25-F28-G28)/3,1),E25),G25)</f>
        <v>5</v>
      </c>
      <c r="I28" s="154">
        <v>4</v>
      </c>
      <c r="J28" s="155">
        <v>4</v>
      </c>
      <c r="K28" s="101">
        <f>SUM(F28:J28)</f>
        <v>17</v>
      </c>
      <c r="L28" s="88" t="s">
        <v>30</v>
      </c>
      <c r="M28" s="89">
        <f>M27+M24</f>
        <v>121</v>
      </c>
      <c r="N28" s="90">
        <f>ROUNDDOWN((M24-C24+C28+K28)*$N$4,0)</f>
        <v>1</v>
      </c>
      <c r="O28" s="90">
        <f>ROUNDDOWN((M24+K28-+C28)*$O$4,0)</f>
        <v>8</v>
      </c>
    </row>
    <row r="29" spans="1:15" ht="18" customHeight="1" thickTop="1" thickBot="1" x14ac:dyDescent="0.3">
      <c r="A29" s="193">
        <f>IF($M32&lt;IF($A$3="하",$S$8,$S$6),0,IF($M32&gt;IF($A$3="하",$S$7,$S$5),"",MAX(A25+1)))</f>
        <v>0</v>
      </c>
      <c r="B29" s="141" t="str">
        <f>IF(O30-C28&lt;$A$1," ","MAX to "&amp;MROUND(IF(IF(O30-C28&gt;$A$1,$A$1,O30-C28)&lt;2,I25,I25*(37-IF(O30-C28&gt;$A$1,$A$1,O30-C28))/36),D32))</f>
        <v>MAX to 155</v>
      </c>
      <c r="C29" s="90" t="str">
        <f>IF(O30&lt;=C28,"X",IF(N30&gt;C28,"must ME","can ME"))</f>
        <v>can ME</v>
      </c>
      <c r="D29" s="75" t="s">
        <v>31</v>
      </c>
      <c r="E29" s="23">
        <v>4</v>
      </c>
      <c r="F29" s="2">
        <v>1</v>
      </c>
      <c r="G29" s="23">
        <f>IF(F30&gt;=90%,2,IF(F30&gt;=80%,4,IF(F30&gt;=70%,6,6)))</f>
        <v>6</v>
      </c>
      <c r="H29" s="3" t="s">
        <v>2</v>
      </c>
      <c r="I29" s="91">
        <f>K30/(100%-IF($A$3="하",$P$8,$P$6)*K32)/K32</f>
        <v>187.57503001200482</v>
      </c>
      <c r="J29" s="92">
        <f>IF("하"=$A$3,$Q$7,$Q$5)</f>
        <v>20</v>
      </c>
      <c r="K29" s="107" t="s">
        <v>33</v>
      </c>
      <c r="L29" s="75" t="s">
        <v>25</v>
      </c>
      <c r="M29" s="76">
        <f>K30</f>
        <v>3000</v>
      </c>
      <c r="N29" s="93" t="s">
        <v>34</v>
      </c>
      <c r="O29" s="93" t="s">
        <v>35</v>
      </c>
    </row>
    <row r="30" spans="1:15" ht="18" customHeight="1" thickTop="1" thickBot="1" x14ac:dyDescent="0.3">
      <c r="A30" s="194"/>
      <c r="B30" s="143">
        <v>155</v>
      </c>
      <c r="C30" s="142">
        <f>IF(B32="","",IF(B30*36/(37-B32)=0,"",B30*36/(37-B32)))</f>
        <v>174.375</v>
      </c>
      <c r="D30" s="109" t="str">
        <f>D26</f>
        <v>역HBSQ</v>
      </c>
      <c r="E30" s="18">
        <f>IF(C30="",I25,C30)</f>
        <v>174.375</v>
      </c>
      <c r="F30" s="94">
        <f>100%-J29*IF($A$3="하",$P$8,$P$6)</f>
        <v>0.72199999999999998</v>
      </c>
      <c r="G30" s="7">
        <f t="shared" ref="G30:I31" si="8">F30</f>
        <v>0.72199999999999998</v>
      </c>
      <c r="H30" s="7">
        <f t="shared" si="8"/>
        <v>0.72199999999999998</v>
      </c>
      <c r="I30" s="7">
        <f t="shared" si="8"/>
        <v>0.72199999999999998</v>
      </c>
      <c r="J30" s="8">
        <f>I30</f>
        <v>0.72199999999999998</v>
      </c>
      <c r="K30" s="95">
        <f>F31*F32+G31*G32+H31*H32+I31*I32+J31*J32</f>
        <v>3000</v>
      </c>
      <c r="L30" s="86" t="s">
        <v>27</v>
      </c>
      <c r="M30" s="81">
        <f>M29+M26</f>
        <v>20215</v>
      </c>
      <c r="N30" s="90">
        <f>ROUNDDOWN(M28*$N$4,0)</f>
        <v>1</v>
      </c>
      <c r="O30" s="90">
        <f>ROUNDDOWN(M28*$O$4,0)</f>
        <v>8</v>
      </c>
    </row>
    <row r="31" spans="1:15" ht="18" customHeight="1" thickTop="1" thickBot="1" x14ac:dyDescent="0.3">
      <c r="A31" s="194"/>
      <c r="B31" s="141" t="str">
        <f>IF(O30-C28&lt;$A$1," ","1~ "&amp;IF(O30-C28&gt;$A$1,$A$1,O30-C28)&amp;" rep")</f>
        <v>1~ 5 rep</v>
      </c>
      <c r="C31" s="97" t="s">
        <v>37</v>
      </c>
      <c r="D31" s="98" t="s">
        <v>5</v>
      </c>
      <c r="E31" s="5" t="s">
        <v>3</v>
      </c>
      <c r="F31" s="18">
        <f>MROUND(F30*E30,D32)</f>
        <v>125</v>
      </c>
      <c r="G31" s="18">
        <f t="shared" si="8"/>
        <v>125</v>
      </c>
      <c r="H31" s="18">
        <f t="shared" si="8"/>
        <v>125</v>
      </c>
      <c r="I31" s="18">
        <f t="shared" si="8"/>
        <v>125</v>
      </c>
      <c r="J31" s="19">
        <f>I31</f>
        <v>125</v>
      </c>
      <c r="K31" s="74" t="s">
        <v>10</v>
      </c>
      <c r="L31" s="86" t="s">
        <v>28</v>
      </c>
      <c r="M31" s="87">
        <f>K32</f>
        <v>24</v>
      </c>
      <c r="N31" s="93" t="s">
        <v>34</v>
      </c>
      <c r="O31" s="93" t="s">
        <v>35</v>
      </c>
    </row>
    <row r="32" spans="1:15" ht="18" customHeight="1" thickTop="1" thickBot="1" x14ac:dyDescent="0.3">
      <c r="A32" s="195"/>
      <c r="B32" s="144">
        <v>5</v>
      </c>
      <c r="C32" s="90">
        <f>IF(B30="",C28,IF(C30&lt;=0,C28,C28+B32))</f>
        <v>8</v>
      </c>
      <c r="D32" s="100">
        <f>D28</f>
        <v>2.5</v>
      </c>
      <c r="E32" s="13" t="s">
        <v>7</v>
      </c>
      <c r="F32" s="153">
        <f xml:space="preserve"> IF($A$3="하",0,IF(MROUND(J29/5,1)&lt;=G29,IF(MROUND(J29/5,1)&gt;=E29,MROUND(J29/5,1),E29),G29))</f>
        <v>0</v>
      </c>
      <c r="G32" s="154">
        <v>6</v>
      </c>
      <c r="H32" s="154">
        <v>6</v>
      </c>
      <c r="I32" s="154">
        <v>6</v>
      </c>
      <c r="J32" s="155">
        <v>6</v>
      </c>
      <c r="K32" s="101">
        <f>SUM(F32:J32)</f>
        <v>24</v>
      </c>
      <c r="L32" s="88" t="s">
        <v>30</v>
      </c>
      <c r="M32" s="89">
        <f>M31+M28</f>
        <v>145</v>
      </c>
      <c r="N32" s="90">
        <f>ROUNDDOWN((M28-C28+C32+K32)*$N$4,0)</f>
        <v>1</v>
      </c>
      <c r="O32" s="90">
        <f>ROUNDDOWN((M28+K32-+C32)*$O$4,0)</f>
        <v>9</v>
      </c>
    </row>
    <row r="33" spans="1:15" ht="18" customHeight="1" thickTop="1" thickBot="1" x14ac:dyDescent="0.3">
      <c r="A33" s="193">
        <f>IF($M36&lt;IF($A$3="하",$S$8,$S$6),0,IF($M36&gt;IF($A$3="하",$S$7,$S$5),"",MAX(A29+1)))</f>
        <v>0</v>
      </c>
      <c r="B33" s="141" t="str">
        <f>IF(O34-C32&lt;$A$1," ","MAX to "&amp;MROUND(IF(IF(O34-C32&gt;$A$1,$A$1,O34-C32)&lt;2,I29,I29*(37-IF(O34-C32&gt;$A$1,$A$1,O34-C32))/36),D36))</f>
        <v xml:space="preserve"> </v>
      </c>
      <c r="C33" s="90" t="str">
        <f>IF(O34&lt;=C32,"X",IF(N34&gt;C32,"must ME","can ME"))</f>
        <v>can ME</v>
      </c>
      <c r="D33" s="75" t="s">
        <v>31</v>
      </c>
      <c r="E33" s="23">
        <v>4</v>
      </c>
      <c r="F33" s="2">
        <v>1</v>
      </c>
      <c r="G33" s="23">
        <f>IF(F34&gt;=90%,2,IF(F34&gt;=80%,4,IF(F34&gt;=70%,6,6)))</f>
        <v>6</v>
      </c>
      <c r="H33" s="3" t="s">
        <v>2</v>
      </c>
      <c r="I33" s="91">
        <f>K34/(100%-IF($A$3="하",$P$8,$P$6)*K36)/K36</f>
        <v>202.58103241296519</v>
      </c>
      <c r="J33" s="92">
        <f>IF("하"=$A$3,$Q$7,$Q$5)</f>
        <v>20</v>
      </c>
      <c r="K33" s="107" t="s">
        <v>33</v>
      </c>
      <c r="L33" s="75" t="s">
        <v>25</v>
      </c>
      <c r="M33" s="76">
        <f>K34</f>
        <v>3240</v>
      </c>
      <c r="N33" s="93" t="s">
        <v>34</v>
      </c>
      <c r="O33" s="93" t="s">
        <v>35</v>
      </c>
    </row>
    <row r="34" spans="1:15" ht="18" customHeight="1" thickTop="1" thickBot="1" x14ac:dyDescent="0.3">
      <c r="A34" s="194"/>
      <c r="B34" s="143"/>
      <c r="C34" s="142" t="str">
        <f>IF(B36="","",IF(B34*36/(37-B36)=0,"",B34*36/(37-B36)))</f>
        <v/>
      </c>
      <c r="D34" s="109" t="str">
        <f>D30</f>
        <v>역HBSQ</v>
      </c>
      <c r="E34" s="18">
        <f>IF(C34="",I29,C34)</f>
        <v>187.57503001200482</v>
      </c>
      <c r="F34" s="94">
        <f>100%-J33*IF($A$3="하",$P$8,$P$6)</f>
        <v>0.72199999999999998</v>
      </c>
      <c r="G34" s="7">
        <f t="shared" ref="G34:I35" si="9">F34</f>
        <v>0.72199999999999998</v>
      </c>
      <c r="H34" s="7">
        <f t="shared" si="9"/>
        <v>0.72199999999999998</v>
      </c>
      <c r="I34" s="7">
        <f t="shared" si="9"/>
        <v>0.72199999999999998</v>
      </c>
      <c r="J34" s="8">
        <f>I34</f>
        <v>0.72199999999999998</v>
      </c>
      <c r="K34" s="95">
        <f>F35*F36+G35*G36+H35*H36+I35*I36+J35*J36</f>
        <v>3240</v>
      </c>
      <c r="L34" s="86" t="s">
        <v>27</v>
      </c>
      <c r="M34" s="81">
        <f>M33+M30</f>
        <v>23455</v>
      </c>
      <c r="N34" s="90">
        <f>ROUNDDOWN(M32*$N$4,0)</f>
        <v>1</v>
      </c>
      <c r="O34" s="90">
        <f>ROUNDDOWN(M32*$O$4,0)</f>
        <v>10</v>
      </c>
    </row>
    <row r="35" spans="1:15" ht="18" customHeight="1" thickTop="1" thickBot="1" x14ac:dyDescent="0.3">
      <c r="A35" s="194"/>
      <c r="B35" s="141" t="str">
        <f>IF(O34-C32&lt;$A$1," ","1~ "&amp;IF(O34-C32&gt;$A$1,$A$1,O34-C32)&amp;" rep")</f>
        <v xml:space="preserve"> </v>
      </c>
      <c r="C35" s="97" t="s">
        <v>37</v>
      </c>
      <c r="D35" s="98" t="s">
        <v>5</v>
      </c>
      <c r="E35" s="5" t="s">
        <v>3</v>
      </c>
      <c r="F35" s="18">
        <f>MROUND(F34*E34,D36)</f>
        <v>135</v>
      </c>
      <c r="G35" s="18">
        <f t="shared" si="9"/>
        <v>135</v>
      </c>
      <c r="H35" s="18">
        <f t="shared" si="9"/>
        <v>135</v>
      </c>
      <c r="I35" s="18">
        <f t="shared" si="9"/>
        <v>135</v>
      </c>
      <c r="J35" s="19">
        <f>I35</f>
        <v>135</v>
      </c>
      <c r="K35" s="74" t="s">
        <v>10</v>
      </c>
      <c r="L35" s="86" t="s">
        <v>28</v>
      </c>
      <c r="M35" s="87">
        <f>K36</f>
        <v>24</v>
      </c>
      <c r="N35" s="93" t="s">
        <v>34</v>
      </c>
      <c r="O35" s="93" t="s">
        <v>35</v>
      </c>
    </row>
    <row r="36" spans="1:15" ht="18" customHeight="1" thickTop="1" thickBot="1" x14ac:dyDescent="0.3">
      <c r="A36" s="195"/>
      <c r="B36" s="144"/>
      <c r="C36" s="90">
        <f>IF(B34="",C32,IF(C34&lt;=0,C32,C32+B36))</f>
        <v>8</v>
      </c>
      <c r="D36" s="100">
        <f>D32</f>
        <v>2.5</v>
      </c>
      <c r="E36" s="13" t="s">
        <v>7</v>
      </c>
      <c r="F36" s="153">
        <f xml:space="preserve"> IF($A$3="하",0,IF(MROUND(J33/5,1)&lt;=G33,IF(MROUND(J33/5,1)&gt;=E33,MROUND(J33/5,1),E33),G33))</f>
        <v>0</v>
      </c>
      <c r="G36" s="154">
        <v>6</v>
      </c>
      <c r="H36" s="154">
        <v>6</v>
      </c>
      <c r="I36" s="154">
        <v>6</v>
      </c>
      <c r="J36" s="155">
        <v>6</v>
      </c>
      <c r="K36" s="101">
        <f>SUM(F36:J36)</f>
        <v>24</v>
      </c>
      <c r="L36" s="88" t="s">
        <v>30</v>
      </c>
      <c r="M36" s="89">
        <f>M35+M32</f>
        <v>169</v>
      </c>
      <c r="N36" s="90">
        <f>ROUNDDOWN((M32-C32+C36+K36)*$N$4,0)</f>
        <v>1</v>
      </c>
      <c r="O36" s="90">
        <f>ROUNDDOWN((M32+K36-+C36)*$O$4,0)</f>
        <v>11</v>
      </c>
    </row>
    <row r="37" spans="1:15" ht="18" customHeight="1" thickTop="1" thickBot="1" x14ac:dyDescent="0.3">
      <c r="A37" s="193">
        <f t="shared" ref="A37" si="10">IF($M40&lt;IF($A$3="하",$S$8,$S$6),0,IF($M40&gt;IF($A$3="하",$S$7,$S$5),"",MAX(A33+1)))</f>
        <v>0</v>
      </c>
      <c r="B37" s="141" t="str">
        <f>IF(O38-C36&lt;$A$1," ","MAX to "&amp;MROUND(IF(IF(O38-C36&gt;$A$1,$A$1,O38-C36)&lt;2,I33,I33*(37-IF(O38-C36&gt;$A$1,$A$1,O38-C36))/36),D40))</f>
        <v xml:space="preserve"> </v>
      </c>
      <c r="C37" s="90" t="str">
        <f>IF(O38&lt;=C36,"X",IF(N38&gt;C36,"must ME","can ME"))</f>
        <v>can ME</v>
      </c>
      <c r="D37" s="75" t="s">
        <v>31</v>
      </c>
      <c r="E37" s="23">
        <v>4</v>
      </c>
      <c r="F37" s="2">
        <v>1</v>
      </c>
      <c r="G37" s="23">
        <f>IF(F38&gt;=90%,2,IF(F38&gt;=80%,4,IF(F38&gt;=70%,6,6)))</f>
        <v>6</v>
      </c>
      <c r="H37" s="3" t="s">
        <v>2</v>
      </c>
      <c r="I37" s="91">
        <f>K38/(100%-IF($A$3="하",$P$8,$P$6)*K40)/K40</f>
        <v>217.58703481392558</v>
      </c>
      <c r="J37" s="92">
        <f>IF("하"=$A$3,$Q$7,$Q$5)</f>
        <v>20</v>
      </c>
      <c r="K37" s="107" t="s">
        <v>33</v>
      </c>
      <c r="L37" s="75" t="s">
        <v>25</v>
      </c>
      <c r="M37" s="76">
        <f>K38</f>
        <v>3480</v>
      </c>
      <c r="N37" s="93" t="s">
        <v>34</v>
      </c>
      <c r="O37" s="93" t="s">
        <v>35</v>
      </c>
    </row>
    <row r="38" spans="1:15" ht="18" customHeight="1" thickTop="1" thickBot="1" x14ac:dyDescent="0.3">
      <c r="A38" s="194"/>
      <c r="B38" s="143">
        <v>200</v>
      </c>
      <c r="C38" s="142">
        <f>IF(B40="","",IF(B38*36/(37-B40)=0,"",B38*36/(37-B40)))</f>
        <v>200</v>
      </c>
      <c r="D38" s="109" t="str">
        <f>D34</f>
        <v>역HBSQ</v>
      </c>
      <c r="E38" s="18">
        <f>IF(C38="",I33,C38)</f>
        <v>200</v>
      </c>
      <c r="F38" s="94">
        <f>100%-J37*IF($A$3="하",$P$8,$P$6)</f>
        <v>0.72199999999999998</v>
      </c>
      <c r="G38" s="7">
        <f t="shared" ref="G38:I39" si="11">F38</f>
        <v>0.72199999999999998</v>
      </c>
      <c r="H38" s="7">
        <f t="shared" si="11"/>
        <v>0.72199999999999998</v>
      </c>
      <c r="I38" s="7">
        <f t="shared" si="11"/>
        <v>0.72199999999999998</v>
      </c>
      <c r="J38" s="8">
        <f>I38</f>
        <v>0.72199999999999998</v>
      </c>
      <c r="K38" s="95">
        <f>F39*F40+G39*G40+H39*H40+I39*I40+J39*J40</f>
        <v>3480</v>
      </c>
      <c r="L38" s="86" t="s">
        <v>27</v>
      </c>
      <c r="M38" s="81">
        <f>M37+M34</f>
        <v>26935</v>
      </c>
      <c r="N38" s="90">
        <f>ROUNDDOWN(M36*$N$4,0)</f>
        <v>1</v>
      </c>
      <c r="O38" s="90">
        <f>ROUNDDOWN(M36*$O$4,0)</f>
        <v>11</v>
      </c>
    </row>
    <row r="39" spans="1:15" ht="18" customHeight="1" thickTop="1" thickBot="1" x14ac:dyDescent="0.3">
      <c r="A39" s="194"/>
      <c r="B39" s="141" t="str">
        <f>IF(O38-C36&lt;$A$1," ","1~ "&amp;IF(O38-C36&gt;$A$1,$A$1,O38-C36)&amp;" rep")</f>
        <v xml:space="preserve"> </v>
      </c>
      <c r="C39" s="97" t="s">
        <v>37</v>
      </c>
      <c r="D39" s="98" t="s">
        <v>5</v>
      </c>
      <c r="E39" s="5" t="s">
        <v>3</v>
      </c>
      <c r="F39" s="18">
        <f>MROUND(F38*E38,D40)</f>
        <v>145</v>
      </c>
      <c r="G39" s="18">
        <f t="shared" si="11"/>
        <v>145</v>
      </c>
      <c r="H39" s="18">
        <f t="shared" si="11"/>
        <v>145</v>
      </c>
      <c r="I39" s="18">
        <f t="shared" si="11"/>
        <v>145</v>
      </c>
      <c r="J39" s="19">
        <f>I39</f>
        <v>145</v>
      </c>
      <c r="K39" s="74" t="s">
        <v>10</v>
      </c>
      <c r="L39" s="86" t="s">
        <v>28</v>
      </c>
      <c r="M39" s="87">
        <f>K40</f>
        <v>24</v>
      </c>
      <c r="N39" s="93" t="s">
        <v>34</v>
      </c>
      <c r="O39" s="93" t="s">
        <v>35</v>
      </c>
    </row>
    <row r="40" spans="1:15" ht="18" customHeight="1" thickTop="1" thickBot="1" x14ac:dyDescent="0.3">
      <c r="A40" s="195"/>
      <c r="B40" s="144">
        <v>1</v>
      </c>
      <c r="C40" s="90">
        <f>IF(B38="",C36,IF(C38&lt;=0,C36,C36+B40))</f>
        <v>9</v>
      </c>
      <c r="D40" s="100">
        <f>D36</f>
        <v>2.5</v>
      </c>
      <c r="E40" s="13" t="s">
        <v>7</v>
      </c>
      <c r="F40" s="153">
        <f xml:space="preserve"> IF($A$3="하",0,IF(MROUND(J37/5,1)&lt;=G37,IF(MROUND(J37/5,1)&gt;=E37,MROUND(J37/5,1),E37),G37))</f>
        <v>0</v>
      </c>
      <c r="G40" s="154">
        <v>6</v>
      </c>
      <c r="H40" s="154">
        <v>6</v>
      </c>
      <c r="I40" s="154">
        <v>6</v>
      </c>
      <c r="J40" s="155">
        <v>6</v>
      </c>
      <c r="K40" s="101">
        <f>SUM(F40:J40)</f>
        <v>24</v>
      </c>
      <c r="L40" s="88" t="s">
        <v>30</v>
      </c>
      <c r="M40" s="89">
        <f>M39+M36</f>
        <v>193</v>
      </c>
      <c r="N40" s="90">
        <f>ROUNDDOWN((M36-C36+C40+K40)*$N$4,0)</f>
        <v>1</v>
      </c>
      <c r="O40" s="90">
        <f>ROUNDDOWN((M36+K40-+C40)*$O$4,0)</f>
        <v>12</v>
      </c>
    </row>
    <row r="41" spans="1:15" ht="18" customHeight="1" thickTop="1" thickBot="1" x14ac:dyDescent="0.3">
      <c r="A41" s="193">
        <f t="shared" ref="A41" si="12">IF($M44&lt;IF($A$3="하",$S$8,$S$6),0,IF($M44&gt;IF($A$3="하",$S$7,$S$5),"",MAX(A37+1)))</f>
        <v>0</v>
      </c>
      <c r="B41" s="141" t="str">
        <f>IF(O42-C40&lt;$A$1," ","MAX to "&amp;MROUND(IF(IF(O42-C40&gt;$A$1,$A$1,O42-C40)&lt;2,I37,I37*(37-IF(O42-C40&gt;$A$1,$A$1,O42-C40))/36),D44))</f>
        <v xml:space="preserve"> </v>
      </c>
      <c r="C41" s="90" t="str">
        <f>IF(O42&lt;=C40,"X",IF(N42&gt;C40,"must ME","can ME"))</f>
        <v>can ME</v>
      </c>
      <c r="D41" s="75" t="s">
        <v>31</v>
      </c>
      <c r="E41" s="23">
        <v>4</v>
      </c>
      <c r="F41" s="2">
        <v>1</v>
      </c>
      <c r="G41" s="23">
        <f>IF(F42&gt;=90%,2,IF(F42&gt;=80%,4,IF(F42&gt;=70%,6,6)))</f>
        <v>6</v>
      </c>
      <c r="H41" s="3" t="s">
        <v>2</v>
      </c>
      <c r="I41" s="91">
        <f>K42/(100%-IF($A$3="하",$P$8,$P$6)*K44)/K44</f>
        <v>128.60082304526748</v>
      </c>
      <c r="J41" s="92">
        <f>IF("하"=$A$3,$Q$7,$Q$5)</f>
        <v>20</v>
      </c>
      <c r="K41" s="107" t="s">
        <v>33</v>
      </c>
      <c r="L41" s="75" t="s">
        <v>25</v>
      </c>
      <c r="M41" s="76">
        <f>K42</f>
        <v>1600</v>
      </c>
      <c r="N41" s="93" t="s">
        <v>34</v>
      </c>
      <c r="O41" s="93" t="s">
        <v>35</v>
      </c>
    </row>
    <row r="42" spans="1:15" ht="18" customHeight="1" thickTop="1" thickBot="1" x14ac:dyDescent="0.3">
      <c r="A42" s="194"/>
      <c r="B42" s="143"/>
      <c r="C42" s="142" t="str">
        <f>IF(B44="","",IF(B42*36/(37-B44)=0,"",B42*36/(37-B44)))</f>
        <v/>
      </c>
      <c r="D42" s="109" t="s">
        <v>44</v>
      </c>
      <c r="E42" s="18">
        <v>170</v>
      </c>
      <c r="F42" s="94">
        <f>100%-J41*IF($A$3="하",$P$8,$P$6)</f>
        <v>0.72199999999999998</v>
      </c>
      <c r="G42" s="7">
        <f t="shared" ref="G42:I43" si="13">F42</f>
        <v>0.72199999999999998</v>
      </c>
      <c r="H42" s="7">
        <f t="shared" si="13"/>
        <v>0.72199999999999998</v>
      </c>
      <c r="I42" s="7">
        <f t="shared" si="13"/>
        <v>0.72199999999999998</v>
      </c>
      <c r="J42" s="8">
        <f>I42</f>
        <v>0.72199999999999998</v>
      </c>
      <c r="K42" s="95">
        <f>F43*F44+G43*G44+H43*H44+I43*I44+J43*J44</f>
        <v>1600</v>
      </c>
      <c r="L42" s="86" t="s">
        <v>27</v>
      </c>
      <c r="M42" s="81">
        <f>M41+M38</f>
        <v>28535</v>
      </c>
      <c r="N42" s="90">
        <f>ROUNDDOWN(M40*$N$4,0)</f>
        <v>1</v>
      </c>
      <c r="O42" s="90">
        <f>ROUNDDOWN(M40*$O$4,0)</f>
        <v>13</v>
      </c>
    </row>
    <row r="43" spans="1:15" ht="18" customHeight="1" thickTop="1" thickBot="1" x14ac:dyDescent="0.3">
      <c r="A43" s="194"/>
      <c r="B43" s="141" t="str">
        <f>IF(O42-C40&lt;$A$1," ","1~ "&amp;IF(O42-C40&gt;$A$1,$A$1,O42-C40)&amp;" rep")</f>
        <v xml:space="preserve"> </v>
      </c>
      <c r="C43" s="97" t="s">
        <v>37</v>
      </c>
      <c r="D43" s="98" t="s">
        <v>5</v>
      </c>
      <c r="E43" s="5" t="s">
        <v>3</v>
      </c>
      <c r="F43" s="18">
        <f>MROUND(F42*E42,D44)</f>
        <v>122.5</v>
      </c>
      <c r="G43" s="18">
        <v>100</v>
      </c>
      <c r="H43" s="18">
        <f t="shared" si="13"/>
        <v>100</v>
      </c>
      <c r="I43" s="18">
        <f t="shared" si="13"/>
        <v>100</v>
      </c>
      <c r="J43" s="19">
        <f>I43</f>
        <v>100</v>
      </c>
      <c r="K43" s="74" t="s">
        <v>10</v>
      </c>
      <c r="L43" s="86" t="s">
        <v>28</v>
      </c>
      <c r="M43" s="87">
        <f>K44</f>
        <v>16</v>
      </c>
      <c r="N43" s="93" t="s">
        <v>34</v>
      </c>
      <c r="O43" s="93" t="s">
        <v>35</v>
      </c>
    </row>
    <row r="44" spans="1:15" ht="18" customHeight="1" thickTop="1" thickBot="1" x14ac:dyDescent="0.3">
      <c r="A44" s="195"/>
      <c r="B44" s="144"/>
      <c r="C44" s="90">
        <f>IF(B42="",C40,IF(C42&lt;=0,C40,C40+B44))</f>
        <v>9</v>
      </c>
      <c r="D44" s="100">
        <f>D40</f>
        <v>2.5</v>
      </c>
      <c r="E44" s="13" t="s">
        <v>7</v>
      </c>
      <c r="F44" s="153">
        <f xml:space="preserve"> IF($A$3="하",0,IF(MROUND(J41/5,1)&lt;=G41,IF(MROUND(J41/5,1)&gt;=E41,MROUND(J41/5,1),E41),G41))</f>
        <v>0</v>
      </c>
      <c r="G44" s="154">
        <v>4</v>
      </c>
      <c r="H44" s="154">
        <v>4</v>
      </c>
      <c r="I44" s="154">
        <v>4</v>
      </c>
      <c r="J44" s="155">
        <v>4</v>
      </c>
      <c r="K44" s="101">
        <f>SUM(F44:J44)</f>
        <v>16</v>
      </c>
      <c r="L44" s="88" t="s">
        <v>30</v>
      </c>
      <c r="M44" s="89">
        <f>M43+M40</f>
        <v>209</v>
      </c>
      <c r="N44" s="90">
        <f>ROUNDDOWN((M40-C40+C44+K44)*$N$4,0)</f>
        <v>2</v>
      </c>
      <c r="O44" s="90">
        <f>ROUNDDOWN((M40+K44-+C44)*$O$4,0)</f>
        <v>14</v>
      </c>
    </row>
    <row r="45" spans="1:15" ht="18" customHeight="1" thickTop="1" thickBot="1" x14ac:dyDescent="0.3">
      <c r="A45" s="193">
        <f t="shared" ref="A45" si="14">IF($M48&lt;IF($A$3="하",$S$8,$S$6),0,IF($M48&gt;IF($A$3="하",$S$7,$S$5),"",MAX(A41+1)))</f>
        <v>0</v>
      </c>
      <c r="B45" s="141" t="str">
        <f>IF(O46-C44&lt;$A$1," ","MAX to "&amp;MROUND(IF(IF(O46-C44&gt;$A$1,$A$1,O46-C44)&lt;2,I41,I41*(37-IF(O46-C44&gt;$A$1,$A$1,O46-C44))/36),D48))</f>
        <v>MAX to 115</v>
      </c>
      <c r="C45" s="90" t="str">
        <f>IF(O46&lt;=C44,"X",IF(N46&gt;C44,"must ME","can ME"))</f>
        <v>can ME</v>
      </c>
      <c r="D45" s="75" t="s">
        <v>31</v>
      </c>
      <c r="E45" s="23">
        <v>4</v>
      </c>
      <c r="F45" s="2">
        <v>1</v>
      </c>
      <c r="G45" s="23">
        <f>IF(F46&gt;=90%,2,IF(F46&gt;=80%,4,IF(F46&gt;=70%,6,6)))</f>
        <v>6</v>
      </c>
      <c r="H45" s="3" t="s">
        <v>2</v>
      </c>
      <c r="I45" s="91">
        <f>K46/(100%-IF($A$3="하",$P$8,$P$6)*K48)/K48</f>
        <v>150.06002400960384</v>
      </c>
      <c r="J45" s="92">
        <f>IF("하"=$A$3,$Q$7,$Q$5)</f>
        <v>20</v>
      </c>
      <c r="K45" s="107" t="s">
        <v>33</v>
      </c>
      <c r="L45" s="75" t="s">
        <v>25</v>
      </c>
      <c r="M45" s="76">
        <f>K46</f>
        <v>2400</v>
      </c>
      <c r="N45" s="93" t="s">
        <v>34</v>
      </c>
      <c r="O45" s="93" t="s">
        <v>35</v>
      </c>
    </row>
    <row r="46" spans="1:15" ht="18" customHeight="1" thickTop="1" thickBot="1" x14ac:dyDescent="0.3">
      <c r="A46" s="194"/>
      <c r="B46" s="143"/>
      <c r="C46" s="142" t="str">
        <f>IF(B48="","",IF(B46*36/(37-B48)=0,"",B46*36/(37-B48)))</f>
        <v/>
      </c>
      <c r="D46" s="109" t="str">
        <f>D42</f>
        <v>FSQ</v>
      </c>
      <c r="E46" s="18">
        <f>IF(C46="",I41,C46)</f>
        <v>128.60082304526748</v>
      </c>
      <c r="F46" s="94">
        <f>100%-J45*IF($A$3="하",$P$8,$P$6)</f>
        <v>0.72199999999999998</v>
      </c>
      <c r="G46" s="7">
        <f t="shared" ref="G46:I47" si="15">F46</f>
        <v>0.72199999999999998</v>
      </c>
      <c r="H46" s="7">
        <f t="shared" si="15"/>
        <v>0.72199999999999998</v>
      </c>
      <c r="I46" s="7">
        <f t="shared" si="15"/>
        <v>0.72199999999999998</v>
      </c>
      <c r="J46" s="8">
        <f>I46</f>
        <v>0.72199999999999998</v>
      </c>
      <c r="K46" s="95">
        <f>F47*F48+G47*G48+H47*H48+I47*I48+J47*J48</f>
        <v>2400</v>
      </c>
      <c r="L46" s="86" t="s">
        <v>27</v>
      </c>
      <c r="M46" s="81">
        <f>M45+M42</f>
        <v>30935</v>
      </c>
      <c r="N46" s="90">
        <f>ROUNDDOWN(M44*$N$4,0)</f>
        <v>2</v>
      </c>
      <c r="O46" s="90">
        <f>ROUNDDOWN(M44*$O$4,0)</f>
        <v>14</v>
      </c>
    </row>
    <row r="47" spans="1:15" ht="18" customHeight="1" thickTop="1" thickBot="1" x14ac:dyDescent="0.3">
      <c r="A47" s="194"/>
      <c r="B47" s="141" t="str">
        <f>IF(O46-C44&lt;$A$1," ","1~ "&amp;IF(O46-C44&gt;$A$1,$A$1,O46-C44)&amp;" rep")</f>
        <v>1~ 5 rep</v>
      </c>
      <c r="C47" s="97" t="s">
        <v>37</v>
      </c>
      <c r="D47" s="98" t="s">
        <v>5</v>
      </c>
      <c r="E47" s="5" t="s">
        <v>3</v>
      </c>
      <c r="F47" s="18">
        <v>100</v>
      </c>
      <c r="G47" s="18">
        <f t="shared" si="15"/>
        <v>100</v>
      </c>
      <c r="H47" s="18">
        <f t="shared" si="15"/>
        <v>100</v>
      </c>
      <c r="I47" s="18">
        <f t="shared" si="15"/>
        <v>100</v>
      </c>
      <c r="J47" s="19">
        <f>I47</f>
        <v>100</v>
      </c>
      <c r="K47" s="74" t="s">
        <v>10</v>
      </c>
      <c r="L47" s="86" t="s">
        <v>28</v>
      </c>
      <c r="M47" s="87">
        <f>K48</f>
        <v>24</v>
      </c>
      <c r="N47" s="93" t="s">
        <v>34</v>
      </c>
      <c r="O47" s="93" t="s">
        <v>35</v>
      </c>
    </row>
    <row r="48" spans="1:15" ht="18" customHeight="1" thickTop="1" thickBot="1" x14ac:dyDescent="0.3">
      <c r="A48" s="195"/>
      <c r="B48" s="144"/>
      <c r="C48" s="90">
        <f>IF(B46="",C44,IF(C46&lt;=0,C44,C44+B48))</f>
        <v>9</v>
      </c>
      <c r="D48" s="100">
        <f>D44</f>
        <v>2.5</v>
      </c>
      <c r="E48" s="13" t="s">
        <v>7</v>
      </c>
      <c r="F48" s="153">
        <f xml:space="preserve"> IF($A$3="하",0,IF(MROUND(J45/5,1)&lt;=G45,IF(MROUND(J45/5,1)&gt;=E45,MROUND(J45/5,1),E45),G45))</f>
        <v>0</v>
      </c>
      <c r="G48" s="154">
        <v>6</v>
      </c>
      <c r="H48" s="154">
        <v>6</v>
      </c>
      <c r="I48" s="154">
        <v>6</v>
      </c>
      <c r="J48" s="155">
        <v>6</v>
      </c>
      <c r="K48" s="101">
        <f>SUM(F48:J48)</f>
        <v>24</v>
      </c>
      <c r="L48" s="88" t="s">
        <v>30</v>
      </c>
      <c r="M48" s="89">
        <f>M47+M44</f>
        <v>233</v>
      </c>
      <c r="N48" s="90">
        <f>ROUNDDOWN((M44-C44+C48+K48)*$N$4,0)</f>
        <v>2</v>
      </c>
      <c r="O48" s="90">
        <f>ROUNDDOWN((M44+K48-+C48)*$O$4,0)</f>
        <v>15</v>
      </c>
    </row>
    <row r="49" spans="1:15" ht="18" customHeight="1" thickTop="1" thickBot="1" x14ac:dyDescent="0.3">
      <c r="A49" s="193">
        <f>IF($M52&lt;IF($A$3="하",$S$8,$S$6),0,IF($M52&gt;IF($A$3="하",$S$7,$S$5),"",MAX(A45+1)))</f>
        <v>0</v>
      </c>
      <c r="B49" s="141" t="str">
        <f>IF(O50-C48&lt;$A$1," ","MAX to "&amp;MROUND(IF(IF(O50-C48&gt;$A$1,$A$1,O50-C48)&lt;2,I45,I45*(37-IF(O50-C48&gt;$A$1,$A$1,O50-C48))/36),D52))</f>
        <v>MAX to 132.5</v>
      </c>
      <c r="C49" s="90" t="str">
        <f>IF(O50&lt;=C48,"X",IF(N50&gt;C48,"must ME","can ME"))</f>
        <v>can ME</v>
      </c>
      <c r="D49" s="75" t="s">
        <v>31</v>
      </c>
      <c r="E49" s="23">
        <v>4</v>
      </c>
      <c r="F49" s="2">
        <v>1</v>
      </c>
      <c r="G49" s="23">
        <f>IF(F50&gt;=90%,2,IF(F50&gt;=80%,4,IF(F50&gt;=70%,6,6)))</f>
        <v>6</v>
      </c>
      <c r="H49" s="3" t="s">
        <v>2</v>
      </c>
      <c r="I49" s="91">
        <f>K50/(100%-IF($A$3="하",$P$8,$P$6)*K52)/K52</f>
        <v>150.06002400960384</v>
      </c>
      <c r="J49" s="92">
        <f>IF("하"=$A$3,$Q$7,$Q$5)</f>
        <v>20</v>
      </c>
      <c r="K49" s="107" t="s">
        <v>33</v>
      </c>
      <c r="L49" s="75" t="s">
        <v>25</v>
      </c>
      <c r="M49" s="76">
        <f>K50</f>
        <v>2400</v>
      </c>
      <c r="N49" s="93" t="s">
        <v>34</v>
      </c>
      <c r="O49" s="93" t="s">
        <v>35</v>
      </c>
    </row>
    <row r="50" spans="1:15" ht="18" customHeight="1" thickTop="1" thickBot="1" x14ac:dyDescent="0.3">
      <c r="A50" s="194"/>
      <c r="B50" s="143">
        <v>135</v>
      </c>
      <c r="C50" s="142">
        <f>IF(B52="","",IF(B50*36/(37-B52)=0,"",B50*36/(37-B52)))</f>
        <v>138.85714285714286</v>
      </c>
      <c r="D50" s="109" t="str">
        <f>D46</f>
        <v>FSQ</v>
      </c>
      <c r="E50" s="18">
        <f>IF(C50="",I45,C50)</f>
        <v>138.85714285714286</v>
      </c>
      <c r="F50" s="94">
        <f>100%-J49*IF($A$3="하",$P$8,$P$6)</f>
        <v>0.72199999999999998</v>
      </c>
      <c r="G50" s="7">
        <f t="shared" ref="G50:I51" si="16">F50</f>
        <v>0.72199999999999998</v>
      </c>
      <c r="H50" s="7">
        <f t="shared" si="16"/>
        <v>0.72199999999999998</v>
      </c>
      <c r="I50" s="7">
        <f t="shared" si="16"/>
        <v>0.72199999999999998</v>
      </c>
      <c r="J50" s="8">
        <f>I50</f>
        <v>0.72199999999999998</v>
      </c>
      <c r="K50" s="95">
        <f>F51*F52+G51*G52+H51*H52+I51*I52+J51*J52</f>
        <v>2400</v>
      </c>
      <c r="L50" s="86" t="s">
        <v>27</v>
      </c>
      <c r="M50" s="81">
        <f>M49+M46</f>
        <v>33335</v>
      </c>
      <c r="N50" s="90">
        <f>ROUNDDOWN(M48*$N$4,0)</f>
        <v>2</v>
      </c>
      <c r="O50" s="90">
        <f>ROUNDDOWN(M48*$O$4,0)</f>
        <v>16</v>
      </c>
    </row>
    <row r="51" spans="1:15" ht="18" customHeight="1" thickTop="1" thickBot="1" x14ac:dyDescent="0.3">
      <c r="A51" s="194"/>
      <c r="B51" s="141" t="str">
        <f>IF(O50-C48&lt;$A$1," ","1~ "&amp;IF(O50-C48&gt;$A$1,$A$1,O50-C48)&amp;" rep")</f>
        <v>1~ 5 rep</v>
      </c>
      <c r="C51" s="97" t="s">
        <v>37</v>
      </c>
      <c r="D51" s="98" t="s">
        <v>5</v>
      </c>
      <c r="E51" s="5" t="s">
        <v>3</v>
      </c>
      <c r="F51" s="18">
        <f>MROUND(F50*E50,D52)</f>
        <v>100</v>
      </c>
      <c r="G51" s="18">
        <f t="shared" si="16"/>
        <v>100</v>
      </c>
      <c r="H51" s="18">
        <f t="shared" si="16"/>
        <v>100</v>
      </c>
      <c r="I51" s="18">
        <f t="shared" si="16"/>
        <v>100</v>
      </c>
      <c r="J51" s="19">
        <f>I51</f>
        <v>100</v>
      </c>
      <c r="K51" s="74" t="s">
        <v>10</v>
      </c>
      <c r="L51" s="86" t="s">
        <v>28</v>
      </c>
      <c r="M51" s="87">
        <f>K52</f>
        <v>24</v>
      </c>
      <c r="N51" s="93" t="s">
        <v>34</v>
      </c>
      <c r="O51" s="93" t="s">
        <v>35</v>
      </c>
    </row>
    <row r="52" spans="1:15" ht="18" customHeight="1" thickTop="1" thickBot="1" x14ac:dyDescent="0.3">
      <c r="A52" s="195"/>
      <c r="B52" s="144">
        <v>2</v>
      </c>
      <c r="C52" s="90">
        <f>IF(B50="",C48,IF(C50&lt;=0,C48,C48+B52))</f>
        <v>11</v>
      </c>
      <c r="D52" s="100">
        <f>D48</f>
        <v>2.5</v>
      </c>
      <c r="E52" s="13" t="s">
        <v>7</v>
      </c>
      <c r="F52" s="153">
        <f xml:space="preserve"> IF($A$3="하",0,IF(MROUND(J49/5,1)&lt;=G49,IF(MROUND(J49/5,1)&gt;=E49,MROUND(J49/5,1),E49),G49))</f>
        <v>0</v>
      </c>
      <c r="G52" s="154">
        <v>6</v>
      </c>
      <c r="H52" s="154">
        <v>6</v>
      </c>
      <c r="I52" s="154">
        <v>6</v>
      </c>
      <c r="J52" s="155">
        <v>6</v>
      </c>
      <c r="K52" s="101">
        <f>SUM(F52:J52)</f>
        <v>24</v>
      </c>
      <c r="L52" s="88" t="s">
        <v>30</v>
      </c>
      <c r="M52" s="89">
        <f>M51+M48</f>
        <v>257</v>
      </c>
      <c r="N52" s="90">
        <f>ROUNDDOWN((M48-C48+C52+K52)*$N$4,0)</f>
        <v>2</v>
      </c>
      <c r="O52" s="90">
        <f>ROUNDDOWN((M48+K52-+C52)*$O$4,0)</f>
        <v>17</v>
      </c>
    </row>
    <row r="53" spans="1:15" ht="18" customHeight="1" thickTop="1" thickBot="1" x14ac:dyDescent="0.3">
      <c r="A53" s="193">
        <f t="shared" ref="A53" si="17">IF($M56&lt;IF($A$3="하",$S$8,$S$6),0,IF($M56&gt;IF($A$3="하",$S$7,$S$5),"",MAX(A49+1)))</f>
        <v>0</v>
      </c>
      <c r="B53" s="141" t="str">
        <f>IF(O54-C52&lt;$A$1," ","MAX to "&amp;MROUND(IF(IF(O54-C52&gt;$A$1,$A$1,O54-C52)&lt;2,I49,I49*(37-IF(O54-C52&gt;$A$1,$A$1,O54-C52))/36),D56))</f>
        <v>MAX to 132.5</v>
      </c>
      <c r="C53" s="90" t="str">
        <f>IF(O54&lt;=C52,"X",IF(N54&gt;C52,"must ME","can ME"))</f>
        <v>can ME</v>
      </c>
      <c r="D53" s="75" t="s">
        <v>31</v>
      </c>
      <c r="E53" s="23">
        <v>4</v>
      </c>
      <c r="F53" s="2">
        <v>1</v>
      </c>
      <c r="G53" s="23">
        <f>IF(F54&gt;=90%,2,IF(F54&gt;=80%,4,IF(F54&gt;=70%,6,6)))</f>
        <v>6</v>
      </c>
      <c r="H53" s="3" t="s">
        <v>2</v>
      </c>
      <c r="I53" s="91">
        <f>K54/(100%-IF($A$3="하",$P$8,$P$6)*K56)/K56</f>
        <v>148.89196675900277</v>
      </c>
      <c r="J53" s="92">
        <f>IF("하"=$A$3,$Q$7,$Q$5)</f>
        <v>20</v>
      </c>
      <c r="K53" s="107" t="s">
        <v>33</v>
      </c>
      <c r="L53" s="75" t="s">
        <v>25</v>
      </c>
      <c r="M53" s="76">
        <f>K54</f>
        <v>2150</v>
      </c>
      <c r="N53" s="93" t="s">
        <v>34</v>
      </c>
      <c r="O53" s="93" t="s">
        <v>35</v>
      </c>
    </row>
    <row r="54" spans="1:15" ht="18" customHeight="1" thickTop="1" thickBot="1" x14ac:dyDescent="0.3">
      <c r="A54" s="194"/>
      <c r="B54" s="143">
        <v>132.5</v>
      </c>
      <c r="C54" s="142">
        <f>IF(B56="","",IF(B54*36/(37-B56)=0,"",B54*36/(37-B56)))</f>
        <v>149.0625</v>
      </c>
      <c r="D54" s="109" t="str">
        <f>D50</f>
        <v>FSQ</v>
      </c>
      <c r="E54" s="18">
        <f>IF(C54="",I49,C54)</f>
        <v>149.0625</v>
      </c>
      <c r="F54" s="94">
        <f>100%-J53*IF($A$3="하",$P$8,$P$6)</f>
        <v>0.72199999999999998</v>
      </c>
      <c r="G54" s="7">
        <f t="shared" ref="G54:I55" si="18">F54</f>
        <v>0.72199999999999998</v>
      </c>
      <c r="H54" s="7">
        <f t="shared" si="18"/>
        <v>0.72199999999999998</v>
      </c>
      <c r="I54" s="7">
        <f t="shared" si="18"/>
        <v>0.72199999999999998</v>
      </c>
      <c r="J54" s="8">
        <f>I54</f>
        <v>0.72199999999999998</v>
      </c>
      <c r="K54" s="95">
        <f>F55*F56+G55*G56+H55*H56+I55*I56+J55*J56</f>
        <v>2150</v>
      </c>
      <c r="L54" s="86" t="s">
        <v>27</v>
      </c>
      <c r="M54" s="81">
        <f>M53+M50</f>
        <v>35485</v>
      </c>
      <c r="N54" s="90">
        <f>ROUNDDOWN(M52*$N$4,0)</f>
        <v>2</v>
      </c>
      <c r="O54" s="90">
        <f>ROUNDDOWN(M52*$O$4,0)</f>
        <v>17</v>
      </c>
    </row>
    <row r="55" spans="1:15" ht="18" customHeight="1" thickTop="1" thickBot="1" x14ac:dyDescent="0.3">
      <c r="A55" s="194"/>
      <c r="B55" s="141" t="str">
        <f>IF(O54-C52&lt;$A$1," ","1~ "&amp;IF(O54-C52&gt;$A$1,$A$1,O54-C52)&amp;" rep")</f>
        <v>1~ 5 rep</v>
      </c>
      <c r="C55" s="97" t="s">
        <v>37</v>
      </c>
      <c r="D55" s="98" t="s">
        <v>5</v>
      </c>
      <c r="E55" s="5" t="s">
        <v>3</v>
      </c>
      <c r="F55" s="18">
        <f>MROUND(F54*E54,D56)</f>
        <v>107.5</v>
      </c>
      <c r="G55" s="18">
        <f t="shared" si="18"/>
        <v>107.5</v>
      </c>
      <c r="H55" s="18">
        <f t="shared" si="18"/>
        <v>107.5</v>
      </c>
      <c r="I55" s="18">
        <f t="shared" si="18"/>
        <v>107.5</v>
      </c>
      <c r="J55" s="19">
        <f>I55</f>
        <v>107.5</v>
      </c>
      <c r="K55" s="74" t="s">
        <v>10</v>
      </c>
      <c r="L55" s="86" t="s">
        <v>28</v>
      </c>
      <c r="M55" s="87">
        <f>K56</f>
        <v>20</v>
      </c>
      <c r="N55" s="93" t="s">
        <v>34</v>
      </c>
      <c r="O55" s="93" t="s">
        <v>35</v>
      </c>
    </row>
    <row r="56" spans="1:15" ht="18" customHeight="1" thickTop="1" thickBot="1" x14ac:dyDescent="0.3">
      <c r="A56" s="195"/>
      <c r="B56" s="144">
        <v>5</v>
      </c>
      <c r="C56" s="90">
        <f>IF(B54="",C52,IF(C54&lt;=0,C52,C52+B56))</f>
        <v>16</v>
      </c>
      <c r="D56" s="100">
        <f>D52</f>
        <v>2.5</v>
      </c>
      <c r="E56" s="13" t="s">
        <v>7</v>
      </c>
      <c r="F56" s="153">
        <f xml:space="preserve"> IF($A$3="하",0,IF(MROUND(J53/5,1)&lt;=G53,IF(MROUND(J53/5,1)&gt;=E53,MROUND(J53/5,1),E53),G53))</f>
        <v>0</v>
      </c>
      <c r="G56" s="154">
        <f>IF(MROUND((J53-F56)/4,1)&lt;=G53,IF(MROUND((J53-F56)/4,1)&gt;=E53,MROUND((J53-F56)/4,1),E53),G53)</f>
        <v>5</v>
      </c>
      <c r="H56" s="154">
        <f>IF(MROUND((J53-F56-G56)/3,1)&lt;=G53,IF(MROUND((J53-F56-G56)/3,1)&gt;=E53,MROUND((J53-F56-G56)/3,1),E53),G53)</f>
        <v>5</v>
      </c>
      <c r="I56" s="154">
        <f>IF(MROUND((J53-F56-G56-H56)/2,1)&lt;=G53,IF((J53-F56-G56-H56)/2&gt;=E53,MROUND((J53-F56-G56-H56)/2,1),J53-F56-G56-H56),G53)</f>
        <v>5</v>
      </c>
      <c r="J56" s="155">
        <f>IF((J53-(F56+G56+H56+I56))&gt;0,(J53-(F56+G56+H56+I56)),0)</f>
        <v>5</v>
      </c>
      <c r="K56" s="101">
        <f>SUM(F56:J56)</f>
        <v>20</v>
      </c>
      <c r="L56" s="88" t="s">
        <v>30</v>
      </c>
      <c r="M56" s="89">
        <f>M55+M52</f>
        <v>277</v>
      </c>
      <c r="N56" s="90">
        <f>ROUNDDOWN((M52-C52+C56+K56)*$N$4,0)</f>
        <v>2</v>
      </c>
      <c r="O56" s="90">
        <f>ROUNDDOWN((M52+K56-+C56)*$O$4,0)</f>
        <v>18</v>
      </c>
    </row>
    <row r="57" spans="1:15" ht="18" customHeight="1" thickTop="1" thickBot="1" x14ac:dyDescent="0.3">
      <c r="A57" s="193">
        <f t="shared" ref="A57" si="19">IF($M60&lt;IF($A$3="하",$S$8,$S$6),0,IF($M60&gt;IF($A$3="하",$S$7,$S$5),"",MAX(A53+1)))</f>
        <v>0</v>
      </c>
      <c r="B57" s="141" t="str">
        <f>IF(O58-C56&lt;$A$1," ","MAX to "&amp;MROUND(IF(IF(O58-C56&gt;$A$1,$A$1,O58-C56)&lt;2,I53,I53*(37-IF(O58-C56&gt;$A$1,$A$1,O58-C56))/36),D60))</f>
        <v xml:space="preserve"> </v>
      </c>
      <c r="C57" s="90" t="str">
        <f>IF(O58&lt;=C56,"X",IF(N58&gt;C56,"must ME","can ME"))</f>
        <v>can ME</v>
      </c>
      <c r="D57" s="75" t="s">
        <v>31</v>
      </c>
      <c r="E57" s="23">
        <v>4</v>
      </c>
      <c r="F57" s="2">
        <v>1</v>
      </c>
      <c r="G57" s="23">
        <f>IF(F58&gt;=90%,2,IF(F58&gt;=80%,4,IF(F58&gt;=70%,6,6)))</f>
        <v>6</v>
      </c>
      <c r="H57" s="3" t="s">
        <v>2</v>
      </c>
      <c r="I57" s="91">
        <f>K58/(100%-IF($A$3="하",$P$8,$P$6)*K60)/K60</f>
        <v>161.31452581032411</v>
      </c>
      <c r="J57" s="92">
        <f>IF("하"=$A$3,$Q$7,$Q$5)</f>
        <v>20</v>
      </c>
      <c r="K57" s="107" t="s">
        <v>33</v>
      </c>
      <c r="L57" s="75" t="s">
        <v>25</v>
      </c>
      <c r="M57" s="76">
        <f>K58</f>
        <v>2580</v>
      </c>
      <c r="N57" s="93" t="s">
        <v>34</v>
      </c>
      <c r="O57" s="93" t="s">
        <v>35</v>
      </c>
    </row>
    <row r="58" spans="1:15" ht="18" customHeight="1" thickTop="1" thickBot="1" x14ac:dyDescent="0.3">
      <c r="A58" s="194"/>
      <c r="B58" s="143"/>
      <c r="C58" s="142" t="str">
        <f>IF(B60="","",IF(B58*36/(37-B60)=0,"",B58*36/(37-B60)))</f>
        <v/>
      </c>
      <c r="D58" s="109" t="str">
        <f>D54</f>
        <v>FSQ</v>
      </c>
      <c r="E58" s="18">
        <f>IF(C58="",I53,C58)</f>
        <v>148.89196675900277</v>
      </c>
      <c r="F58" s="94">
        <f>100%-J57*IF($A$3="하",$P$8,$P$6)</f>
        <v>0.72199999999999998</v>
      </c>
      <c r="G58" s="7">
        <f t="shared" ref="G58:I59" si="20">F58</f>
        <v>0.72199999999999998</v>
      </c>
      <c r="H58" s="7">
        <f t="shared" si="20"/>
        <v>0.72199999999999998</v>
      </c>
      <c r="I58" s="7">
        <f t="shared" si="20"/>
        <v>0.72199999999999998</v>
      </c>
      <c r="J58" s="8">
        <f>I58</f>
        <v>0.72199999999999998</v>
      </c>
      <c r="K58" s="95">
        <f>F59*F60+G59*G60+H59*H60+I59*I60+J59*J60</f>
        <v>2580</v>
      </c>
      <c r="L58" s="86" t="s">
        <v>27</v>
      </c>
      <c r="M58" s="81">
        <f>M57+M54</f>
        <v>38065</v>
      </c>
      <c r="N58" s="90">
        <f>ROUNDDOWN(M56*$N$4,0)</f>
        <v>2</v>
      </c>
      <c r="O58" s="90">
        <f>ROUNDDOWN(M56*$O$4,0)</f>
        <v>19</v>
      </c>
    </row>
    <row r="59" spans="1:15" ht="18" customHeight="1" thickTop="1" thickBot="1" x14ac:dyDescent="0.3">
      <c r="A59" s="194"/>
      <c r="B59" s="141" t="str">
        <f>IF(O58-C56&lt;$A$1," ","1~ "&amp;IF(O58-C56&gt;$A$1,$A$1,O58-C56)&amp;" rep")</f>
        <v xml:space="preserve"> </v>
      </c>
      <c r="C59" s="97" t="s">
        <v>37</v>
      </c>
      <c r="D59" s="98" t="s">
        <v>5</v>
      </c>
      <c r="E59" s="5" t="s">
        <v>3</v>
      </c>
      <c r="F59" s="18">
        <f>MROUND(F58*E58,D60)</f>
        <v>107.5</v>
      </c>
      <c r="G59" s="18">
        <f t="shared" si="20"/>
        <v>107.5</v>
      </c>
      <c r="H59" s="18">
        <f t="shared" si="20"/>
        <v>107.5</v>
      </c>
      <c r="I59" s="18">
        <f t="shared" si="20"/>
        <v>107.5</v>
      </c>
      <c r="J59" s="19">
        <f>I59</f>
        <v>107.5</v>
      </c>
      <c r="K59" s="74" t="s">
        <v>10</v>
      </c>
      <c r="L59" s="86" t="s">
        <v>28</v>
      </c>
      <c r="M59" s="87">
        <f>K60</f>
        <v>24</v>
      </c>
      <c r="N59" s="93" t="s">
        <v>34</v>
      </c>
      <c r="O59" s="93" t="s">
        <v>35</v>
      </c>
    </row>
    <row r="60" spans="1:15" ht="18" customHeight="1" thickTop="1" thickBot="1" x14ac:dyDescent="0.3">
      <c r="A60" s="195"/>
      <c r="B60" s="144"/>
      <c r="C60" s="90">
        <f>IF(B58="",C56,IF(C58&lt;=0,C56,C56+B60))</f>
        <v>16</v>
      </c>
      <c r="D60" s="100">
        <f>D56</f>
        <v>2.5</v>
      </c>
      <c r="E60" s="13" t="s">
        <v>7</v>
      </c>
      <c r="F60" s="153">
        <f xml:space="preserve"> IF($A$3="하",0,IF(MROUND(J57/5,1)&lt;=G57,IF(MROUND(J57/5,1)&gt;=E57,MROUND(J57/5,1),E57),G57))</f>
        <v>0</v>
      </c>
      <c r="G60" s="154">
        <v>6</v>
      </c>
      <c r="H60" s="154">
        <v>6</v>
      </c>
      <c r="I60" s="154">
        <v>6</v>
      </c>
      <c r="J60" s="155">
        <v>6</v>
      </c>
      <c r="K60" s="101">
        <f>SUM(F60:J60)</f>
        <v>24</v>
      </c>
      <c r="L60" s="88" t="s">
        <v>30</v>
      </c>
      <c r="M60" s="89">
        <f>M59+M56</f>
        <v>301</v>
      </c>
      <c r="N60" s="90">
        <f>ROUNDDOWN((M56-C56+C60+K60)*$N$4,0)</f>
        <v>3</v>
      </c>
      <c r="O60" s="90">
        <f>ROUNDDOWN((M56+K60-+C60)*$O$4,0)</f>
        <v>19</v>
      </c>
    </row>
    <row r="61" spans="1:15" ht="18" customHeight="1" thickTop="1" thickBot="1" x14ac:dyDescent="0.3">
      <c r="A61" s="193">
        <f t="shared" ref="A61" si="21">IF($M64&lt;IF($A$3="하",$S$8,$S$6),0,IF($M64&gt;IF($A$3="하",$S$7,$S$5),"",MAX(A57+1)))</f>
        <v>0</v>
      </c>
      <c r="B61" s="141" t="str">
        <f>IF(O62-C60&lt;$A$1," ","MAX to "&amp;MROUND(IF(IF(O62-C60&gt;$A$1,$A$1,O62-C60)&lt;2,I57,I57*(37-IF(O62-C60&gt;$A$1,$A$1,O62-C60))/36),D64))</f>
        <v>MAX to 142.5</v>
      </c>
      <c r="C61" s="90" t="str">
        <f>IF(O62&lt;=C60,"X",IF(N62&gt;C60,"must ME","can ME"))</f>
        <v>can ME</v>
      </c>
      <c r="D61" s="75" t="s">
        <v>31</v>
      </c>
      <c r="E61" s="23">
        <v>4</v>
      </c>
      <c r="F61" s="2">
        <v>1</v>
      </c>
      <c r="G61" s="23">
        <f>IF(F62&gt;=90%,2,IF(F62&gt;=80%,4,IF(F62&gt;=70%,6,6)))</f>
        <v>6</v>
      </c>
      <c r="H61" s="3" t="s">
        <v>2</v>
      </c>
      <c r="I61" s="91">
        <f>K62/(100%-IF($A$3="하",$P$8,$P$6)*K64)/K64</f>
        <v>155.81717451523545</v>
      </c>
      <c r="J61" s="92">
        <f>IF("하"=$A$3,$Q$7,$Q$5)</f>
        <v>20</v>
      </c>
      <c r="K61" s="107" t="s">
        <v>33</v>
      </c>
      <c r="L61" s="75" t="s">
        <v>25</v>
      </c>
      <c r="M61" s="76">
        <f>K62</f>
        <v>2250</v>
      </c>
      <c r="N61" s="93" t="s">
        <v>34</v>
      </c>
      <c r="O61" s="93" t="s">
        <v>35</v>
      </c>
    </row>
    <row r="62" spans="1:15" ht="18" customHeight="1" thickTop="1" thickBot="1" x14ac:dyDescent="0.3">
      <c r="A62" s="194"/>
      <c r="B62" s="143">
        <v>142.5</v>
      </c>
      <c r="C62" s="142">
        <f>IF(B64="","",IF(B62*36/(37-B64)=0,"",B62*36/(37-B64)))</f>
        <v>155.45454545454547</v>
      </c>
      <c r="D62" s="109" t="str">
        <f>D58</f>
        <v>FSQ</v>
      </c>
      <c r="E62" s="18">
        <f>IF(C62="",I57,C62)</f>
        <v>155.45454545454547</v>
      </c>
      <c r="F62" s="94">
        <f>100%-J61*IF($A$3="하",$P$8,$P$6)</f>
        <v>0.72199999999999998</v>
      </c>
      <c r="G62" s="7">
        <f t="shared" ref="G62:I63" si="22">F62</f>
        <v>0.72199999999999998</v>
      </c>
      <c r="H62" s="7">
        <f t="shared" si="22"/>
        <v>0.72199999999999998</v>
      </c>
      <c r="I62" s="7">
        <f t="shared" si="22"/>
        <v>0.72199999999999998</v>
      </c>
      <c r="J62" s="8">
        <f>I62</f>
        <v>0.72199999999999998</v>
      </c>
      <c r="K62" s="95">
        <f>F63*F64+G63*G64+H63*H64+I63*I64+J63*J64</f>
        <v>2250</v>
      </c>
      <c r="L62" s="86" t="s">
        <v>27</v>
      </c>
      <c r="M62" s="81">
        <f>M61+M58</f>
        <v>40315</v>
      </c>
      <c r="N62" s="90">
        <f>ROUNDDOWN(M60*$N$4,0)</f>
        <v>3</v>
      </c>
      <c r="O62" s="90">
        <f>ROUNDDOWN(M60*$O$4,0)</f>
        <v>21</v>
      </c>
    </row>
    <row r="63" spans="1:15" ht="18" customHeight="1" thickTop="1" thickBot="1" x14ac:dyDescent="0.3">
      <c r="A63" s="194"/>
      <c r="B63" s="141" t="str">
        <f>IF(O62-C60&lt;$A$1," ","1~ "&amp;IF(O62-C60&gt;$A$1,$A$1,O62-C60)&amp;" rep")</f>
        <v>1~ 5 rep</v>
      </c>
      <c r="C63" s="97" t="s">
        <v>37</v>
      </c>
      <c r="D63" s="98" t="s">
        <v>5</v>
      </c>
      <c r="E63" s="5" t="s">
        <v>3</v>
      </c>
      <c r="F63" s="18">
        <f>MROUND(F62*E62,D64)</f>
        <v>112.5</v>
      </c>
      <c r="G63" s="18">
        <f t="shared" si="22"/>
        <v>112.5</v>
      </c>
      <c r="H63" s="18">
        <f t="shared" si="22"/>
        <v>112.5</v>
      </c>
      <c r="I63" s="18">
        <f t="shared" si="22"/>
        <v>112.5</v>
      </c>
      <c r="J63" s="19">
        <f>I63</f>
        <v>112.5</v>
      </c>
      <c r="K63" s="74" t="s">
        <v>10</v>
      </c>
      <c r="L63" s="86" t="s">
        <v>28</v>
      </c>
      <c r="M63" s="87">
        <f>K64</f>
        <v>20</v>
      </c>
      <c r="N63" s="93" t="s">
        <v>34</v>
      </c>
      <c r="O63" s="93" t="s">
        <v>35</v>
      </c>
    </row>
    <row r="64" spans="1:15" ht="18" customHeight="1" thickTop="1" thickBot="1" x14ac:dyDescent="0.3">
      <c r="A64" s="195"/>
      <c r="B64" s="144">
        <v>4</v>
      </c>
      <c r="C64" s="90">
        <f>IF(B62="",C60,IF(C62&lt;=0,C60,C60+B64))</f>
        <v>20</v>
      </c>
      <c r="D64" s="100">
        <f>D60</f>
        <v>2.5</v>
      </c>
      <c r="E64" s="13" t="s">
        <v>7</v>
      </c>
      <c r="F64" s="153">
        <f xml:space="preserve"> IF($A$3="하",0,IF(MROUND(J61/5,1)&lt;=G61,IF(MROUND(J61/5,1)&gt;=E61,MROUND(J61/5,1),E61),G61))</f>
        <v>0</v>
      </c>
      <c r="G64" s="154">
        <f>IF(MROUND((J61-F64)/4,1)&lt;=G61,IF(MROUND((J61-F64)/4,1)&gt;=E61,MROUND((J61-F64)/4,1),E61),G61)</f>
        <v>5</v>
      </c>
      <c r="H64" s="154">
        <f>IF(MROUND((J61-F64-G64)/3,1)&lt;=G61,IF(MROUND((J61-F64-G64)/3,1)&gt;=E61,MROUND((J61-F64-G64)/3,1),E61),G61)</f>
        <v>5</v>
      </c>
      <c r="I64" s="154">
        <f>IF(MROUND((J61-F64-G64-H64)/2,1)&lt;=G61,IF((J61-F64-G64-H64)/2&gt;=E61,MROUND((J61-F64-G64-H64)/2,1),J61-F64-G64-H64),G61)</f>
        <v>5</v>
      </c>
      <c r="J64" s="155">
        <f>IF((J61-(F64+G64+H64+I64))&gt;0,(J61-(F64+G64+H64+I64)),0)</f>
        <v>5</v>
      </c>
      <c r="K64" s="101">
        <f>SUM(F64:J64)</f>
        <v>20</v>
      </c>
      <c r="L64" s="88" t="s">
        <v>30</v>
      </c>
      <c r="M64" s="89">
        <f>M63+M60</f>
        <v>321</v>
      </c>
      <c r="N64" s="90">
        <f>ROUNDDOWN((M60-C60+C64+K64)*$N$4,0)</f>
        <v>3</v>
      </c>
      <c r="O64" s="90">
        <f>ROUNDDOWN((M60+K64-+C64)*$O$4,0)</f>
        <v>21</v>
      </c>
    </row>
    <row r="65" spans="1:15" ht="18" customHeight="1" thickTop="1" thickBot="1" x14ac:dyDescent="0.3">
      <c r="A65" s="193">
        <f>IF($M68&lt;IF($A$3="하",$S$8,$S$6),0,IF($M68&gt;IF($A$3="하",$S$7,$S$5),"",MAX(A61+1)))</f>
        <v>0</v>
      </c>
      <c r="B65" s="141" t="str">
        <f>IF(O66-C64&lt;$A$1," ","MAX to "&amp;MROUND(IF(IF(O66-C64&gt;$A$1,$A$1,O66-C64)&lt;2,I61,I61*(37-IF(O66-C64&gt;$A$1,$A$1,O66-C64))/36),D68))</f>
        <v xml:space="preserve"> </v>
      </c>
      <c r="C65" s="90" t="str">
        <f>IF(O66&lt;=C64,"X",IF(N66&gt;C64,"must ME","can ME"))</f>
        <v>can ME</v>
      </c>
      <c r="D65" s="75" t="s">
        <v>31</v>
      </c>
      <c r="E65" s="23">
        <v>4</v>
      </c>
      <c r="F65" s="2">
        <v>1</v>
      </c>
      <c r="G65" s="23">
        <f>IF(F66&gt;=90%,2,IF(F66&gt;=80%,4,IF(F66&gt;=70%,6,6)))</f>
        <v>6</v>
      </c>
      <c r="H65" s="3" t="s">
        <v>2</v>
      </c>
      <c r="I65" s="91">
        <f>K66/(100%-IF($A$3="하",$P$8,$P$6)*K68)/K68</f>
        <v>168.81752701080433</v>
      </c>
      <c r="J65" s="92">
        <f>IF("하"=$A$3,$Q$7,$Q$5)</f>
        <v>20</v>
      </c>
      <c r="K65" s="107" t="s">
        <v>33</v>
      </c>
      <c r="L65" s="75" t="s">
        <v>25</v>
      </c>
      <c r="M65" s="76">
        <f>K66</f>
        <v>2700</v>
      </c>
      <c r="N65" s="93" t="s">
        <v>34</v>
      </c>
      <c r="O65" s="93" t="s">
        <v>35</v>
      </c>
    </row>
    <row r="66" spans="1:15" ht="18" customHeight="1" thickTop="1" thickBot="1" x14ac:dyDescent="0.3">
      <c r="A66" s="194"/>
      <c r="B66" s="143"/>
      <c r="C66" s="142" t="str">
        <f>IF(B68="","",IF(B66*36/(37-B68)=0,"",B66*36/(37-B68)))</f>
        <v/>
      </c>
      <c r="D66" s="109" t="str">
        <f>D62</f>
        <v>FSQ</v>
      </c>
      <c r="E66" s="18">
        <f>IF(C66="",I61,C66)</f>
        <v>155.81717451523545</v>
      </c>
      <c r="F66" s="94">
        <f>100%-J65*IF($A$3="하",$P$8,$P$6)</f>
        <v>0.72199999999999998</v>
      </c>
      <c r="G66" s="7">
        <f t="shared" ref="G66:I67" si="23">F66</f>
        <v>0.72199999999999998</v>
      </c>
      <c r="H66" s="7">
        <f t="shared" si="23"/>
        <v>0.72199999999999998</v>
      </c>
      <c r="I66" s="7">
        <f t="shared" si="23"/>
        <v>0.72199999999999998</v>
      </c>
      <c r="J66" s="8">
        <f>I66</f>
        <v>0.72199999999999998</v>
      </c>
      <c r="K66" s="95">
        <f>F67*F68+G67*G68+H67*H68+I67*I68+J67*J68</f>
        <v>2700</v>
      </c>
      <c r="L66" s="86" t="s">
        <v>27</v>
      </c>
      <c r="M66" s="81">
        <f>M65+M62</f>
        <v>43015</v>
      </c>
      <c r="N66" s="90">
        <f>ROUNDDOWN(M64*$N$4,0)</f>
        <v>3</v>
      </c>
      <c r="O66" s="90">
        <f>ROUNDDOWN(M64*$O$4,0)</f>
        <v>22</v>
      </c>
    </row>
    <row r="67" spans="1:15" ht="18" customHeight="1" thickTop="1" thickBot="1" x14ac:dyDescent="0.3">
      <c r="A67" s="194"/>
      <c r="B67" s="141" t="str">
        <f>IF(O66-C64&lt;$A$1," ","1~ "&amp;IF(O66-C64&gt;$A$1,$A$1,O66-C64)&amp;" rep")</f>
        <v xml:space="preserve"> </v>
      </c>
      <c r="C67" s="97" t="s">
        <v>37</v>
      </c>
      <c r="D67" s="98" t="s">
        <v>5</v>
      </c>
      <c r="E67" s="5" t="s">
        <v>3</v>
      </c>
      <c r="F67" s="18">
        <f>MROUND(F66*E66,D68)</f>
        <v>112.5</v>
      </c>
      <c r="G67" s="18">
        <f t="shared" si="23"/>
        <v>112.5</v>
      </c>
      <c r="H67" s="18">
        <f t="shared" si="23"/>
        <v>112.5</v>
      </c>
      <c r="I67" s="18">
        <f t="shared" si="23"/>
        <v>112.5</v>
      </c>
      <c r="J67" s="19">
        <f>I67</f>
        <v>112.5</v>
      </c>
      <c r="K67" s="74" t="s">
        <v>10</v>
      </c>
      <c r="L67" s="86" t="s">
        <v>28</v>
      </c>
      <c r="M67" s="87">
        <f>K68</f>
        <v>24</v>
      </c>
      <c r="N67" s="93" t="s">
        <v>34</v>
      </c>
      <c r="O67" s="93" t="s">
        <v>35</v>
      </c>
    </row>
    <row r="68" spans="1:15" ht="18" customHeight="1" thickTop="1" thickBot="1" x14ac:dyDescent="0.3">
      <c r="A68" s="195"/>
      <c r="B68" s="144"/>
      <c r="C68" s="90">
        <f>IF(B66="",C64,IF(C66&lt;=0,C64,C64+B68))</f>
        <v>20</v>
      </c>
      <c r="D68" s="100">
        <f>D64</f>
        <v>2.5</v>
      </c>
      <c r="E68" s="13" t="s">
        <v>7</v>
      </c>
      <c r="F68" s="153">
        <f xml:space="preserve"> IF($A$3="하",0,IF(MROUND(J65/5,1)&lt;=G65,IF(MROUND(J65/5,1)&gt;=E65,MROUND(J65/5,1),E65),G65))</f>
        <v>0</v>
      </c>
      <c r="G68" s="154">
        <v>6</v>
      </c>
      <c r="H68" s="154">
        <v>6</v>
      </c>
      <c r="I68" s="154">
        <v>6</v>
      </c>
      <c r="J68" s="155">
        <v>6</v>
      </c>
      <c r="K68" s="101">
        <f>SUM(F68:J68)</f>
        <v>24</v>
      </c>
      <c r="L68" s="88" t="s">
        <v>30</v>
      </c>
      <c r="M68" s="89">
        <f>M67+M64</f>
        <v>345</v>
      </c>
      <c r="N68" s="90">
        <f>ROUNDDOWN((M64-C64+C68+K68)*$N$4,0)</f>
        <v>3</v>
      </c>
      <c r="O68" s="90">
        <f>ROUNDDOWN((M64+K68-+C68)*$O$4,0)</f>
        <v>22</v>
      </c>
    </row>
    <row r="69" spans="1:15" ht="18" customHeight="1" thickTop="1" thickBot="1" x14ac:dyDescent="0.3">
      <c r="A69" s="193">
        <f t="shared" ref="A69" si="24">IF($M72&lt;IF($A$3="하",$S$8,$S$6),0,IF($M72&gt;IF($A$3="하",$S$7,$S$5),"",MAX(A65+1)))</f>
        <v>0</v>
      </c>
      <c r="B69" s="141" t="str">
        <f>IF(O70-C68&lt;$A$1," ","MAX to "&amp;MROUND(IF(IF(O70-C68&gt;$A$1,$A$1,O70-C68)&lt;2,I65,I65*(37-IF(O70-C68&gt;$A$1,$A$1,O70-C68))/36),D72))</f>
        <v xml:space="preserve"> </v>
      </c>
      <c r="C69" s="90" t="str">
        <f>IF(O70&lt;=C68,"X",IF(N70&gt;C68,"must ME","can ME"))</f>
        <v>can ME</v>
      </c>
      <c r="D69" s="75" t="s">
        <v>31</v>
      </c>
      <c r="E69" s="23">
        <v>4</v>
      </c>
      <c r="F69" s="2">
        <v>1</v>
      </c>
      <c r="G69" s="23">
        <f>IF(F70&gt;=90%,2,IF(F70&gt;=80%,4,IF(F70&gt;=70%,6,6)))</f>
        <v>6</v>
      </c>
      <c r="H69" s="3" t="s">
        <v>2</v>
      </c>
      <c r="I69" s="91">
        <f>K70/(100%-IF($A$3="하",$P$8,$P$6)*K72)/K72</f>
        <v>169.66759002770084</v>
      </c>
      <c r="J69" s="92">
        <f>IF("하"=$A$3,$Q$7,$Q$5)</f>
        <v>20</v>
      </c>
      <c r="K69" s="107" t="s">
        <v>33</v>
      </c>
      <c r="L69" s="75" t="s">
        <v>25</v>
      </c>
      <c r="M69" s="76">
        <f>K70</f>
        <v>2450</v>
      </c>
      <c r="N69" s="93" t="s">
        <v>34</v>
      </c>
      <c r="O69" s="93" t="s">
        <v>35</v>
      </c>
    </row>
    <row r="70" spans="1:15" ht="18" customHeight="1" thickTop="1" thickBot="1" x14ac:dyDescent="0.3">
      <c r="A70" s="194"/>
      <c r="B70" s="143"/>
      <c r="C70" s="142" t="str">
        <f>IF(B72="","",IF(B70*36/(37-B72)=0,"",B70*36/(37-B72)))</f>
        <v/>
      </c>
      <c r="D70" s="109" t="str">
        <f>D66</f>
        <v>FSQ</v>
      </c>
      <c r="E70" s="18">
        <f>IF(C70="",I65,C70)</f>
        <v>168.81752701080433</v>
      </c>
      <c r="F70" s="94">
        <f>100%-J69*IF($A$3="하",$P$8,$P$6)</f>
        <v>0.72199999999999998</v>
      </c>
      <c r="G70" s="7">
        <f t="shared" ref="G70:I71" si="25">F70</f>
        <v>0.72199999999999998</v>
      </c>
      <c r="H70" s="7">
        <f t="shared" si="25"/>
        <v>0.72199999999999998</v>
      </c>
      <c r="I70" s="7">
        <f t="shared" si="25"/>
        <v>0.72199999999999998</v>
      </c>
      <c r="J70" s="8">
        <f>I70</f>
        <v>0.72199999999999998</v>
      </c>
      <c r="K70" s="95">
        <f>F71*F72+G71*G72+H71*H72+I71*I72+J71*J72</f>
        <v>2450</v>
      </c>
      <c r="L70" s="86" t="s">
        <v>27</v>
      </c>
      <c r="M70" s="81">
        <f>M69+M66</f>
        <v>45465</v>
      </c>
      <c r="N70" s="90">
        <f>ROUNDDOWN(M68*$N$4,0)</f>
        <v>3</v>
      </c>
      <c r="O70" s="90">
        <f>ROUNDDOWN(M68*$O$4,0)</f>
        <v>24</v>
      </c>
    </row>
    <row r="71" spans="1:15" ht="18" customHeight="1" thickTop="1" thickBot="1" x14ac:dyDescent="0.3">
      <c r="A71" s="194"/>
      <c r="B71" s="141" t="str">
        <f>IF(O70-C68&lt;$A$1," ","1~ "&amp;IF(O70-C68&gt;$A$1,$A$1,O70-C68)&amp;" rep")</f>
        <v xml:space="preserve"> </v>
      </c>
      <c r="C71" s="97" t="s">
        <v>37</v>
      </c>
      <c r="D71" s="98" t="s">
        <v>5</v>
      </c>
      <c r="E71" s="5" t="s">
        <v>3</v>
      </c>
      <c r="F71" s="18">
        <f>MROUND(F70*E70,D72)</f>
        <v>122.5</v>
      </c>
      <c r="G71" s="18">
        <f t="shared" si="25"/>
        <v>122.5</v>
      </c>
      <c r="H71" s="18">
        <f t="shared" si="25"/>
        <v>122.5</v>
      </c>
      <c r="I71" s="18">
        <f t="shared" si="25"/>
        <v>122.5</v>
      </c>
      <c r="J71" s="19">
        <f>I71</f>
        <v>122.5</v>
      </c>
      <c r="K71" s="74" t="s">
        <v>10</v>
      </c>
      <c r="L71" s="86" t="s">
        <v>28</v>
      </c>
      <c r="M71" s="87">
        <f>K72</f>
        <v>20</v>
      </c>
      <c r="N71" s="93" t="s">
        <v>34</v>
      </c>
      <c r="O71" s="93" t="s">
        <v>35</v>
      </c>
    </row>
    <row r="72" spans="1:15" ht="18" customHeight="1" thickTop="1" thickBot="1" x14ac:dyDescent="0.3">
      <c r="A72" s="195"/>
      <c r="B72" s="144"/>
      <c r="C72" s="90">
        <f>IF(B70="",C68,IF(C70&lt;=0,C68,C68+B72))</f>
        <v>20</v>
      </c>
      <c r="D72" s="100">
        <f>D68</f>
        <v>2.5</v>
      </c>
      <c r="E72" s="13" t="s">
        <v>7</v>
      </c>
      <c r="F72" s="153">
        <f xml:space="preserve"> IF($A$3="하",0,IF(MROUND(J69/5,1)&lt;=G69,IF(MROUND(J69/5,1)&gt;=E69,MROUND(J69/5,1),E69),G69))</f>
        <v>0</v>
      </c>
      <c r="G72" s="154">
        <v>6</v>
      </c>
      <c r="H72" s="154">
        <v>6</v>
      </c>
      <c r="I72" s="154">
        <f>IF(MROUND((J69-F72-G72-H72)/2,1)&lt;=G69,IF((J69-F72-G72-H72)/2&gt;=E69,MROUND((J69-F72-G72-H72)/2,1),J69-F72-G72-H72),G69)</f>
        <v>4</v>
      </c>
      <c r="J72" s="155">
        <f>IF((J69-(F72+G72+H72+I72))&gt;0,(J69-(F72+G72+H72+I72)),0)</f>
        <v>4</v>
      </c>
      <c r="K72" s="101">
        <f>SUM(F72:J72)</f>
        <v>20</v>
      </c>
      <c r="L72" s="88" t="s">
        <v>30</v>
      </c>
      <c r="M72" s="89">
        <f>M71+M68</f>
        <v>365</v>
      </c>
      <c r="N72" s="90">
        <f>ROUNDDOWN((M68-C68+C72+K72)*$N$4,0)</f>
        <v>3</v>
      </c>
      <c r="O72" s="90">
        <f>ROUNDDOWN((M68+K72-+C72)*$O$4,0)</f>
        <v>24</v>
      </c>
    </row>
    <row r="73" spans="1:15" ht="18" customHeight="1" thickTop="1" thickBot="1" x14ac:dyDescent="0.3">
      <c r="A73" s="193">
        <f t="shared" ref="A73" si="26">IF($M76&lt;IF($A$3="하",$S$8,$S$6),0,IF($M76&gt;IF($A$3="하",$S$7,$S$5),"",MAX(A69+1)))</f>
        <v>0</v>
      </c>
      <c r="B73" s="141" t="str">
        <f>IF(O74-C72&lt;$A$1," ","MAX to "&amp;MROUND(IF(IF(O74-C72&gt;$A$1,$A$1,O74-C72)&lt;2,I69,I69*(37-IF(O74-C72&gt;$A$1,$A$1,O74-C72))/36),D76))</f>
        <v>MAX to 150</v>
      </c>
      <c r="C73" s="90" t="str">
        <f>IF(O74&lt;=C72,"X",IF(N74&gt;C72,"must ME","can ME"))</f>
        <v>can ME</v>
      </c>
      <c r="D73" s="75" t="s">
        <v>31</v>
      </c>
      <c r="E73" s="23">
        <v>4</v>
      </c>
      <c r="F73" s="2">
        <v>1</v>
      </c>
      <c r="G73" s="23">
        <f>IF(F74&gt;=90%,2,IF(F74&gt;=80%,4,IF(F74&gt;=70%,6,6)))</f>
        <v>6</v>
      </c>
      <c r="H73" s="3" t="s">
        <v>2</v>
      </c>
      <c r="I73" s="91">
        <f>K74/(100%-IF($A$3="하",$P$8,$P$6)*K76)/K76</f>
        <v>217.58703481392558</v>
      </c>
      <c r="J73" s="92">
        <f>IF("하"=$A$3,$Q$7,$Q$5)</f>
        <v>20</v>
      </c>
      <c r="K73" s="107" t="s">
        <v>33</v>
      </c>
      <c r="L73" s="75" t="s">
        <v>25</v>
      </c>
      <c r="M73" s="76">
        <f>K74</f>
        <v>3480</v>
      </c>
      <c r="N73" s="93" t="s">
        <v>34</v>
      </c>
      <c r="O73" s="93" t="s">
        <v>35</v>
      </c>
    </row>
    <row r="74" spans="1:15" ht="18" customHeight="1" thickTop="1" thickBot="1" x14ac:dyDescent="0.3">
      <c r="A74" s="194"/>
      <c r="B74" s="143">
        <v>200</v>
      </c>
      <c r="C74" s="142">
        <f>IF(B76="","",IF(B74*36/(37-B76)=0,"",B74*36/(37-B76)))</f>
        <v>200</v>
      </c>
      <c r="D74" s="109" t="s">
        <v>47</v>
      </c>
      <c r="E74" s="18">
        <f>IF(C74="",I69,C74)</f>
        <v>200</v>
      </c>
      <c r="F74" s="94">
        <f>100%-J73*IF($A$3="하",$P$8,$P$6)</f>
        <v>0.72199999999999998</v>
      </c>
      <c r="G74" s="7">
        <f t="shared" ref="G74:I75" si="27">F74</f>
        <v>0.72199999999999998</v>
      </c>
      <c r="H74" s="7">
        <f t="shared" si="27"/>
        <v>0.72199999999999998</v>
      </c>
      <c r="I74" s="7">
        <f t="shared" si="27"/>
        <v>0.72199999999999998</v>
      </c>
      <c r="J74" s="8">
        <f>I74</f>
        <v>0.72199999999999998</v>
      </c>
      <c r="K74" s="95">
        <f>F75*F76+G75*G76+H75*H76+I75*I76+J75*J76</f>
        <v>3480</v>
      </c>
      <c r="L74" s="86" t="s">
        <v>27</v>
      </c>
      <c r="M74" s="81">
        <f>M73+M70</f>
        <v>48945</v>
      </c>
      <c r="N74" s="90">
        <f>ROUNDDOWN(M72*$N$4,0)</f>
        <v>3</v>
      </c>
      <c r="O74" s="90">
        <f>ROUNDDOWN(M72*$O$4,0)</f>
        <v>25</v>
      </c>
    </row>
    <row r="75" spans="1:15" ht="18" customHeight="1" thickTop="1" thickBot="1" x14ac:dyDescent="0.3">
      <c r="A75" s="194"/>
      <c r="B75" s="141" t="str">
        <f>IF(O74-C72&lt;$A$1," ","1~ "&amp;IF(O74-C72&gt;$A$1,$A$1,O74-C72)&amp;" rep")</f>
        <v>1~ 5 rep</v>
      </c>
      <c r="C75" s="97" t="s">
        <v>37</v>
      </c>
      <c r="D75" s="98" t="s">
        <v>5</v>
      </c>
      <c r="E75" s="5" t="s">
        <v>3</v>
      </c>
      <c r="F75" s="18">
        <f>MROUND(F74*E74,D76)</f>
        <v>145</v>
      </c>
      <c r="G75" s="18">
        <f t="shared" si="27"/>
        <v>145</v>
      </c>
      <c r="H75" s="18">
        <f t="shared" si="27"/>
        <v>145</v>
      </c>
      <c r="I75" s="18">
        <f t="shared" si="27"/>
        <v>145</v>
      </c>
      <c r="J75" s="19">
        <f>I75</f>
        <v>145</v>
      </c>
      <c r="K75" s="74" t="s">
        <v>10</v>
      </c>
      <c r="L75" s="86" t="s">
        <v>28</v>
      </c>
      <c r="M75" s="87">
        <f>K76</f>
        <v>24</v>
      </c>
      <c r="N75" s="93" t="s">
        <v>34</v>
      </c>
      <c r="O75" s="93" t="s">
        <v>35</v>
      </c>
    </row>
    <row r="76" spans="1:15" ht="18" customHeight="1" thickTop="1" thickBot="1" x14ac:dyDescent="0.3">
      <c r="A76" s="195"/>
      <c r="B76" s="144">
        <v>1</v>
      </c>
      <c r="C76" s="90">
        <f>IF(B74="",C72,IF(C74&lt;=0,C72,C72+B76))</f>
        <v>21</v>
      </c>
      <c r="D76" s="100">
        <f>D72</f>
        <v>2.5</v>
      </c>
      <c r="E76" s="13" t="s">
        <v>7</v>
      </c>
      <c r="F76" s="153">
        <f xml:space="preserve"> IF($A$3="하",0,IF(MROUND(J73/5,1)&lt;=G73,IF(MROUND(J73/5,1)&gt;=E73,MROUND(J73/5,1),E73),G73))</f>
        <v>0</v>
      </c>
      <c r="G76" s="154">
        <v>6</v>
      </c>
      <c r="H76" s="154">
        <v>6</v>
      </c>
      <c r="I76" s="154">
        <v>6</v>
      </c>
      <c r="J76" s="155">
        <v>6</v>
      </c>
      <c r="K76" s="101">
        <f>SUM(F76:J76)</f>
        <v>24</v>
      </c>
      <c r="L76" s="88" t="s">
        <v>30</v>
      </c>
      <c r="M76" s="89">
        <f>M75+M72</f>
        <v>389</v>
      </c>
      <c r="N76" s="90">
        <f>ROUNDDOWN((M72-C72+C76+K76)*$N$4,0)</f>
        <v>3</v>
      </c>
      <c r="O76" s="90">
        <f>ROUNDDOWN((M72+K76-+C76)*$O$4,0)</f>
        <v>25</v>
      </c>
    </row>
    <row r="77" spans="1:15" ht="18" customHeight="1" thickTop="1" thickBot="1" x14ac:dyDescent="0.3">
      <c r="A77" s="193">
        <f t="shared" ref="A77" si="28">IF($M80&lt;IF($A$3="하",$S$8,$S$6),0,IF($M80&gt;IF($A$3="하",$S$7,$S$5),"",MAX(A73+1)))</f>
        <v>0</v>
      </c>
      <c r="B77" s="141" t="str">
        <f>IF(O78-C76&lt;$A$1," ","MAX to "&amp;MROUND(IF(IF(O78-C76&gt;$A$1,$A$1,O78-C76)&lt;2,I73,I73*(37-IF(O78-C76&gt;$A$1,$A$1,O78-C76))/36),D80))</f>
        <v>MAX to 192.5</v>
      </c>
      <c r="C77" s="90" t="str">
        <f>IF(O78&lt;=C76,"X",IF(N78&gt;C76,"must ME","can ME"))</f>
        <v>can ME</v>
      </c>
      <c r="D77" s="75" t="s">
        <v>31</v>
      </c>
      <c r="E77" s="23">
        <v>4</v>
      </c>
      <c r="F77" s="2">
        <v>1</v>
      </c>
      <c r="G77" s="23">
        <f>IF(F78&gt;=90%,2,IF(F78&gt;=80%,4,IF(F78&gt;=70%,6,6)))</f>
        <v>6</v>
      </c>
      <c r="H77" s="3" t="s">
        <v>2</v>
      </c>
      <c r="I77" s="91">
        <f>K78/(100%-IF($A$3="하",$P$8,$P$6)*K80)/K80</f>
        <v>221.33853541416568</v>
      </c>
      <c r="J77" s="92">
        <f>IF("하"=$A$3,$Q$7,$Q$5)</f>
        <v>20</v>
      </c>
      <c r="K77" s="107" t="s">
        <v>33</v>
      </c>
      <c r="L77" s="75" t="s">
        <v>25</v>
      </c>
      <c r="M77" s="76">
        <f>K78</f>
        <v>3540</v>
      </c>
      <c r="N77" s="93" t="s">
        <v>34</v>
      </c>
      <c r="O77" s="93" t="s">
        <v>35</v>
      </c>
    </row>
    <row r="78" spans="1:15" ht="18" customHeight="1" thickTop="1" thickBot="1" x14ac:dyDescent="0.3">
      <c r="A78" s="194"/>
      <c r="B78" s="143">
        <v>192.5</v>
      </c>
      <c r="C78" s="142">
        <f>IF(B80="","",IF(B78*36/(37-B80)=0,"",B78*36/(37-B80)))</f>
        <v>203.8235294117647</v>
      </c>
      <c r="D78" s="109" t="str">
        <f>D74</f>
        <v>8스트랩매트CDL</v>
      </c>
      <c r="E78" s="18">
        <f>IF(C78="",I73,C78)</f>
        <v>203.8235294117647</v>
      </c>
      <c r="F78" s="94">
        <f>100%-J77*IF($A$3="하",$P$8,$P$6)</f>
        <v>0.72199999999999998</v>
      </c>
      <c r="G78" s="7">
        <f t="shared" ref="G78:I79" si="29">F78</f>
        <v>0.72199999999999998</v>
      </c>
      <c r="H78" s="7">
        <f t="shared" si="29"/>
        <v>0.72199999999999998</v>
      </c>
      <c r="I78" s="7">
        <f t="shared" si="29"/>
        <v>0.72199999999999998</v>
      </c>
      <c r="J78" s="8">
        <f>I78</f>
        <v>0.72199999999999998</v>
      </c>
      <c r="K78" s="95">
        <f>F79*F80+G79*G80+H79*H80+I79*I80+J79*J80</f>
        <v>3540</v>
      </c>
      <c r="L78" s="86" t="s">
        <v>27</v>
      </c>
      <c r="M78" s="81">
        <f>M77+M74</f>
        <v>52485</v>
      </c>
      <c r="N78" s="90">
        <f>ROUNDDOWN(M76*$N$4,0)</f>
        <v>3</v>
      </c>
      <c r="O78" s="90">
        <f>ROUNDDOWN(M76*$O$4,0)</f>
        <v>27</v>
      </c>
    </row>
    <row r="79" spans="1:15" ht="18" customHeight="1" thickTop="1" thickBot="1" x14ac:dyDescent="0.3">
      <c r="A79" s="194"/>
      <c r="B79" s="141" t="str">
        <f>IF(O78-C76&lt;$A$1," ","1~ "&amp;IF(O78-C76&gt;$A$1,$A$1,O78-C76)&amp;" rep")</f>
        <v>1~ 5 rep</v>
      </c>
      <c r="C79" s="97" t="s">
        <v>37</v>
      </c>
      <c r="D79" s="98" t="s">
        <v>5</v>
      </c>
      <c r="E79" s="5" t="s">
        <v>3</v>
      </c>
      <c r="F79" s="18">
        <f>MROUND(F78*E78,D80)</f>
        <v>147.5</v>
      </c>
      <c r="G79" s="18">
        <f t="shared" si="29"/>
        <v>147.5</v>
      </c>
      <c r="H79" s="18">
        <f t="shared" si="29"/>
        <v>147.5</v>
      </c>
      <c r="I79" s="18">
        <f t="shared" si="29"/>
        <v>147.5</v>
      </c>
      <c r="J79" s="19">
        <f>I79</f>
        <v>147.5</v>
      </c>
      <c r="K79" s="74" t="s">
        <v>10</v>
      </c>
      <c r="L79" s="86" t="s">
        <v>28</v>
      </c>
      <c r="M79" s="87">
        <f>K80</f>
        <v>24</v>
      </c>
      <c r="N79" s="93" t="s">
        <v>34</v>
      </c>
      <c r="O79" s="93" t="s">
        <v>35</v>
      </c>
    </row>
    <row r="80" spans="1:15" ht="18" customHeight="1" thickTop="1" thickBot="1" x14ac:dyDescent="0.3">
      <c r="A80" s="195"/>
      <c r="B80" s="144">
        <v>3</v>
      </c>
      <c r="C80" s="90">
        <f>IF(B78="",C76,IF(C78&lt;=0,C76,C76+B80))</f>
        <v>24</v>
      </c>
      <c r="D80" s="100">
        <f>D76</f>
        <v>2.5</v>
      </c>
      <c r="E80" s="13" t="s">
        <v>7</v>
      </c>
      <c r="F80" s="153">
        <f xml:space="preserve"> IF($A$3="하",0,IF(MROUND(J77/5,1)&lt;=G77,IF(MROUND(J77/5,1)&gt;=E77,MROUND(J77/5,1),E77),G77))</f>
        <v>0</v>
      </c>
      <c r="G80" s="154">
        <v>6</v>
      </c>
      <c r="H80" s="154">
        <v>6</v>
      </c>
      <c r="I80" s="154">
        <v>6</v>
      </c>
      <c r="J80" s="155">
        <v>6</v>
      </c>
      <c r="K80" s="101">
        <f>SUM(F80:J80)</f>
        <v>24</v>
      </c>
      <c r="L80" s="88" t="s">
        <v>30</v>
      </c>
      <c r="M80" s="89">
        <f>M79+M76</f>
        <v>413</v>
      </c>
      <c r="N80" s="90">
        <f>ROUNDDOWN((M76-C76+C80+K80)*$N$4,0)</f>
        <v>4</v>
      </c>
      <c r="O80" s="90">
        <f>ROUNDDOWN((M76+K80-+C80)*$O$4,0)</f>
        <v>27</v>
      </c>
    </row>
    <row r="81" spans="1:15" ht="18" customHeight="1" thickTop="1" thickBot="1" x14ac:dyDescent="0.3">
      <c r="A81" s="193">
        <f t="shared" ref="A81" si="30">IF($M84&lt;IF($A$3="하",$S$8,$S$6),0,IF($M84&gt;IF($A$3="하",$S$7,$S$5),"",MAX(A77+1)))</f>
        <v>0</v>
      </c>
      <c r="B81" s="141" t="str">
        <f>IF(O82-C80&lt;$A$1," ","MAX to "&amp;MROUND(IF(IF(O82-C80&gt;$A$1,$A$1,O82-C80)&lt;2,I77,I77*(37-IF(O82-C80&gt;$A$1,$A$1,O82-C80))/36),D84))</f>
        <v xml:space="preserve"> </v>
      </c>
      <c r="C81" s="90" t="str">
        <f>IF(O82&lt;=C80,"X",IF(N82&gt;C80,"must ME","can ME"))</f>
        <v>can ME</v>
      </c>
      <c r="D81" s="75" t="s">
        <v>31</v>
      </c>
      <c r="E81" s="23">
        <v>4</v>
      </c>
      <c r="F81" s="2">
        <v>1</v>
      </c>
      <c r="G81" s="23">
        <f>IF(F82&gt;=90%,2,IF(F82&gt;=80%,4,IF(F82&gt;=70%,6,6)))</f>
        <v>6</v>
      </c>
      <c r="H81" s="3" t="s">
        <v>2</v>
      </c>
      <c r="I81" s="91">
        <f>K82/(100%-IF($A$3="하",$P$8,$P$6)*K84)/K84</f>
        <v>217.58703481392558</v>
      </c>
      <c r="J81" s="92">
        <f>IF("하"=$A$3,$Q$7,$Q$5)</f>
        <v>20</v>
      </c>
      <c r="K81" s="107" t="s">
        <v>33</v>
      </c>
      <c r="L81" s="75" t="s">
        <v>25</v>
      </c>
      <c r="M81" s="76">
        <f>K82</f>
        <v>3480</v>
      </c>
      <c r="N81" s="93" t="s">
        <v>34</v>
      </c>
      <c r="O81" s="93" t="s">
        <v>35</v>
      </c>
    </row>
    <row r="82" spans="1:15" ht="18" customHeight="1" thickTop="1" thickBot="1" x14ac:dyDescent="0.3">
      <c r="A82" s="194"/>
      <c r="B82" s="143">
        <v>200</v>
      </c>
      <c r="C82" s="142">
        <f>IF(B84="","",IF(B82*36/(37-B84)=0,"",B82*36/(37-B84)))</f>
        <v>200</v>
      </c>
      <c r="D82" s="109" t="s">
        <v>48</v>
      </c>
      <c r="E82" s="18">
        <f>IF(C82="",I77,C82)</f>
        <v>200</v>
      </c>
      <c r="F82" s="94">
        <f>100%-J81*IF($A$3="하",$P$8,$P$6)</f>
        <v>0.72199999999999998</v>
      </c>
      <c r="G82" s="7">
        <f t="shared" ref="G82:G83" si="31">F82</f>
        <v>0.72199999999999998</v>
      </c>
      <c r="H82" s="7">
        <f t="shared" ref="H82:H83" si="32">G82</f>
        <v>0.72199999999999998</v>
      </c>
      <c r="I82" s="7">
        <f t="shared" ref="I82:I83" si="33">H82</f>
        <v>0.72199999999999998</v>
      </c>
      <c r="J82" s="8">
        <f>I82</f>
        <v>0.72199999999999998</v>
      </c>
      <c r="K82" s="95">
        <f>F83*F84+G83*G84+H83*H84+I83*I84+J83*J84</f>
        <v>3480</v>
      </c>
      <c r="L82" s="86" t="s">
        <v>27</v>
      </c>
      <c r="M82" s="81">
        <f>M81+M78</f>
        <v>55965</v>
      </c>
      <c r="N82" s="90">
        <f>ROUNDDOWN(M80*$N$4,0)</f>
        <v>4</v>
      </c>
      <c r="O82" s="90">
        <f>ROUNDDOWN(M80*$O$4,0)</f>
        <v>28</v>
      </c>
    </row>
    <row r="83" spans="1:15" ht="18" customHeight="1" thickTop="1" thickBot="1" x14ac:dyDescent="0.3">
      <c r="A83" s="194"/>
      <c r="B83" s="141" t="str">
        <f>IF(O82-C80&lt;$A$1," ","1~ "&amp;IF(O82-C80&gt;$A$1,$A$1,O82-C80)&amp;" rep")</f>
        <v xml:space="preserve"> </v>
      </c>
      <c r="C83" s="97" t="s">
        <v>37</v>
      </c>
      <c r="D83" s="98" t="s">
        <v>5</v>
      </c>
      <c r="E83" s="5" t="s">
        <v>3</v>
      </c>
      <c r="F83" s="18">
        <f>MROUND(F82*E82,D84)</f>
        <v>145</v>
      </c>
      <c r="G83" s="18">
        <f t="shared" si="31"/>
        <v>145</v>
      </c>
      <c r="H83" s="18">
        <f t="shared" si="32"/>
        <v>145</v>
      </c>
      <c r="I83" s="18">
        <f t="shared" si="33"/>
        <v>145</v>
      </c>
      <c r="J83" s="19">
        <f>I83</f>
        <v>145</v>
      </c>
      <c r="K83" s="74" t="s">
        <v>10</v>
      </c>
      <c r="L83" s="86" t="s">
        <v>28</v>
      </c>
      <c r="M83" s="87">
        <f>K84</f>
        <v>24</v>
      </c>
      <c r="N83" s="93" t="s">
        <v>34</v>
      </c>
      <c r="O83" s="93" t="s">
        <v>35</v>
      </c>
    </row>
    <row r="84" spans="1:15" ht="18" customHeight="1" thickTop="1" thickBot="1" x14ac:dyDescent="0.3">
      <c r="A84" s="195"/>
      <c r="B84" s="144">
        <v>1</v>
      </c>
      <c r="C84" s="90">
        <f>IF(B82="",C80,IF(C82&lt;=0,C80,C80+B84))</f>
        <v>25</v>
      </c>
      <c r="D84" s="100">
        <f>D80</f>
        <v>2.5</v>
      </c>
      <c r="E84" s="13" t="s">
        <v>7</v>
      </c>
      <c r="F84" s="153">
        <f xml:space="preserve"> IF($A$3="하",0,IF(MROUND(J81/5,1)&lt;=G81,IF(MROUND(J81/5,1)&gt;=E81,MROUND(J81/5,1),E81),G81))</f>
        <v>0</v>
      </c>
      <c r="G84" s="154">
        <v>6</v>
      </c>
      <c r="H84" s="154">
        <v>6</v>
      </c>
      <c r="I84" s="154">
        <v>6</v>
      </c>
      <c r="J84" s="155">
        <v>6</v>
      </c>
      <c r="K84" s="101">
        <f>SUM(F84:J84)</f>
        <v>24</v>
      </c>
      <c r="L84" s="88" t="s">
        <v>30</v>
      </c>
      <c r="M84" s="89">
        <f>M83+M80</f>
        <v>437</v>
      </c>
      <c r="N84" s="90">
        <f>ROUNDDOWN((M80-C80+C84+K84)*$N$4,0)</f>
        <v>4</v>
      </c>
      <c r="O84" s="90">
        <f>ROUNDDOWN((M80+K84-+C84)*$O$4,0)</f>
        <v>28</v>
      </c>
    </row>
    <row r="85" spans="1:15" ht="18" customHeight="1" thickTop="1" thickBot="1" x14ac:dyDescent="0.3">
      <c r="A85" s="193">
        <f t="shared" ref="A85" si="34">IF($M88&lt;IF($A$3="하",$S$8,$S$6),0,IF($M88&gt;IF($A$3="하",$S$7,$S$5),"",MAX(A81+1)))</f>
        <v>0</v>
      </c>
      <c r="B85" s="141" t="str">
        <f>IF(O86-C84&lt;$A$1," ","MAX to "&amp;MROUND(IF(IF(O86-C84&gt;$A$1,$A$1,O86-C84)&lt;2,I81,I81*(37-IF(O86-C84&gt;$A$1,$A$1,O86-C84))/36),D88))</f>
        <v>MAX to 192.5</v>
      </c>
      <c r="C85" s="90" t="str">
        <f>IF(O86&lt;=C84,"X",IF(N86&gt;C84,"must ME","can ME"))</f>
        <v>can ME</v>
      </c>
      <c r="D85" s="75" t="s">
        <v>31</v>
      </c>
      <c r="E85" s="23">
        <v>4</v>
      </c>
      <c r="F85" s="2">
        <v>1</v>
      </c>
      <c r="G85" s="23">
        <f>IF(F86&gt;=90%,2,IF(F86&gt;=80%,4,IF(F86&gt;=70%,6,6)))</f>
        <v>6</v>
      </c>
      <c r="H85" s="3" t="s">
        <v>2</v>
      </c>
      <c r="I85" s="91">
        <f>K86/(100%-IF($A$3="하",$P$8,$P$6)*K88)/K88</f>
        <v>155.46585206196815</v>
      </c>
      <c r="J85" s="92">
        <f>IF("하"=$A$3,$Q$7,$Q$5)</f>
        <v>20</v>
      </c>
      <c r="K85" s="107" t="s">
        <v>33</v>
      </c>
      <c r="L85" s="75" t="s">
        <v>25</v>
      </c>
      <c r="M85" s="76">
        <f>K86</f>
        <v>855</v>
      </c>
      <c r="N85" s="93" t="s">
        <v>34</v>
      </c>
      <c r="O85" s="93" t="s">
        <v>35</v>
      </c>
    </row>
    <row r="86" spans="1:15" ht="18" customHeight="1" thickTop="1" thickBot="1" x14ac:dyDescent="0.3">
      <c r="A86" s="194"/>
      <c r="B86" s="143">
        <v>192.5</v>
      </c>
      <c r="C86" s="142">
        <f>IF(B88="","",IF(B86*36/(37-B88)=0,"",B86*36/(37-B88)))</f>
        <v>198</v>
      </c>
      <c r="D86" s="109" t="str">
        <f>D82</f>
        <v>LBSQ</v>
      </c>
      <c r="E86" s="18">
        <f>IF(C86="",I81,C86)</f>
        <v>198</v>
      </c>
      <c r="F86" s="94">
        <f>100%-J85*IF($A$3="하",$P$8,$P$6)</f>
        <v>0.72199999999999998</v>
      </c>
      <c r="G86" s="7">
        <f t="shared" ref="G86:G87" si="35">F86</f>
        <v>0.72199999999999998</v>
      </c>
      <c r="H86" s="7">
        <f t="shared" ref="H86:H87" si="36">G86</f>
        <v>0.72199999999999998</v>
      </c>
      <c r="I86" s="7">
        <f t="shared" ref="I86:I87" si="37">H86</f>
        <v>0.72199999999999998</v>
      </c>
      <c r="J86" s="8">
        <f>I86</f>
        <v>0.72199999999999998</v>
      </c>
      <c r="K86" s="95">
        <f>F87*F88+G87*G88+H87*H88+I87*I88+J87*J88</f>
        <v>855</v>
      </c>
      <c r="L86" s="86" t="s">
        <v>27</v>
      </c>
      <c r="M86" s="81">
        <f>M85+M82</f>
        <v>56820</v>
      </c>
      <c r="N86" s="90">
        <f>ROUNDDOWN(M84*$N$4,0)</f>
        <v>4</v>
      </c>
      <c r="O86" s="90">
        <f>ROUNDDOWN(M84*$O$4,0)</f>
        <v>30</v>
      </c>
    </row>
    <row r="87" spans="1:15" ht="18" customHeight="1" thickTop="1" thickBot="1" x14ac:dyDescent="0.3">
      <c r="A87" s="194"/>
      <c r="B87" s="141" t="str">
        <f>IF(O86-C84&lt;$A$1," ","1~ "&amp;IF(O86-C84&gt;$A$1,$A$1,O86-C84)&amp;" rep")</f>
        <v>1~ 5 rep</v>
      </c>
      <c r="C87" s="97" t="s">
        <v>37</v>
      </c>
      <c r="D87" s="98" t="s">
        <v>5</v>
      </c>
      <c r="E87" s="5" t="s">
        <v>3</v>
      </c>
      <c r="F87" s="18">
        <f>MROUND(F86*E86,D88)</f>
        <v>142.5</v>
      </c>
      <c r="G87" s="18">
        <f t="shared" si="35"/>
        <v>142.5</v>
      </c>
      <c r="H87" s="18">
        <f t="shared" si="36"/>
        <v>142.5</v>
      </c>
      <c r="I87" s="18">
        <f t="shared" si="37"/>
        <v>142.5</v>
      </c>
      <c r="J87" s="19">
        <f>I87</f>
        <v>142.5</v>
      </c>
      <c r="K87" s="74" t="s">
        <v>10</v>
      </c>
      <c r="L87" s="86" t="s">
        <v>28</v>
      </c>
      <c r="M87" s="87">
        <f>K88</f>
        <v>6</v>
      </c>
      <c r="N87" s="93" t="s">
        <v>34</v>
      </c>
      <c r="O87" s="93" t="s">
        <v>35</v>
      </c>
    </row>
    <row r="88" spans="1:15" ht="18" customHeight="1" thickTop="1" thickBot="1" x14ac:dyDescent="0.3">
      <c r="A88" s="195"/>
      <c r="B88" s="144">
        <v>2</v>
      </c>
      <c r="C88" s="90">
        <f>IF(B86="",C84,IF(C86&lt;=0,C84,C84+B88))</f>
        <v>27</v>
      </c>
      <c r="D88" s="100">
        <f>D84</f>
        <v>2.5</v>
      </c>
      <c r="E88" s="13" t="s">
        <v>7</v>
      </c>
      <c r="F88" s="153">
        <f xml:space="preserve"> IF($A$3="하",0,IF(MROUND(J85/5,1)&lt;=G85,IF(MROUND(J85/5,1)&gt;=E85,MROUND(J85/5,1),E85),G85))</f>
        <v>0</v>
      </c>
      <c r="G88" s="154">
        <v>6</v>
      </c>
      <c r="H88" s="104"/>
      <c r="I88" s="104"/>
      <c r="J88" s="105"/>
      <c r="K88" s="101">
        <f>SUM(F88:J88)</f>
        <v>6</v>
      </c>
      <c r="L88" s="88" t="s">
        <v>30</v>
      </c>
      <c r="M88" s="89">
        <f>M87+M84</f>
        <v>443</v>
      </c>
      <c r="N88" s="90">
        <f>ROUNDDOWN((M84-C84+C88+K88)*$N$4,0)</f>
        <v>4</v>
      </c>
      <c r="O88" s="90">
        <f>ROUNDDOWN((M84+K88-+C88)*$O$4,0)</f>
        <v>29</v>
      </c>
    </row>
    <row r="89" spans="1:15" ht="18" customHeight="1" thickTop="1" thickBot="1" x14ac:dyDescent="0.3">
      <c r="A89" s="193">
        <f t="shared" ref="A89" si="38">IF($M92&lt;IF($A$3="하",$S$8,$S$6),0,IF($M92&gt;IF($A$3="하",$S$7,$S$5),"",MAX(A85+1)))</f>
        <v>0</v>
      </c>
      <c r="B89" s="141" t="str">
        <f>IF(O90-C92&lt;$A$1," ","MAX to "&amp;MROUND(IF(IF(O90-C92&gt;$A$1,$A$1,O90-C92)&lt;2,I85,I85*(37-IF(O90-C92&gt;$A$1,$A$1,O90-C92))/36),D92))</f>
        <v xml:space="preserve"> </v>
      </c>
      <c r="C89" s="90" t="str">
        <f>IF(O90&lt;=C92,"X",IF(N90&gt;C92,"must ME","can ME"))</f>
        <v>can ME</v>
      </c>
      <c r="D89" s="131" t="s">
        <v>31</v>
      </c>
      <c r="E89" s="132">
        <v>4</v>
      </c>
      <c r="F89" s="133" t="s">
        <v>32</v>
      </c>
      <c r="G89" s="132">
        <f>IF(F90&gt;=90%,2,IF(F90&gt;=80%,4,IF(F90&gt;=70%,6,6)))</f>
        <v>6</v>
      </c>
      <c r="H89" s="134" t="s">
        <v>2</v>
      </c>
      <c r="I89" s="135">
        <f>K90/(100%-IF($A$3="하",$P$8,$P$6)*K92)/K92</f>
        <v>240.09603841536614</v>
      </c>
      <c r="J89" s="136">
        <f>IF("하"=$A$3,$Q$7,$Q$5)</f>
        <v>20</v>
      </c>
      <c r="K89" s="107" t="s">
        <v>33</v>
      </c>
      <c r="L89" s="75" t="s">
        <v>25</v>
      </c>
      <c r="M89" s="76">
        <f>K90</f>
        <v>3840</v>
      </c>
      <c r="N89" s="93" t="s">
        <v>34</v>
      </c>
      <c r="O89" s="93" t="s">
        <v>35</v>
      </c>
    </row>
    <row r="90" spans="1:15" ht="18" customHeight="1" thickTop="1" thickBot="1" x14ac:dyDescent="0.3">
      <c r="A90" s="194"/>
      <c r="B90" s="143">
        <v>220</v>
      </c>
      <c r="C90" s="142">
        <f>IF(B92="","",IF(B90*36/(37-B92)=0,"",B90*36/(37-B92)))</f>
        <v>220</v>
      </c>
      <c r="D90" s="109" t="s">
        <v>49</v>
      </c>
      <c r="E90" s="18">
        <f>IF(C90="",B87,C90)</f>
        <v>220</v>
      </c>
      <c r="F90" s="94">
        <f>100%-J89*IF($A$3="하",$P$8,$P$6)</f>
        <v>0.72199999999999998</v>
      </c>
      <c r="G90" s="7">
        <f t="shared" ref="G90:I91" si="39">F90</f>
        <v>0.72199999999999998</v>
      </c>
      <c r="H90" s="7">
        <f t="shared" si="39"/>
        <v>0.72199999999999998</v>
      </c>
      <c r="I90" s="7">
        <f t="shared" si="39"/>
        <v>0.72199999999999998</v>
      </c>
      <c r="J90" s="8">
        <f>I90</f>
        <v>0.72199999999999998</v>
      </c>
      <c r="K90" s="95">
        <f>F91*F92+G91*G92+H91*H92+I91*I92+J91*J92</f>
        <v>3840</v>
      </c>
      <c r="L90" s="86" t="s">
        <v>27</v>
      </c>
      <c r="M90" s="81">
        <f>M89+M86</f>
        <v>60660</v>
      </c>
      <c r="N90" s="90">
        <f>ROUNDDOWN(M88*$N$4,0)</f>
        <v>4</v>
      </c>
      <c r="O90" s="90">
        <f>ROUNDDOWN(M88*$O$4,0)</f>
        <v>31</v>
      </c>
    </row>
    <row r="91" spans="1:15" ht="18" customHeight="1" thickTop="1" thickBot="1" x14ac:dyDescent="0.3">
      <c r="A91" s="194"/>
      <c r="B91" s="141" t="str">
        <f>IF(O90-C92&lt;$A$1," ","1~ "&amp;IF(O90-C92&gt;$A$1,$A$1,O90-C92)&amp;" rep")</f>
        <v xml:space="preserve"> </v>
      </c>
      <c r="C91" s="97" t="s">
        <v>37</v>
      </c>
      <c r="D91" s="98" t="s">
        <v>5</v>
      </c>
      <c r="E91" s="5" t="s">
        <v>3</v>
      </c>
      <c r="F91" s="18">
        <f>MROUND(F90*E90,D92)</f>
        <v>160</v>
      </c>
      <c r="G91" s="18">
        <f t="shared" si="39"/>
        <v>160</v>
      </c>
      <c r="H91" s="18">
        <f t="shared" si="39"/>
        <v>160</v>
      </c>
      <c r="I91" s="18">
        <f t="shared" si="39"/>
        <v>160</v>
      </c>
      <c r="J91" s="19">
        <f>I91</f>
        <v>160</v>
      </c>
      <c r="K91" s="74" t="s">
        <v>10</v>
      </c>
      <c r="L91" s="86" t="s">
        <v>28</v>
      </c>
      <c r="M91" s="87">
        <f>K92</f>
        <v>24</v>
      </c>
      <c r="N91" s="93" t="s">
        <v>34</v>
      </c>
      <c r="O91" s="93" t="s">
        <v>35</v>
      </c>
    </row>
    <row r="92" spans="1:15" ht="18" customHeight="1" thickTop="1" thickBot="1" x14ac:dyDescent="0.3">
      <c r="A92" s="195"/>
      <c r="B92" s="143">
        <v>1</v>
      </c>
      <c r="C92" s="90">
        <f>IF(B90="",C88,IF(C90&lt;=0,C88,C88+B92))</f>
        <v>28</v>
      </c>
      <c r="D92" s="113">
        <v>2.5</v>
      </c>
      <c r="E92" s="13" t="s">
        <v>7</v>
      </c>
      <c r="F92" s="153">
        <f xml:space="preserve"> IF($A$3="하",0,IF(MROUND(J89/5,1)&lt;=G89,IF(MROUND(J89/5,1)&gt;=E89,MROUND(J89/5,1),E89),G89))</f>
        <v>0</v>
      </c>
      <c r="G92" s="154">
        <v>6</v>
      </c>
      <c r="H92" s="154">
        <v>6</v>
      </c>
      <c r="I92" s="154">
        <v>6</v>
      </c>
      <c r="J92" s="155">
        <v>6</v>
      </c>
      <c r="K92" s="101">
        <f>SUM(F92:J92)</f>
        <v>24</v>
      </c>
      <c r="L92" s="88" t="s">
        <v>30</v>
      </c>
      <c r="M92" s="89">
        <f>M91+M88</f>
        <v>467</v>
      </c>
      <c r="N92" s="90">
        <f>ROUNDDOWN((M88-C88+C92+K92)*$N$4,0)</f>
        <v>4</v>
      </c>
      <c r="O92" s="90">
        <f>ROUNDDOWN((M88+K92-+C92)*$O$4,0)</f>
        <v>30</v>
      </c>
    </row>
    <row r="93" spans="1:15" ht="18" customHeight="1" thickTop="1" thickBot="1" x14ac:dyDescent="0.3">
      <c r="A93" s="193">
        <f t="shared" ref="A93" si="40">IF($M96&lt;IF($A$3="하",$S$8,$S$6),0,IF($M96&gt;IF($A$3="하",$S$7,$S$5),"",MAX(A89+1)))</f>
        <v>0</v>
      </c>
      <c r="B93" s="141" t="str">
        <f>IF(O94-C92&lt;$A$1," ","MAX to "&amp;MROUND(IF(IF(O94-C92&gt;$A$1,$A$1,O94-C92)&lt;2,I89,I89*(37-IF(O94-C92&gt;$A$1,$A$1,O94-C92))/36),D96))</f>
        <v xml:space="preserve"> </v>
      </c>
      <c r="C93" s="90" t="str">
        <f>IF(O94&lt;=C92,"X",IF(N94&gt;C92,"must ME","can ME"))</f>
        <v>can ME</v>
      </c>
      <c r="D93" s="75" t="s">
        <v>31</v>
      </c>
      <c r="E93" s="23">
        <v>4</v>
      </c>
      <c r="F93" s="2">
        <v>1</v>
      </c>
      <c r="G93" s="23">
        <f>IF(F94&gt;=90%,2,IF(F94&gt;=80%,4,IF(F94&gt;=70%,6,6)))</f>
        <v>6</v>
      </c>
      <c r="H93" s="3" t="s">
        <v>2</v>
      </c>
      <c r="I93" s="91">
        <f>K94/(100%-IF($A$3="하",$P$8,$P$6)*K96)/K96</f>
        <v>240.09603841536614</v>
      </c>
      <c r="J93" s="92">
        <f>IF("하"=$A$3,$Q$7,$Q$5)</f>
        <v>20</v>
      </c>
      <c r="K93" s="107" t="s">
        <v>33</v>
      </c>
      <c r="L93" s="75" t="s">
        <v>25</v>
      </c>
      <c r="M93" s="76">
        <f>K94</f>
        <v>3840</v>
      </c>
      <c r="N93" s="93" t="s">
        <v>34</v>
      </c>
      <c r="O93" s="93" t="s">
        <v>35</v>
      </c>
    </row>
    <row r="94" spans="1:15" ht="18" customHeight="1" thickTop="1" thickBot="1" x14ac:dyDescent="0.3">
      <c r="A94" s="194"/>
      <c r="B94" s="143">
        <v>220</v>
      </c>
      <c r="C94" s="142">
        <f>IF(B96="","",IF(B94*36/(37-B96)=0,"",B94*36/(37-B96)))</f>
        <v>220</v>
      </c>
      <c r="D94" s="109" t="s">
        <v>50</v>
      </c>
      <c r="E94" s="18">
        <f>IF(C94="",I89,C94)</f>
        <v>220</v>
      </c>
      <c r="F94" s="94">
        <f>100%-J93*IF($A$3="하",$P$8,$P$6)</f>
        <v>0.72199999999999998</v>
      </c>
      <c r="G94" s="7">
        <f t="shared" ref="G94:G95" si="41">F94</f>
        <v>0.72199999999999998</v>
      </c>
      <c r="H94" s="7">
        <f t="shared" ref="H94:H95" si="42">G94</f>
        <v>0.72199999999999998</v>
      </c>
      <c r="I94" s="7">
        <f t="shared" ref="I94:I95" si="43">H94</f>
        <v>0.72199999999999998</v>
      </c>
      <c r="J94" s="8">
        <f>I94</f>
        <v>0.72199999999999998</v>
      </c>
      <c r="K94" s="95">
        <f>F95*F96+G95*G96+H95*H96+I95*I96+J95*J96</f>
        <v>3840</v>
      </c>
      <c r="L94" s="86" t="s">
        <v>27</v>
      </c>
      <c r="M94" s="81">
        <f>M93+M90</f>
        <v>64500</v>
      </c>
      <c r="N94" s="90">
        <f>ROUNDDOWN(M92*$N$4,0)</f>
        <v>4</v>
      </c>
      <c r="O94" s="90">
        <f>ROUNDDOWN(M92*$O$4,0)</f>
        <v>32</v>
      </c>
    </row>
    <row r="95" spans="1:15" ht="18" customHeight="1" thickTop="1" thickBot="1" x14ac:dyDescent="0.3">
      <c r="A95" s="194"/>
      <c r="B95" s="141" t="str">
        <f>IF(O94-C92&lt;$A$1," ","1~ "&amp;IF(O94-C92&gt;$A$1,$A$1,O94-C92)&amp;" rep")</f>
        <v xml:space="preserve"> </v>
      </c>
      <c r="C95" s="97" t="s">
        <v>37</v>
      </c>
      <c r="D95" s="98" t="s">
        <v>5</v>
      </c>
      <c r="E95" s="5" t="s">
        <v>3</v>
      </c>
      <c r="F95" s="18">
        <f>MROUND(F94*E94,D96)</f>
        <v>160</v>
      </c>
      <c r="G95" s="18">
        <f t="shared" si="41"/>
        <v>160</v>
      </c>
      <c r="H95" s="18">
        <f t="shared" si="42"/>
        <v>160</v>
      </c>
      <c r="I95" s="18">
        <f t="shared" si="43"/>
        <v>160</v>
      </c>
      <c r="J95" s="19">
        <f>I95</f>
        <v>160</v>
      </c>
      <c r="K95" s="74" t="s">
        <v>10</v>
      </c>
      <c r="L95" s="86" t="s">
        <v>28</v>
      </c>
      <c r="M95" s="87">
        <f>K96</f>
        <v>24</v>
      </c>
      <c r="N95" s="93" t="s">
        <v>34</v>
      </c>
      <c r="O95" s="93" t="s">
        <v>35</v>
      </c>
    </row>
    <row r="96" spans="1:15" ht="18" customHeight="1" thickTop="1" thickBot="1" x14ac:dyDescent="0.3">
      <c r="A96" s="195"/>
      <c r="B96" s="144">
        <v>1</v>
      </c>
      <c r="C96" s="90">
        <f>IF(B94="",C92,IF(C94&lt;=0,C92,C92+B96))</f>
        <v>29</v>
      </c>
      <c r="D96" s="100">
        <f>D92</f>
        <v>2.5</v>
      </c>
      <c r="E96" s="13" t="s">
        <v>7</v>
      </c>
      <c r="F96" s="153">
        <f xml:space="preserve"> IF($A$3="하",0,IF(MROUND(J93/5,1)&lt;=G93,IF(MROUND(J93/5,1)&gt;=E93,MROUND(J93/5,1),E93),G93))</f>
        <v>0</v>
      </c>
      <c r="G96" s="154">
        <v>6</v>
      </c>
      <c r="H96" s="154">
        <v>6</v>
      </c>
      <c r="I96" s="154">
        <v>6</v>
      </c>
      <c r="J96" s="155">
        <v>6</v>
      </c>
      <c r="K96" s="101">
        <f>SUM(F96:J96)</f>
        <v>24</v>
      </c>
      <c r="L96" s="88" t="s">
        <v>30</v>
      </c>
      <c r="M96" s="89">
        <f>M95+M92</f>
        <v>491</v>
      </c>
      <c r="N96" s="90">
        <f>ROUNDDOWN((M92-C92+C96+K96)*$N$4,0)</f>
        <v>4</v>
      </c>
      <c r="O96" s="90">
        <f>ROUNDDOWN((M92+K96-+C96)*$O$4,0)</f>
        <v>32</v>
      </c>
    </row>
    <row r="97" spans="1:15" ht="18" customHeight="1" thickTop="1" thickBot="1" x14ac:dyDescent="0.3">
      <c r="A97" s="193">
        <f t="shared" ref="A97" si="44">IF($M100&lt;IF($A$3="하",$S$8,$S$6),0,IF($M100&gt;IF($A$3="하",$S$7,$S$5),"",MAX(A93+1)))</f>
        <v>0</v>
      </c>
      <c r="B97" s="141" t="str">
        <f>IF(O98-C96&lt;$A$1," ","MAX to "&amp;MROUND(IF(IF(O98-C96&gt;$A$1,$A$1,O98-C96)&lt;2,I93,I93*(37-IF(O98-C96&gt;$A$1,$A$1,O98-C96))/36),D100))</f>
        <v>MAX to 212.5</v>
      </c>
      <c r="C97" s="90" t="str">
        <f>IF(O98&lt;=C96,"X",IF(N98&gt;C96,"must ME","can ME"))</f>
        <v>can ME</v>
      </c>
      <c r="D97" s="75" t="s">
        <v>31</v>
      </c>
      <c r="E97" s="23">
        <v>4</v>
      </c>
      <c r="F97" s="2">
        <v>1</v>
      </c>
      <c r="G97" s="23">
        <f>IF(F98&gt;=90%,2,IF(F98&gt;=80%,4,IF(F98&gt;=70%,6,6)))</f>
        <v>6</v>
      </c>
      <c r="H97" s="3" t="s">
        <v>2</v>
      </c>
      <c r="I97" s="91">
        <f>K98/(100%-IF($A$3="하",$P$8,$P$6)*K100)/K100</f>
        <v>238.9196675900277</v>
      </c>
      <c r="J97" s="92">
        <f>IF("하"=$A$3,$Q$7,$Q$5)</f>
        <v>20</v>
      </c>
      <c r="K97" s="107" t="s">
        <v>33</v>
      </c>
      <c r="L97" s="75" t="s">
        <v>25</v>
      </c>
      <c r="M97" s="76">
        <f>K98</f>
        <v>3450</v>
      </c>
      <c r="N97" s="93" t="s">
        <v>34</v>
      </c>
      <c r="O97" s="93" t="s">
        <v>35</v>
      </c>
    </row>
    <row r="98" spans="1:15" ht="18" customHeight="1" thickTop="1" thickBot="1" x14ac:dyDescent="0.3">
      <c r="A98" s="194"/>
      <c r="B98" s="143"/>
      <c r="C98" s="142" t="str">
        <f>IF(B100="","",IF(B98*36/(37-B100)=0,"",B98*36/(37-B100)))</f>
        <v/>
      </c>
      <c r="D98" s="109" t="str">
        <f>D94</f>
        <v>8자매트CDL</v>
      </c>
      <c r="E98" s="18">
        <f>IF(C98="",I93,C98)</f>
        <v>240.09603841536614</v>
      </c>
      <c r="F98" s="94">
        <f>100%-J97*IF($A$3="하",$P$8,$P$6)</f>
        <v>0.72199999999999998</v>
      </c>
      <c r="G98" s="7">
        <f t="shared" ref="G98:I99" si="45">F98</f>
        <v>0.72199999999999998</v>
      </c>
      <c r="H98" s="7">
        <f t="shared" si="45"/>
        <v>0.72199999999999998</v>
      </c>
      <c r="I98" s="7">
        <f t="shared" si="45"/>
        <v>0.72199999999999998</v>
      </c>
      <c r="J98" s="8">
        <f>I98</f>
        <v>0.72199999999999998</v>
      </c>
      <c r="K98" s="95">
        <f>F99*F100+G99*G100+H99*H100+I99*I100+J99*J100</f>
        <v>3450</v>
      </c>
      <c r="L98" s="86" t="s">
        <v>27</v>
      </c>
      <c r="M98" s="81">
        <f>M97+M94</f>
        <v>67950</v>
      </c>
      <c r="N98" s="90">
        <f>ROUNDDOWN(M96*$N$4,0)</f>
        <v>4</v>
      </c>
      <c r="O98" s="90">
        <f>ROUNDDOWN(M96*$O$4,0)</f>
        <v>34</v>
      </c>
    </row>
    <row r="99" spans="1:15" ht="18" customHeight="1" thickTop="1" thickBot="1" x14ac:dyDescent="0.3">
      <c r="A99" s="194"/>
      <c r="B99" s="141" t="str">
        <f>IF(O98-C96&lt;$A$1," ","1~ "&amp;IF(O98-C96&gt;$A$1,$A$1,O98-C96)&amp;" rep")</f>
        <v>1~ 5 rep</v>
      </c>
      <c r="C99" s="97" t="s">
        <v>37</v>
      </c>
      <c r="D99" s="98" t="s">
        <v>5</v>
      </c>
      <c r="E99" s="5" t="s">
        <v>3</v>
      </c>
      <c r="F99" s="18">
        <f>MROUND(F98*E98,D100)</f>
        <v>172.5</v>
      </c>
      <c r="G99" s="18">
        <f t="shared" si="45"/>
        <v>172.5</v>
      </c>
      <c r="H99" s="18">
        <f t="shared" si="45"/>
        <v>172.5</v>
      </c>
      <c r="I99" s="18">
        <f t="shared" si="45"/>
        <v>172.5</v>
      </c>
      <c r="J99" s="19">
        <f>I99</f>
        <v>172.5</v>
      </c>
      <c r="K99" s="74" t="s">
        <v>10</v>
      </c>
      <c r="L99" s="86" t="s">
        <v>28</v>
      </c>
      <c r="M99" s="87">
        <f>K100</f>
        <v>20</v>
      </c>
      <c r="N99" s="93" t="s">
        <v>34</v>
      </c>
      <c r="O99" s="93" t="s">
        <v>35</v>
      </c>
    </row>
    <row r="100" spans="1:15" ht="18" customHeight="1" thickTop="1" thickBot="1" x14ac:dyDescent="0.3">
      <c r="A100" s="195"/>
      <c r="B100" s="144"/>
      <c r="C100" s="90">
        <f>IF(B98="",C96,IF(C98&lt;=0,C96,C96+B100))</f>
        <v>29</v>
      </c>
      <c r="D100" s="100">
        <f>D96</f>
        <v>2.5</v>
      </c>
      <c r="E100" s="13" t="s">
        <v>7</v>
      </c>
      <c r="F100" s="103">
        <f xml:space="preserve"> IF($A$3="하",0,IF(MROUND(J97/5,1)&lt;=G97,IF(MROUND(J97/5,1)&gt;=E97,MROUND(J97/5,1),E97),G97))</f>
        <v>0</v>
      </c>
      <c r="G100" s="104">
        <f>IF(MROUND((J97-F100)/4,1)&lt;=G97,IF(MROUND((J97-F100)/4,1)&gt;=E97,MROUND((J97-F100)/4,1),E97),G97)</f>
        <v>5</v>
      </c>
      <c r="H100" s="104">
        <f>IF(MROUND((J97-F100-G100)/3,1)&lt;=G97,IF(MROUND((J97-F100-G100)/3,1)&gt;=E97,MROUND((J97-F100-G100)/3,1),E97),G97)</f>
        <v>5</v>
      </c>
      <c r="I100" s="104">
        <f>IF(MROUND((J97-F100-G100-H100)/2,1)&lt;=G97,IF((J97-F100-G100-H100)/2&gt;=E97,MROUND((J97-F100-G100-H100)/2,1),J97-F100-G100-H100),G97)</f>
        <v>5</v>
      </c>
      <c r="J100" s="105">
        <f>IF((J97-(F100+G100+H100+I100))&gt;0,(J97-(F100+G100+H100+I100)),0)</f>
        <v>5</v>
      </c>
      <c r="K100" s="101">
        <f>SUM(F100:J100)</f>
        <v>20</v>
      </c>
      <c r="L100" s="88" t="s">
        <v>30</v>
      </c>
      <c r="M100" s="89">
        <f>M99+M96</f>
        <v>511</v>
      </c>
      <c r="N100" s="90">
        <f>ROUNDDOWN((M96-C96+C100+K100)*$N$4,0)</f>
        <v>5</v>
      </c>
      <c r="O100" s="90">
        <f>ROUNDDOWN((M96+K100-+C100)*$O$4,0)</f>
        <v>33</v>
      </c>
    </row>
    <row r="101" spans="1:15" ht="18" customHeight="1" thickTop="1" thickBot="1" x14ac:dyDescent="0.3">
      <c r="A101" s="193">
        <f t="shared" ref="A101" si="46">IF($M104&lt;IF($A$3="하",$S$8,$S$6),0,IF($M104&gt;IF($A$3="하",$S$7,$S$5),"",MAX(A97+1)))</f>
        <v>1</v>
      </c>
      <c r="B101" s="141" t="str">
        <f>IF(O102-C100&lt;$A$1," ","MAX to "&amp;MROUND(IF(IF(O102-C100&gt;$A$1,$A$1,O102-C100)&lt;2,I97,I97*(37-IF(O102-C100&gt;$A$1,$A$1,O102-C100))/36),D104))</f>
        <v>MAX to 212.5</v>
      </c>
      <c r="C101" s="90" t="str">
        <f>IF(O102&lt;=C100,"X",IF(N102&gt;C100,"must ME","can ME"))</f>
        <v>can ME</v>
      </c>
      <c r="D101" s="75" t="s">
        <v>31</v>
      </c>
      <c r="E101" s="23">
        <v>4</v>
      </c>
      <c r="F101" s="2">
        <v>1</v>
      </c>
      <c r="G101" s="23">
        <f>IF(F102&gt;=90%,2,IF(F102&gt;=80%,4,IF(F102&gt;=70%,6,6)))</f>
        <v>6</v>
      </c>
      <c r="H101" s="3" t="s">
        <v>2</v>
      </c>
      <c r="I101" s="91">
        <f>K102/(100%-IF($A$3="하",$P$8,$P$6)*K104)/K104</f>
        <v>238.9196675900277</v>
      </c>
      <c r="J101" s="92">
        <f>IF("하"=$A$3,$Q$7,$Q$5)</f>
        <v>20</v>
      </c>
      <c r="K101" s="107" t="s">
        <v>33</v>
      </c>
      <c r="L101" s="75" t="s">
        <v>25</v>
      </c>
      <c r="M101" s="76">
        <f>K102</f>
        <v>3450</v>
      </c>
      <c r="N101" s="93" t="s">
        <v>34</v>
      </c>
      <c r="O101" s="93" t="s">
        <v>35</v>
      </c>
    </row>
    <row r="102" spans="1:15" ht="18" customHeight="1" thickTop="1" thickBot="1" x14ac:dyDescent="0.3">
      <c r="A102" s="194"/>
      <c r="B102" s="143"/>
      <c r="C102" s="142" t="str">
        <f>IF(B104="","",IF(B102*36/(37-B104)=0,"",B102*36/(37-B104)))</f>
        <v/>
      </c>
      <c r="D102" s="109" t="str">
        <f>D98</f>
        <v>8자매트CDL</v>
      </c>
      <c r="E102" s="18">
        <f>IF(C102="",I97,C102)</f>
        <v>238.9196675900277</v>
      </c>
      <c r="F102" s="94">
        <f>100%-J101*IF($A$3="하",$P$8,$P$6)</f>
        <v>0.72199999999999998</v>
      </c>
      <c r="G102" s="7">
        <f t="shared" ref="G102:I103" si="47">F102</f>
        <v>0.72199999999999998</v>
      </c>
      <c r="H102" s="7">
        <f t="shared" si="47"/>
        <v>0.72199999999999998</v>
      </c>
      <c r="I102" s="7">
        <f t="shared" si="47"/>
        <v>0.72199999999999998</v>
      </c>
      <c r="J102" s="8">
        <f>I102</f>
        <v>0.72199999999999998</v>
      </c>
      <c r="K102" s="95">
        <f>F103*F104+G103*G104+H103*H104+I103*I104+J103*J104</f>
        <v>3450</v>
      </c>
      <c r="L102" s="86" t="s">
        <v>27</v>
      </c>
      <c r="M102" s="81">
        <f>M101+M98</f>
        <v>71400</v>
      </c>
      <c r="N102" s="90">
        <f>ROUNDDOWN(M100*$N$4,0)</f>
        <v>5</v>
      </c>
      <c r="O102" s="90">
        <f>ROUNDDOWN(M100*$O$4,0)</f>
        <v>35</v>
      </c>
    </row>
    <row r="103" spans="1:15" ht="18" customHeight="1" thickTop="1" thickBot="1" x14ac:dyDescent="0.3">
      <c r="A103" s="194"/>
      <c r="B103" s="141" t="str">
        <f>IF(O102-C100&lt;$A$1," ","1~ "&amp;IF(O102-C100&gt;$A$1,$A$1,O102-C100)&amp;" rep")</f>
        <v>1~ 5 rep</v>
      </c>
      <c r="C103" s="97" t="s">
        <v>37</v>
      </c>
      <c r="D103" s="98" t="s">
        <v>5</v>
      </c>
      <c r="E103" s="5" t="s">
        <v>3</v>
      </c>
      <c r="F103" s="18">
        <f>MROUND(F102*E102,D104)</f>
        <v>172.5</v>
      </c>
      <c r="G103" s="18">
        <f t="shared" si="47"/>
        <v>172.5</v>
      </c>
      <c r="H103" s="18">
        <f t="shared" si="47"/>
        <v>172.5</v>
      </c>
      <c r="I103" s="18">
        <f t="shared" si="47"/>
        <v>172.5</v>
      </c>
      <c r="J103" s="19">
        <f>I103</f>
        <v>172.5</v>
      </c>
      <c r="K103" s="74" t="s">
        <v>10</v>
      </c>
      <c r="L103" s="86" t="s">
        <v>28</v>
      </c>
      <c r="M103" s="87">
        <f>K104</f>
        <v>20</v>
      </c>
      <c r="N103" s="93" t="s">
        <v>34</v>
      </c>
      <c r="O103" s="93" t="s">
        <v>35</v>
      </c>
    </row>
    <row r="104" spans="1:15" ht="18" customHeight="1" thickTop="1" thickBot="1" x14ac:dyDescent="0.3">
      <c r="A104" s="195"/>
      <c r="B104" s="144"/>
      <c r="C104" s="90">
        <f>IF(B102="",C100,IF(C102&lt;=0,C100,C100+B104))</f>
        <v>29</v>
      </c>
      <c r="D104" s="100">
        <f>D100</f>
        <v>2.5</v>
      </c>
      <c r="E104" s="13" t="s">
        <v>7</v>
      </c>
      <c r="F104" s="103">
        <f xml:space="preserve"> IF($A$3="하",0,IF(MROUND(J101/5,1)&lt;=G101,IF(MROUND(J101/5,1)&gt;=E101,MROUND(J101/5,1),E101),G101))</f>
        <v>0</v>
      </c>
      <c r="G104" s="104">
        <f>IF(MROUND((J101-F104)/4,1)&lt;=G101,IF(MROUND((J101-F104)/4,1)&gt;=E101,MROUND((J101-F104)/4,1),E101),G101)</f>
        <v>5</v>
      </c>
      <c r="H104" s="104">
        <f>IF(MROUND((J101-F104-G104)/3,1)&lt;=G101,IF(MROUND((J101-F104-G104)/3,1)&gt;=E101,MROUND((J101-F104-G104)/3,1),E101),G101)</f>
        <v>5</v>
      </c>
      <c r="I104" s="104">
        <f>IF(MROUND((J101-F104-G104-H104)/2,1)&lt;=G101,IF((J101-F104-G104-H104)/2&gt;=E101,MROUND((J101-F104-G104-H104)/2,1),J101-F104-G104-H104),G101)</f>
        <v>5</v>
      </c>
      <c r="J104" s="105">
        <f>IF((J101-(F104+G104+H104+I104))&gt;0,(J101-(F104+G104+H104+I104)),0)</f>
        <v>5</v>
      </c>
      <c r="K104" s="101">
        <f>SUM(F104:J104)</f>
        <v>20</v>
      </c>
      <c r="L104" s="88" t="s">
        <v>30</v>
      </c>
      <c r="M104" s="89">
        <f>M103+M100</f>
        <v>531</v>
      </c>
      <c r="N104" s="90">
        <f>ROUNDDOWN((M100-C100+C104+K104)*$N$4,0)</f>
        <v>5</v>
      </c>
      <c r="O104" s="90">
        <f>ROUNDDOWN((M100+K104-+C104)*$O$4,0)</f>
        <v>35</v>
      </c>
    </row>
    <row r="105" spans="1:15" ht="18" customHeight="1" thickTop="1" thickBot="1" x14ac:dyDescent="0.3">
      <c r="A105" s="193">
        <f t="shared" ref="A105" si="48">IF($M108&lt;IF($A$3="하",$S$8,$S$6),0,IF($M108&gt;IF($A$3="하",$S$7,$S$5),"",MAX(A101+1)))</f>
        <v>2</v>
      </c>
      <c r="B105" s="141" t="str">
        <f>IF(O106-C104&lt;$A$1," ","MAX to "&amp;MROUND(IF(IF(O106-C104&gt;$A$1,$A$1,O106-C104)&lt;2,I101,I101*(37-IF(O106-C104&gt;$A$1,$A$1,O106-C104))/36),D108))</f>
        <v>MAX to 212.5</v>
      </c>
      <c r="C105" s="90" t="str">
        <f>IF(O106&lt;=C104,"X",IF(N106&gt;C104,"must ME","can ME"))</f>
        <v>can ME</v>
      </c>
      <c r="D105" s="75" t="s">
        <v>31</v>
      </c>
      <c r="E105" s="23">
        <v>4</v>
      </c>
      <c r="F105" s="2">
        <v>1</v>
      </c>
      <c r="G105" s="23">
        <f>IF(F106&gt;=90%,2,IF(F106&gt;=80%,4,IF(F106&gt;=70%,6,6)))</f>
        <v>6</v>
      </c>
      <c r="H105" s="3" t="s">
        <v>2</v>
      </c>
      <c r="I105" s="91">
        <f>K106/(100%-IF($A$3="하",$P$8,$P$6)*K108)/K108</f>
        <v>238.9196675900277</v>
      </c>
      <c r="J105" s="92">
        <f>IF("하"=$A$3,$Q$7,$Q$5)</f>
        <v>20</v>
      </c>
      <c r="K105" s="107" t="s">
        <v>33</v>
      </c>
      <c r="L105" s="75" t="s">
        <v>25</v>
      </c>
      <c r="M105" s="76">
        <f>K106</f>
        <v>3450</v>
      </c>
      <c r="N105" s="93" t="s">
        <v>34</v>
      </c>
      <c r="O105" s="93" t="s">
        <v>35</v>
      </c>
    </row>
    <row r="106" spans="1:15" ht="18" customHeight="1" thickTop="1" thickBot="1" x14ac:dyDescent="0.3">
      <c r="A106" s="194"/>
      <c r="B106" s="143"/>
      <c r="C106" s="142" t="str">
        <f>IF(B108="","",IF(B106*36/(37-B108)=0,"",B106*36/(37-B108)))</f>
        <v/>
      </c>
      <c r="D106" s="109" t="str">
        <f>D102</f>
        <v>8자매트CDL</v>
      </c>
      <c r="E106" s="18">
        <f>IF(C106="",I101,C106)</f>
        <v>238.9196675900277</v>
      </c>
      <c r="F106" s="94">
        <f>100%-J105*IF($A$3="하",$P$8,$P$6)</f>
        <v>0.72199999999999998</v>
      </c>
      <c r="G106" s="7">
        <f t="shared" ref="G106:I107" si="49">F106</f>
        <v>0.72199999999999998</v>
      </c>
      <c r="H106" s="7">
        <f t="shared" si="49"/>
        <v>0.72199999999999998</v>
      </c>
      <c r="I106" s="7">
        <f t="shared" si="49"/>
        <v>0.72199999999999998</v>
      </c>
      <c r="J106" s="8">
        <f>I106</f>
        <v>0.72199999999999998</v>
      </c>
      <c r="K106" s="95">
        <f>F107*F108+G107*G108+H107*H108+I107*I108+J107*J108</f>
        <v>3450</v>
      </c>
      <c r="L106" s="86" t="s">
        <v>27</v>
      </c>
      <c r="M106" s="81">
        <f>M105+M102</f>
        <v>74850</v>
      </c>
      <c r="N106" s="90">
        <f>ROUNDDOWN(M104*$N$4,0)</f>
        <v>5</v>
      </c>
      <c r="O106" s="90">
        <f>ROUNDDOWN(M104*$O$4,0)</f>
        <v>37</v>
      </c>
    </row>
    <row r="107" spans="1:15" ht="18" customHeight="1" thickTop="1" thickBot="1" x14ac:dyDescent="0.3">
      <c r="A107" s="194"/>
      <c r="B107" s="141" t="str">
        <f>IF(O106-C104&lt;$A$1," ","1~ "&amp;IF(O106-C104&gt;$A$1,$A$1,O106-C104)&amp;" rep")</f>
        <v>1~ 5 rep</v>
      </c>
      <c r="C107" s="97" t="s">
        <v>37</v>
      </c>
      <c r="D107" s="98" t="s">
        <v>5</v>
      </c>
      <c r="E107" s="5" t="s">
        <v>3</v>
      </c>
      <c r="F107" s="18">
        <f>MROUND(F106*E106,D108)</f>
        <v>172.5</v>
      </c>
      <c r="G107" s="18">
        <f t="shared" si="49"/>
        <v>172.5</v>
      </c>
      <c r="H107" s="18">
        <f t="shared" si="49"/>
        <v>172.5</v>
      </c>
      <c r="I107" s="18">
        <f t="shared" si="49"/>
        <v>172.5</v>
      </c>
      <c r="J107" s="19">
        <f>I107</f>
        <v>172.5</v>
      </c>
      <c r="K107" s="74" t="s">
        <v>10</v>
      </c>
      <c r="L107" s="86" t="s">
        <v>28</v>
      </c>
      <c r="M107" s="87">
        <f>K108</f>
        <v>20</v>
      </c>
      <c r="N107" s="93" t="s">
        <v>34</v>
      </c>
      <c r="O107" s="93" t="s">
        <v>35</v>
      </c>
    </row>
    <row r="108" spans="1:15" ht="18" customHeight="1" thickTop="1" thickBot="1" x14ac:dyDescent="0.3">
      <c r="A108" s="195"/>
      <c r="B108" s="144"/>
      <c r="C108" s="90">
        <f>IF(B106="",C104,IF(C106&lt;=0,C104,C104+B108))</f>
        <v>29</v>
      </c>
      <c r="D108" s="100">
        <f>D104</f>
        <v>2.5</v>
      </c>
      <c r="E108" s="13" t="s">
        <v>7</v>
      </c>
      <c r="F108" s="103">
        <f xml:space="preserve"> IF($A$3="하",0,IF(MROUND(J105/5,1)&lt;=G105,IF(MROUND(J105/5,1)&gt;=E105,MROUND(J105/5,1),E105),G105))</f>
        <v>0</v>
      </c>
      <c r="G108" s="104">
        <f>IF(MROUND((J105-F108)/4,1)&lt;=G105,IF(MROUND((J105-F108)/4,1)&gt;=E105,MROUND((J105-F108)/4,1),E105),G105)</f>
        <v>5</v>
      </c>
      <c r="H108" s="104">
        <f>IF(MROUND((J105-F108-G108)/3,1)&lt;=G105,IF(MROUND((J105-F108-G108)/3,1)&gt;=E105,MROUND((J105-F108-G108)/3,1),E105),G105)</f>
        <v>5</v>
      </c>
      <c r="I108" s="104">
        <f>IF(MROUND((J105-F108-G108-H108)/2,1)&lt;=G105,IF((J105-F108-G108-H108)/2&gt;=E105,MROUND((J105-F108-G108-H108)/2,1),J105-F108-G108-H108),G105)</f>
        <v>5</v>
      </c>
      <c r="J108" s="105">
        <f>IF((J105-(F108+G108+H108+I108))&gt;0,(J105-(F108+G108+H108+I108)),0)</f>
        <v>5</v>
      </c>
      <c r="K108" s="101">
        <f>SUM(F108:J108)</f>
        <v>20</v>
      </c>
      <c r="L108" s="88" t="s">
        <v>30</v>
      </c>
      <c r="M108" s="89">
        <f>M107+M104</f>
        <v>551</v>
      </c>
      <c r="N108" s="90">
        <f>ROUNDDOWN((M104-C104+C108+K108)*$N$4,0)</f>
        <v>5</v>
      </c>
      <c r="O108" s="90">
        <f>ROUNDDOWN((M104+K108-+C108)*$O$4,0)</f>
        <v>36</v>
      </c>
    </row>
    <row r="109" spans="1:15" ht="18" customHeight="1" thickTop="1" thickBot="1" x14ac:dyDescent="0.3">
      <c r="A109" s="193">
        <f t="shared" ref="A109" si="50">IF($M112&lt;IF($A$3="하",$S$8,$S$6),0,IF($M112&gt;IF($A$3="하",$S$7,$S$5),"",MAX(A105+1)))</f>
        <v>3</v>
      </c>
      <c r="B109" s="141" t="str">
        <f>IF(O110-C108&lt;$A$1," ","MAX to "&amp;MROUND(IF(IF(O110-C108&gt;$A$1,$A$1,O110-C108)&lt;2,I105,I105*(37-IF(O110-C108&gt;$A$1,$A$1,O110-C108))/36),D112))</f>
        <v>MAX to 212.5</v>
      </c>
      <c r="C109" s="90" t="str">
        <f>IF(O110&lt;=C108,"X",IF(N110&gt;C108,"must ME","can ME"))</f>
        <v>can ME</v>
      </c>
      <c r="D109" s="75" t="s">
        <v>31</v>
      </c>
      <c r="E109" s="23">
        <v>4</v>
      </c>
      <c r="F109" s="2">
        <v>1</v>
      </c>
      <c r="G109" s="23">
        <f>IF(F110&gt;=90%,2,IF(F110&gt;=80%,4,IF(F110&gt;=70%,6,6)))</f>
        <v>6</v>
      </c>
      <c r="H109" s="3" t="s">
        <v>2</v>
      </c>
      <c r="I109" s="91">
        <f>K110/(100%-IF($A$3="하",$P$8,$P$6)*K112)/K112</f>
        <v>238.9196675900277</v>
      </c>
      <c r="J109" s="92">
        <f>IF("하"=$A$3,$Q$7,$Q$5)</f>
        <v>20</v>
      </c>
      <c r="K109" s="107" t="s">
        <v>33</v>
      </c>
      <c r="L109" s="75" t="s">
        <v>25</v>
      </c>
      <c r="M109" s="76">
        <f>K110</f>
        <v>3450</v>
      </c>
      <c r="N109" s="93" t="s">
        <v>34</v>
      </c>
      <c r="O109" s="93" t="s">
        <v>35</v>
      </c>
    </row>
    <row r="110" spans="1:15" ht="18" customHeight="1" thickTop="1" thickBot="1" x14ac:dyDescent="0.3">
      <c r="A110" s="194"/>
      <c r="B110" s="143"/>
      <c r="C110" s="142" t="str">
        <f>IF(B112="","",IF(B110*36/(37-B112)=0,"",B110*36/(37-B112)))</f>
        <v/>
      </c>
      <c r="D110" s="109" t="str">
        <f>D106</f>
        <v>8자매트CDL</v>
      </c>
      <c r="E110" s="18">
        <f>IF(C110="",I105,C110)</f>
        <v>238.9196675900277</v>
      </c>
      <c r="F110" s="94">
        <f>100%-J109*IF($A$3="하",$P$8,$P$6)</f>
        <v>0.72199999999999998</v>
      </c>
      <c r="G110" s="7">
        <f t="shared" ref="G110:I111" si="51">F110</f>
        <v>0.72199999999999998</v>
      </c>
      <c r="H110" s="7">
        <f t="shared" si="51"/>
        <v>0.72199999999999998</v>
      </c>
      <c r="I110" s="7">
        <f t="shared" si="51"/>
        <v>0.72199999999999998</v>
      </c>
      <c r="J110" s="8">
        <f>I110</f>
        <v>0.72199999999999998</v>
      </c>
      <c r="K110" s="95">
        <f>F111*F112+G111*G112+H111*H112+I111*I112+J111*J112</f>
        <v>3450</v>
      </c>
      <c r="L110" s="86" t="s">
        <v>27</v>
      </c>
      <c r="M110" s="81">
        <f>M109+M106</f>
        <v>78300</v>
      </c>
      <c r="N110" s="90">
        <f>ROUNDDOWN(M108*$N$4,0)</f>
        <v>5</v>
      </c>
      <c r="O110" s="90">
        <f>ROUNDDOWN(M108*$O$4,0)</f>
        <v>38</v>
      </c>
    </row>
    <row r="111" spans="1:15" ht="18" customHeight="1" thickTop="1" thickBot="1" x14ac:dyDescent="0.3">
      <c r="A111" s="194"/>
      <c r="B111" s="141" t="str">
        <f>IF(O110-C108&lt;$A$1," ","1~ "&amp;IF(O110-C108&gt;$A$1,$A$1,O110-C108)&amp;" rep")</f>
        <v>1~ 5 rep</v>
      </c>
      <c r="C111" s="97" t="s">
        <v>37</v>
      </c>
      <c r="D111" s="98" t="s">
        <v>5</v>
      </c>
      <c r="E111" s="5" t="s">
        <v>3</v>
      </c>
      <c r="F111" s="18">
        <f>MROUND(F110*E110,D112)</f>
        <v>172.5</v>
      </c>
      <c r="G111" s="18">
        <f t="shared" si="51"/>
        <v>172.5</v>
      </c>
      <c r="H111" s="18">
        <f t="shared" si="51"/>
        <v>172.5</v>
      </c>
      <c r="I111" s="18">
        <f t="shared" si="51"/>
        <v>172.5</v>
      </c>
      <c r="J111" s="19">
        <f>I111</f>
        <v>172.5</v>
      </c>
      <c r="K111" s="74" t="s">
        <v>10</v>
      </c>
      <c r="L111" s="86" t="s">
        <v>28</v>
      </c>
      <c r="M111" s="87">
        <f>K112</f>
        <v>20</v>
      </c>
      <c r="N111" s="93" t="s">
        <v>34</v>
      </c>
      <c r="O111" s="93" t="s">
        <v>35</v>
      </c>
    </row>
    <row r="112" spans="1:15" ht="18" customHeight="1" thickTop="1" thickBot="1" x14ac:dyDescent="0.3">
      <c r="A112" s="195"/>
      <c r="B112" s="144"/>
      <c r="C112" s="90">
        <f>IF(B110="",C108,IF(C110&lt;=0,C108,C108+B112))</f>
        <v>29</v>
      </c>
      <c r="D112" s="100">
        <f>D108</f>
        <v>2.5</v>
      </c>
      <c r="E112" s="13" t="s">
        <v>7</v>
      </c>
      <c r="F112" s="103">
        <f xml:space="preserve"> IF($A$3="하",0,IF(MROUND(J109/5,1)&lt;=G109,IF(MROUND(J109/5,1)&gt;=E109,MROUND(J109/5,1),E109),G109))</f>
        <v>0</v>
      </c>
      <c r="G112" s="104">
        <f>IF(MROUND((J109-F112)/4,1)&lt;=G109,IF(MROUND((J109-F112)/4,1)&gt;=E109,MROUND((J109-F112)/4,1),E109),G109)</f>
        <v>5</v>
      </c>
      <c r="H112" s="104">
        <f>IF(MROUND((J109-F112-G112)/3,1)&lt;=G109,IF(MROUND((J109-F112-G112)/3,1)&gt;=E109,MROUND((J109-F112-G112)/3,1),E109),G109)</f>
        <v>5</v>
      </c>
      <c r="I112" s="104">
        <f>IF(MROUND((J109-F112-G112-H112)/2,1)&lt;=G109,IF((J109-F112-G112-H112)/2&gt;=E109,MROUND((J109-F112-G112-H112)/2,1),J109-F112-G112-H112),G109)</f>
        <v>5</v>
      </c>
      <c r="J112" s="105">
        <f>IF((J109-(F112+G112+H112+I112))&gt;0,(J109-(F112+G112+H112+I112)),0)</f>
        <v>5</v>
      </c>
      <c r="K112" s="101">
        <f>SUM(F112:J112)</f>
        <v>20</v>
      </c>
      <c r="L112" s="88" t="s">
        <v>30</v>
      </c>
      <c r="M112" s="89">
        <f>M111+M108</f>
        <v>571</v>
      </c>
      <c r="N112" s="90">
        <f>ROUNDDOWN((M108-C108+C112+K112)*$N$4,0)</f>
        <v>5</v>
      </c>
      <c r="O112" s="90">
        <f>ROUNDDOWN((M108+K112-+C112)*$O$4,0)</f>
        <v>37</v>
      </c>
    </row>
    <row r="113" spans="1:15" ht="18" customHeight="1" thickTop="1" thickBot="1" x14ac:dyDescent="0.3">
      <c r="A113" s="193">
        <f t="shared" ref="A113" si="52">IF($M116&lt;IF($A$3="하",$S$8,$S$6),0,IF($M116&gt;IF($A$3="하",$S$7,$S$5),"",MAX(A109+1)))</f>
        <v>4</v>
      </c>
      <c r="B113" s="141" t="str">
        <f>IF(O114-C112&lt;$A$1," ","MAX to "&amp;MROUND(IF(IF(O114-C112&gt;$A$1,$A$1,O114-C112)&lt;2,I109,I109*(37-IF(O114-C112&gt;$A$1,$A$1,O114-C112))/36),D116))</f>
        <v>MAX to 212.5</v>
      </c>
      <c r="C113" s="90" t="str">
        <f>IF(O114&lt;=C112,"X",IF(N114&gt;C112,"must ME","can ME"))</f>
        <v>can ME</v>
      </c>
      <c r="D113" s="75" t="s">
        <v>31</v>
      </c>
      <c r="E113" s="23">
        <v>4</v>
      </c>
      <c r="F113" s="2">
        <v>1</v>
      </c>
      <c r="G113" s="23">
        <f>IF(F114&gt;=90%,2,IF(F114&gt;=80%,4,IF(F114&gt;=70%,6,6)))</f>
        <v>6</v>
      </c>
      <c r="H113" s="3" t="s">
        <v>2</v>
      </c>
      <c r="I113" s="91">
        <f>K114/(100%-IF($A$3="하",$P$8,$P$6)*K116)/K116</f>
        <v>238.9196675900277</v>
      </c>
      <c r="J113" s="92">
        <f>IF("하"=$A$3,$Q$7,$Q$5)</f>
        <v>20</v>
      </c>
      <c r="K113" s="107" t="s">
        <v>33</v>
      </c>
      <c r="L113" s="75" t="s">
        <v>25</v>
      </c>
      <c r="M113" s="76">
        <f>K114</f>
        <v>3450</v>
      </c>
      <c r="N113" s="93" t="s">
        <v>34</v>
      </c>
      <c r="O113" s="93" t="s">
        <v>35</v>
      </c>
    </row>
    <row r="114" spans="1:15" ht="18" customHeight="1" thickTop="1" thickBot="1" x14ac:dyDescent="0.3">
      <c r="A114" s="194"/>
      <c r="B114" s="143"/>
      <c r="C114" s="142" t="str">
        <f>IF(B116="","",IF(B114*36/(37-B116)=0,"",B114*36/(37-B116)))</f>
        <v/>
      </c>
      <c r="D114" s="109" t="str">
        <f>D110</f>
        <v>8자매트CDL</v>
      </c>
      <c r="E114" s="18">
        <f>IF(C114="",I109,C114)</f>
        <v>238.9196675900277</v>
      </c>
      <c r="F114" s="94">
        <f>100%-J113*IF($A$3="하",$P$8,$P$6)</f>
        <v>0.72199999999999998</v>
      </c>
      <c r="G114" s="7">
        <f t="shared" ref="G114:I115" si="53">F114</f>
        <v>0.72199999999999998</v>
      </c>
      <c r="H114" s="7">
        <f t="shared" si="53"/>
        <v>0.72199999999999998</v>
      </c>
      <c r="I114" s="7">
        <f t="shared" si="53"/>
        <v>0.72199999999999998</v>
      </c>
      <c r="J114" s="8">
        <f>I114</f>
        <v>0.72199999999999998</v>
      </c>
      <c r="K114" s="95">
        <f>F115*F116+G115*G116+H115*H116+I115*I116+J115*J116</f>
        <v>3450</v>
      </c>
      <c r="L114" s="86" t="s">
        <v>27</v>
      </c>
      <c r="M114" s="81">
        <f>M113+M110</f>
        <v>81750</v>
      </c>
      <c r="N114" s="90">
        <f>ROUNDDOWN(M112*$N$4,0)</f>
        <v>5</v>
      </c>
      <c r="O114" s="90">
        <f>ROUNDDOWN(M112*$O$4,0)</f>
        <v>39</v>
      </c>
    </row>
    <row r="115" spans="1:15" ht="18" customHeight="1" thickTop="1" thickBot="1" x14ac:dyDescent="0.3">
      <c r="A115" s="194"/>
      <c r="B115" s="141" t="str">
        <f>IF(O114-C112&lt;$A$1," ","1~ "&amp;IF(O114-C112&gt;$A$1,$A$1,O114-C112)&amp;" rep")</f>
        <v>1~ 5 rep</v>
      </c>
      <c r="C115" s="97" t="s">
        <v>37</v>
      </c>
      <c r="D115" s="98" t="s">
        <v>5</v>
      </c>
      <c r="E115" s="5" t="s">
        <v>3</v>
      </c>
      <c r="F115" s="18">
        <f>MROUND(F114*E114,D116)</f>
        <v>172.5</v>
      </c>
      <c r="G115" s="18">
        <f t="shared" si="53"/>
        <v>172.5</v>
      </c>
      <c r="H115" s="18">
        <f t="shared" si="53"/>
        <v>172.5</v>
      </c>
      <c r="I115" s="18">
        <f t="shared" si="53"/>
        <v>172.5</v>
      </c>
      <c r="J115" s="19">
        <f>I115</f>
        <v>172.5</v>
      </c>
      <c r="K115" s="74" t="s">
        <v>10</v>
      </c>
      <c r="L115" s="86" t="s">
        <v>28</v>
      </c>
      <c r="M115" s="87">
        <f>K116</f>
        <v>20</v>
      </c>
      <c r="N115" s="93" t="s">
        <v>34</v>
      </c>
      <c r="O115" s="93" t="s">
        <v>35</v>
      </c>
    </row>
    <row r="116" spans="1:15" ht="18" customHeight="1" thickTop="1" thickBot="1" x14ac:dyDescent="0.3">
      <c r="A116" s="195"/>
      <c r="B116" s="144"/>
      <c r="C116" s="90">
        <f>IF(B114="",C112,IF(C114&lt;=0,C112,C112+B116))</f>
        <v>29</v>
      </c>
      <c r="D116" s="100">
        <f>D112</f>
        <v>2.5</v>
      </c>
      <c r="E116" s="13" t="s">
        <v>7</v>
      </c>
      <c r="F116" s="103">
        <f xml:space="preserve"> IF($A$3="하",0,IF(MROUND(J113/5,1)&lt;=G113,IF(MROUND(J113/5,1)&gt;=E113,MROUND(J113/5,1),E113),G113))</f>
        <v>0</v>
      </c>
      <c r="G116" s="104">
        <f>IF(MROUND((J113-F116)/4,1)&lt;=G113,IF(MROUND((J113-F116)/4,1)&gt;=E113,MROUND((J113-F116)/4,1),E113),G113)</f>
        <v>5</v>
      </c>
      <c r="H116" s="104">
        <f>IF(MROUND((J113-F116-G116)/3,1)&lt;=G113,IF(MROUND((J113-F116-G116)/3,1)&gt;=E113,MROUND((J113-F116-G116)/3,1),E113),G113)</f>
        <v>5</v>
      </c>
      <c r="I116" s="104">
        <f>IF(MROUND((J113-F116-G116-H116)/2,1)&lt;=G113,IF((J113-F116-G116-H116)/2&gt;=E113,MROUND((J113-F116-G116-H116)/2,1),J113-F116-G116-H116),G113)</f>
        <v>5</v>
      </c>
      <c r="J116" s="105">
        <f>IF((J113-(F116+G116+H116+I116))&gt;0,(J113-(F116+G116+H116+I116)),0)</f>
        <v>5</v>
      </c>
      <c r="K116" s="101">
        <f>SUM(F116:J116)</f>
        <v>20</v>
      </c>
      <c r="L116" s="88" t="s">
        <v>30</v>
      </c>
      <c r="M116" s="89">
        <f>M115+M112</f>
        <v>591</v>
      </c>
      <c r="N116" s="90">
        <f>ROUNDDOWN((M112-C112+C116+K116)*$N$4,0)</f>
        <v>5</v>
      </c>
      <c r="O116" s="90">
        <f>ROUNDDOWN((M112+K116-+C116)*$O$4,0)</f>
        <v>39</v>
      </c>
    </row>
    <row r="117" spans="1:15" ht="18" customHeight="1" thickTop="1" thickBot="1" x14ac:dyDescent="0.3">
      <c r="A117" s="193">
        <f t="shared" ref="A117" si="54">IF($M120&lt;IF($A$3="하",$S$8,$S$6),0,IF($M120&gt;IF($A$3="하",$S$7,$S$5),"",MAX(A113+1)))</f>
        <v>5</v>
      </c>
      <c r="B117" s="141" t="str">
        <f>IF(O118-C116&lt;$A$1," ","MAX to "&amp;MROUND(IF(IF(O118-C116&gt;$A$1,$A$1,O118-C116)&lt;2,I113,I113*(37-IF(O118-C116&gt;$A$1,$A$1,O118-C116))/36),D120))</f>
        <v>MAX to 212.5</v>
      </c>
      <c r="C117" s="90" t="str">
        <f>IF(O118&lt;=C116,"X",IF(N118&gt;C116,"must ME","can ME"))</f>
        <v>can ME</v>
      </c>
      <c r="D117" s="75" t="s">
        <v>31</v>
      </c>
      <c r="E117" s="23">
        <v>4</v>
      </c>
      <c r="F117" s="2">
        <v>1</v>
      </c>
      <c r="G117" s="23">
        <f>IF(F118&gt;=90%,2,IF(F118&gt;=80%,4,IF(F118&gt;=70%,6,6)))</f>
        <v>6</v>
      </c>
      <c r="H117" s="3" t="s">
        <v>2</v>
      </c>
      <c r="I117" s="91">
        <f>K118/(100%-IF($A$3="하",$P$8,$P$6)*K120)/K120</f>
        <v>238.9196675900277</v>
      </c>
      <c r="J117" s="92">
        <f>IF("하"=$A$3,$Q$7,$Q$5)</f>
        <v>20</v>
      </c>
      <c r="K117" s="107" t="s">
        <v>33</v>
      </c>
      <c r="L117" s="75" t="s">
        <v>25</v>
      </c>
      <c r="M117" s="76">
        <f>K118</f>
        <v>3450</v>
      </c>
      <c r="N117" s="93" t="s">
        <v>34</v>
      </c>
      <c r="O117" s="93" t="s">
        <v>35</v>
      </c>
    </row>
    <row r="118" spans="1:15" ht="18" customHeight="1" thickTop="1" thickBot="1" x14ac:dyDescent="0.3">
      <c r="A118" s="194"/>
      <c r="B118" s="143"/>
      <c r="C118" s="142" t="str">
        <f>IF(B120="","",IF(B118*36/(37-B120)=0,"",B118*36/(37-B120)))</f>
        <v/>
      </c>
      <c r="D118" s="109" t="str">
        <f>D114</f>
        <v>8자매트CDL</v>
      </c>
      <c r="E118" s="18">
        <f>IF(C118="",I113,C118)</f>
        <v>238.9196675900277</v>
      </c>
      <c r="F118" s="94">
        <f>100%-J117*IF($A$3="하",$P$8,$P$6)</f>
        <v>0.72199999999999998</v>
      </c>
      <c r="G118" s="7">
        <f t="shared" ref="G118:I119" si="55">F118</f>
        <v>0.72199999999999998</v>
      </c>
      <c r="H118" s="7">
        <f t="shared" si="55"/>
        <v>0.72199999999999998</v>
      </c>
      <c r="I118" s="7">
        <f t="shared" si="55"/>
        <v>0.72199999999999998</v>
      </c>
      <c r="J118" s="8">
        <f>I118</f>
        <v>0.72199999999999998</v>
      </c>
      <c r="K118" s="95">
        <f>F119*F120+G119*G120+H119*H120+I119*I120+J119*J120</f>
        <v>3450</v>
      </c>
      <c r="L118" s="86" t="s">
        <v>27</v>
      </c>
      <c r="M118" s="81">
        <f>M117+M114</f>
        <v>85200</v>
      </c>
      <c r="N118" s="90">
        <f>ROUNDDOWN(M116*$N$4,0)</f>
        <v>5</v>
      </c>
      <c r="O118" s="90">
        <f>ROUNDDOWN(M116*$O$4,0)</f>
        <v>41</v>
      </c>
    </row>
    <row r="119" spans="1:15" ht="18" customHeight="1" thickTop="1" thickBot="1" x14ac:dyDescent="0.3">
      <c r="A119" s="194"/>
      <c r="B119" s="141" t="str">
        <f>IF(O118-C116&lt;$A$1," ","1~ "&amp;IF(O118-C116&gt;$A$1,$A$1,O118-C116)&amp;" rep")</f>
        <v>1~ 5 rep</v>
      </c>
      <c r="C119" s="97" t="s">
        <v>37</v>
      </c>
      <c r="D119" s="98" t="s">
        <v>5</v>
      </c>
      <c r="E119" s="5" t="s">
        <v>3</v>
      </c>
      <c r="F119" s="18">
        <f>MROUND(F118*E118,D120)</f>
        <v>172.5</v>
      </c>
      <c r="G119" s="18">
        <f t="shared" si="55"/>
        <v>172.5</v>
      </c>
      <c r="H119" s="18">
        <f t="shared" si="55"/>
        <v>172.5</v>
      </c>
      <c r="I119" s="18">
        <f t="shared" si="55"/>
        <v>172.5</v>
      </c>
      <c r="J119" s="19">
        <f>I119</f>
        <v>172.5</v>
      </c>
      <c r="K119" s="74" t="s">
        <v>10</v>
      </c>
      <c r="L119" s="86" t="s">
        <v>28</v>
      </c>
      <c r="M119" s="87">
        <f>K120</f>
        <v>20</v>
      </c>
      <c r="N119" s="93" t="s">
        <v>34</v>
      </c>
      <c r="O119" s="93" t="s">
        <v>35</v>
      </c>
    </row>
    <row r="120" spans="1:15" ht="18" customHeight="1" thickTop="1" thickBot="1" x14ac:dyDescent="0.3">
      <c r="A120" s="195"/>
      <c r="B120" s="144"/>
      <c r="C120" s="90">
        <f>IF(B118="",C116,IF(C118&lt;=0,C116,C116+B120))</f>
        <v>29</v>
      </c>
      <c r="D120" s="100">
        <f>D116</f>
        <v>2.5</v>
      </c>
      <c r="E120" s="13" t="s">
        <v>7</v>
      </c>
      <c r="F120" s="103">
        <f xml:space="preserve"> IF($A$3="하",0,IF(MROUND(J117/5,1)&lt;=G117,IF(MROUND(J117/5,1)&gt;=E117,MROUND(J117/5,1),E117),G117))</f>
        <v>0</v>
      </c>
      <c r="G120" s="104">
        <f>IF(MROUND((J117-F120)/4,1)&lt;=G117,IF(MROUND((J117-F120)/4,1)&gt;=E117,MROUND((J117-F120)/4,1),E117),G117)</f>
        <v>5</v>
      </c>
      <c r="H120" s="104">
        <f>IF(MROUND((J117-F120-G120)/3,1)&lt;=G117,IF(MROUND((J117-F120-G120)/3,1)&gt;=E117,MROUND((J117-F120-G120)/3,1),E117),G117)</f>
        <v>5</v>
      </c>
      <c r="I120" s="104">
        <f>IF(MROUND((J117-F120-G120-H120)/2,1)&lt;=G117,IF((J117-F120-G120-H120)/2&gt;=E117,MROUND((J117-F120-G120-H120)/2,1),J117-F120-G120-H120),G117)</f>
        <v>5</v>
      </c>
      <c r="J120" s="105">
        <f>IF((J117-(F120+G120+H120+I120))&gt;0,(J117-(F120+G120+H120+I120)),0)</f>
        <v>5</v>
      </c>
      <c r="K120" s="101">
        <f>SUM(F120:J120)</f>
        <v>20</v>
      </c>
      <c r="L120" s="88" t="s">
        <v>30</v>
      </c>
      <c r="M120" s="89">
        <f>M119+M116</f>
        <v>611</v>
      </c>
      <c r="N120" s="90">
        <f>ROUNDDOWN((M116-C116+C120+K120)*$N$4,0)</f>
        <v>6</v>
      </c>
      <c r="O120" s="90">
        <f>ROUNDDOWN((M116+K120-+C120)*$O$4,0)</f>
        <v>40</v>
      </c>
    </row>
    <row r="121" spans="1:15" ht="18" customHeight="1" thickTop="1" thickBot="1" x14ac:dyDescent="0.3">
      <c r="A121" s="193">
        <f t="shared" ref="A121" si="56">IF($M124&lt;IF($A$3="하",$S$8,$S$6),0,IF($M124&gt;IF($A$3="하",$S$7,$S$5),"",MAX(A117+1)))</f>
        <v>6</v>
      </c>
      <c r="B121" s="141" t="str">
        <f>IF(O122-C120&lt;$A$1," ","MAX to "&amp;MROUND(IF(IF(O122-C120&gt;$A$1,$A$1,O122-C120)&lt;2,I117,I117*(37-IF(O122-C120&gt;$A$1,$A$1,O122-C120))/36),D124))</f>
        <v>MAX to 212.5</v>
      </c>
      <c r="C121" s="90" t="str">
        <f>IF(O122&lt;=C120,"X",IF(N122&gt;C120,"must ME","can ME"))</f>
        <v>can ME</v>
      </c>
      <c r="D121" s="75" t="s">
        <v>31</v>
      </c>
      <c r="E121" s="23">
        <v>4</v>
      </c>
      <c r="F121" s="2">
        <v>1</v>
      </c>
      <c r="G121" s="23">
        <f>IF(F122&gt;=90%,2,IF(F122&gt;=80%,4,IF(F122&gt;=70%,6,6)))</f>
        <v>6</v>
      </c>
      <c r="H121" s="3" t="s">
        <v>2</v>
      </c>
      <c r="I121" s="91">
        <f>K122/(100%-IF($A$3="하",$P$8,$P$6)*K124)/K124</f>
        <v>238.9196675900277</v>
      </c>
      <c r="J121" s="92">
        <f>IF("하"=$A$3,$Q$7,$Q$5)</f>
        <v>20</v>
      </c>
      <c r="K121" s="107" t="s">
        <v>33</v>
      </c>
      <c r="L121" s="75" t="s">
        <v>25</v>
      </c>
      <c r="M121" s="76">
        <f>K122</f>
        <v>3450</v>
      </c>
      <c r="N121" s="93" t="s">
        <v>34</v>
      </c>
      <c r="O121" s="93" t="s">
        <v>35</v>
      </c>
    </row>
    <row r="122" spans="1:15" ht="18" customHeight="1" thickTop="1" thickBot="1" x14ac:dyDescent="0.3">
      <c r="A122" s="194"/>
      <c r="B122" s="143"/>
      <c r="C122" s="142" t="str">
        <f>IF(B124="","",IF(B122*36/(37-B124)=0,"",B122*36/(37-B124)))</f>
        <v/>
      </c>
      <c r="D122" s="109" t="str">
        <f>D118</f>
        <v>8자매트CDL</v>
      </c>
      <c r="E122" s="18">
        <f>IF(C122="",I117,C122)</f>
        <v>238.9196675900277</v>
      </c>
      <c r="F122" s="94">
        <f>100%-J121*IF($A$3="하",$P$8,$P$6)</f>
        <v>0.72199999999999998</v>
      </c>
      <c r="G122" s="7">
        <f t="shared" ref="G122:I123" si="57">F122</f>
        <v>0.72199999999999998</v>
      </c>
      <c r="H122" s="7">
        <f t="shared" si="57"/>
        <v>0.72199999999999998</v>
      </c>
      <c r="I122" s="7">
        <f t="shared" si="57"/>
        <v>0.72199999999999998</v>
      </c>
      <c r="J122" s="8">
        <f>I122</f>
        <v>0.72199999999999998</v>
      </c>
      <c r="K122" s="95">
        <f>F123*F124+G123*G124+H123*H124+I123*I124+J123*J124</f>
        <v>3450</v>
      </c>
      <c r="L122" s="86" t="s">
        <v>27</v>
      </c>
      <c r="M122" s="81">
        <f>M121+M118</f>
        <v>88650</v>
      </c>
      <c r="N122" s="90">
        <f>ROUNDDOWN(M120*$N$4,0)</f>
        <v>6</v>
      </c>
      <c r="O122" s="90">
        <f>ROUNDDOWN(M120*$O$4,0)</f>
        <v>42</v>
      </c>
    </row>
    <row r="123" spans="1:15" ht="18" customHeight="1" thickTop="1" thickBot="1" x14ac:dyDescent="0.3">
      <c r="A123" s="194"/>
      <c r="B123" s="141" t="str">
        <f>IF(O122-C120&lt;$A$1," ","1~ "&amp;IF(O122-C120&gt;$A$1,$A$1,O122-C120)&amp;" rep")</f>
        <v>1~ 5 rep</v>
      </c>
      <c r="C123" s="97" t="s">
        <v>37</v>
      </c>
      <c r="D123" s="98" t="s">
        <v>5</v>
      </c>
      <c r="E123" s="5" t="s">
        <v>3</v>
      </c>
      <c r="F123" s="18">
        <f>MROUND(F122*E122,D124)</f>
        <v>172.5</v>
      </c>
      <c r="G123" s="18">
        <f t="shared" si="57"/>
        <v>172.5</v>
      </c>
      <c r="H123" s="18">
        <f t="shared" si="57"/>
        <v>172.5</v>
      </c>
      <c r="I123" s="18">
        <f t="shared" si="57"/>
        <v>172.5</v>
      </c>
      <c r="J123" s="19">
        <f>I123</f>
        <v>172.5</v>
      </c>
      <c r="K123" s="74" t="s">
        <v>10</v>
      </c>
      <c r="L123" s="86" t="s">
        <v>28</v>
      </c>
      <c r="M123" s="87">
        <f>K124</f>
        <v>20</v>
      </c>
      <c r="N123" s="93" t="s">
        <v>34</v>
      </c>
      <c r="O123" s="93" t="s">
        <v>35</v>
      </c>
    </row>
    <row r="124" spans="1:15" ht="18" customHeight="1" thickTop="1" thickBot="1" x14ac:dyDescent="0.3">
      <c r="A124" s="195"/>
      <c r="B124" s="144"/>
      <c r="C124" s="90">
        <f>IF(B122="",C120,IF(C122&lt;=0,C120,C120+B124))</f>
        <v>29</v>
      </c>
      <c r="D124" s="100">
        <f>D120</f>
        <v>2.5</v>
      </c>
      <c r="E124" s="13" t="s">
        <v>7</v>
      </c>
      <c r="F124" s="103">
        <f xml:space="preserve"> IF($A$3="하",0,IF(MROUND(J121/5,1)&lt;=G121,IF(MROUND(J121/5,1)&gt;=E121,MROUND(J121/5,1),E121),G121))</f>
        <v>0</v>
      </c>
      <c r="G124" s="104">
        <f>IF(MROUND((J121-F124)/4,1)&lt;=G121,IF(MROUND((J121-F124)/4,1)&gt;=E121,MROUND((J121-F124)/4,1),E121),G121)</f>
        <v>5</v>
      </c>
      <c r="H124" s="104">
        <f>IF(MROUND((J121-F124-G124)/3,1)&lt;=G121,IF(MROUND((J121-F124-G124)/3,1)&gt;=E121,MROUND((J121-F124-G124)/3,1),E121),G121)</f>
        <v>5</v>
      </c>
      <c r="I124" s="104">
        <f>IF(MROUND((J121-F124-G124-H124)/2,1)&lt;=G121,IF((J121-F124-G124-H124)/2&gt;=E121,MROUND((J121-F124-G124-H124)/2,1),J121-F124-G124-H124),G121)</f>
        <v>5</v>
      </c>
      <c r="J124" s="105">
        <f>IF((J121-(F124+G124+H124+I124))&gt;0,(J121-(F124+G124+H124+I124)),0)</f>
        <v>5</v>
      </c>
      <c r="K124" s="101">
        <f>SUM(F124:J124)</f>
        <v>20</v>
      </c>
      <c r="L124" s="88" t="s">
        <v>30</v>
      </c>
      <c r="M124" s="89">
        <f>M123+M120</f>
        <v>631</v>
      </c>
      <c r="N124" s="90">
        <f>ROUNDDOWN((M120-C120+C124+K124)*$N$4,0)</f>
        <v>6</v>
      </c>
      <c r="O124" s="90">
        <f>ROUNDDOWN((M120+K124-+C124)*$O$4,0)</f>
        <v>42</v>
      </c>
    </row>
    <row r="125" spans="1:15" ht="18" customHeight="1" thickTop="1" thickBot="1" x14ac:dyDescent="0.3">
      <c r="A125" s="193">
        <f t="shared" ref="A125" si="58">IF($M128&lt;IF($A$3="하",$S$8,$S$6),0,IF($M128&gt;IF($A$3="하",$S$7,$S$5),"",MAX(A121+1)))</f>
        <v>7</v>
      </c>
      <c r="B125" s="141" t="str">
        <f>IF(O126-C124&lt;$A$1," ","MAX to "&amp;MROUND(IF(IF(O126-C124&gt;$A$1,$A$1,O126-C124)&lt;2,I121,I121*(37-IF(O126-C124&gt;$A$1,$A$1,O126-C124))/36),D128))</f>
        <v>MAX to 212.5</v>
      </c>
      <c r="C125" s="90" t="str">
        <f>IF(O126&lt;=C124,"X",IF(N126&gt;C124,"must ME","can ME"))</f>
        <v>can ME</v>
      </c>
      <c r="D125" s="75" t="s">
        <v>31</v>
      </c>
      <c r="E125" s="23">
        <v>4</v>
      </c>
      <c r="F125" s="2">
        <v>1</v>
      </c>
      <c r="G125" s="23">
        <f>IF(F126&gt;=90%,2,IF(F126&gt;=80%,4,IF(F126&gt;=70%,6,6)))</f>
        <v>6</v>
      </c>
      <c r="H125" s="3" t="s">
        <v>2</v>
      </c>
      <c r="I125" s="91">
        <f>K126/(100%-IF($A$3="하",$P$8,$P$6)*K128)/K128</f>
        <v>238.9196675900277</v>
      </c>
      <c r="J125" s="92">
        <f>IF("하"=$A$3,$Q$7,$Q$5)</f>
        <v>20</v>
      </c>
      <c r="K125" s="107" t="s">
        <v>33</v>
      </c>
      <c r="L125" s="75" t="s">
        <v>25</v>
      </c>
      <c r="M125" s="76">
        <f>K126</f>
        <v>3450</v>
      </c>
      <c r="N125" s="93" t="s">
        <v>34</v>
      </c>
      <c r="O125" s="93" t="s">
        <v>35</v>
      </c>
    </row>
    <row r="126" spans="1:15" ht="18" customHeight="1" thickTop="1" thickBot="1" x14ac:dyDescent="0.3">
      <c r="A126" s="194"/>
      <c r="B126" s="143"/>
      <c r="C126" s="142" t="str">
        <f>IF(B128="","",IF(B126*36/(37-B128)=0,"",B126*36/(37-B128)))</f>
        <v/>
      </c>
      <c r="D126" s="109" t="str">
        <f>D122</f>
        <v>8자매트CDL</v>
      </c>
      <c r="E126" s="18">
        <f>IF(C126="",I121,C126)</f>
        <v>238.9196675900277</v>
      </c>
      <c r="F126" s="94">
        <f>100%-J125*IF($A$3="하",$P$8,$P$6)</f>
        <v>0.72199999999999998</v>
      </c>
      <c r="G126" s="7">
        <f t="shared" ref="G126:I127" si="59">F126</f>
        <v>0.72199999999999998</v>
      </c>
      <c r="H126" s="7">
        <f t="shared" si="59"/>
        <v>0.72199999999999998</v>
      </c>
      <c r="I126" s="7">
        <f t="shared" si="59"/>
        <v>0.72199999999999998</v>
      </c>
      <c r="J126" s="8">
        <f>I126</f>
        <v>0.72199999999999998</v>
      </c>
      <c r="K126" s="95">
        <f>F127*F128+G127*G128+H127*H128+I127*I128+J127*J128</f>
        <v>3450</v>
      </c>
      <c r="L126" s="86" t="s">
        <v>27</v>
      </c>
      <c r="M126" s="81">
        <f>M125+M122</f>
        <v>92100</v>
      </c>
      <c r="N126" s="90">
        <f>ROUNDDOWN(M124*$N$4,0)</f>
        <v>6</v>
      </c>
      <c r="O126" s="90">
        <f>ROUNDDOWN(M124*$O$4,0)</f>
        <v>44</v>
      </c>
    </row>
    <row r="127" spans="1:15" ht="18" customHeight="1" thickTop="1" thickBot="1" x14ac:dyDescent="0.3">
      <c r="A127" s="194"/>
      <c r="B127" s="141" t="str">
        <f>IF(O126-C124&lt;$A$1," ","1~ "&amp;IF(O126-C124&gt;$A$1,$A$1,O126-C124)&amp;" rep")</f>
        <v>1~ 5 rep</v>
      </c>
      <c r="C127" s="97" t="s">
        <v>37</v>
      </c>
      <c r="D127" s="98" t="s">
        <v>5</v>
      </c>
      <c r="E127" s="5" t="s">
        <v>3</v>
      </c>
      <c r="F127" s="18">
        <f>MROUND(F126*E126,D128)</f>
        <v>172.5</v>
      </c>
      <c r="G127" s="18">
        <f t="shared" si="59"/>
        <v>172.5</v>
      </c>
      <c r="H127" s="18">
        <f t="shared" si="59"/>
        <v>172.5</v>
      </c>
      <c r="I127" s="18">
        <f t="shared" si="59"/>
        <v>172.5</v>
      </c>
      <c r="J127" s="19">
        <f>I127</f>
        <v>172.5</v>
      </c>
      <c r="K127" s="74" t="s">
        <v>10</v>
      </c>
      <c r="L127" s="86" t="s">
        <v>28</v>
      </c>
      <c r="M127" s="87">
        <f>K128</f>
        <v>20</v>
      </c>
      <c r="N127" s="93" t="s">
        <v>34</v>
      </c>
      <c r="O127" s="93" t="s">
        <v>35</v>
      </c>
    </row>
    <row r="128" spans="1:15" ht="18" customHeight="1" thickTop="1" thickBot="1" x14ac:dyDescent="0.3">
      <c r="A128" s="195"/>
      <c r="B128" s="144"/>
      <c r="C128" s="90">
        <f>IF(B126="",C124,IF(C126&lt;=0,C124,C124+B128))</f>
        <v>29</v>
      </c>
      <c r="D128" s="100">
        <f>D124</f>
        <v>2.5</v>
      </c>
      <c r="E128" s="13" t="s">
        <v>7</v>
      </c>
      <c r="F128" s="103">
        <f xml:space="preserve"> IF($A$3="하",0,IF(MROUND(J125/5,1)&lt;=G125,IF(MROUND(J125/5,1)&gt;=E125,MROUND(J125/5,1),E125),G125))</f>
        <v>0</v>
      </c>
      <c r="G128" s="104">
        <f>IF(MROUND((J125-F128)/4,1)&lt;=G125,IF(MROUND((J125-F128)/4,1)&gt;=E125,MROUND((J125-F128)/4,1),E125),G125)</f>
        <v>5</v>
      </c>
      <c r="H128" s="104">
        <f>IF(MROUND((J125-F128-G128)/3,1)&lt;=G125,IF(MROUND((J125-F128-G128)/3,1)&gt;=E125,MROUND((J125-F128-G128)/3,1),E125),G125)</f>
        <v>5</v>
      </c>
      <c r="I128" s="104">
        <f>IF(MROUND((J125-F128-G128-H128)/2,1)&lt;=G125,IF((J125-F128-G128-H128)/2&gt;=E125,MROUND((J125-F128-G128-H128)/2,1),J125-F128-G128-H128),G125)</f>
        <v>5</v>
      </c>
      <c r="J128" s="105">
        <f>IF((J125-(F128+G128+H128+I128))&gt;0,(J125-(F128+G128+H128+I128)),0)</f>
        <v>5</v>
      </c>
      <c r="K128" s="101">
        <f>SUM(F128:J128)</f>
        <v>20</v>
      </c>
      <c r="L128" s="88" t="s">
        <v>30</v>
      </c>
      <c r="M128" s="89">
        <f>M127+M124</f>
        <v>651</v>
      </c>
      <c r="N128" s="90">
        <f>ROUNDDOWN((M124-C124+C128+K128)*$N$4,0)</f>
        <v>6</v>
      </c>
      <c r="O128" s="90">
        <f>ROUNDDOWN((M124+K128-+C128)*$O$4,0)</f>
        <v>43</v>
      </c>
    </row>
    <row r="129" ht="17.25" thickTop="1" x14ac:dyDescent="0.25"/>
  </sheetData>
  <mergeCells count="34">
    <mergeCell ref="A125:A128"/>
    <mergeCell ref="A105:A108"/>
    <mergeCell ref="A109:A112"/>
    <mergeCell ref="A113:A116"/>
    <mergeCell ref="A117:A120"/>
    <mergeCell ref="A121:A124"/>
    <mergeCell ref="A65:A68"/>
    <mergeCell ref="A69:A72"/>
    <mergeCell ref="A73:A76"/>
    <mergeCell ref="A77:A80"/>
    <mergeCell ref="A9:A12"/>
    <mergeCell ref="A61:A64"/>
    <mergeCell ref="A45:A48"/>
    <mergeCell ref="A49:A52"/>
    <mergeCell ref="A53:A56"/>
    <mergeCell ref="A13:A16"/>
    <mergeCell ref="A17:A20"/>
    <mergeCell ref="A37:A40"/>
    <mergeCell ref="A41:A44"/>
    <mergeCell ref="A57:A60"/>
    <mergeCell ref="E1:F1"/>
    <mergeCell ref="G1:H1"/>
    <mergeCell ref="A4:K4"/>
    <mergeCell ref="A5:A8"/>
    <mergeCell ref="A33:A36"/>
    <mergeCell ref="A21:A24"/>
    <mergeCell ref="A25:A28"/>
    <mergeCell ref="A29:A32"/>
    <mergeCell ref="A93:A96"/>
    <mergeCell ref="A97:A100"/>
    <mergeCell ref="A101:A104"/>
    <mergeCell ref="A81:A84"/>
    <mergeCell ref="A85:A88"/>
    <mergeCell ref="A89:A92"/>
  </mergeCells>
  <phoneticPr fontId="1" type="noConversion"/>
  <conditionalFormatting sqref="A5 A9 A13 A17 A21 A25 A29 A33 A37 A41 A45 A49 A53 A57 A61">
    <cfRule type="containsText" dxfId="792" priority="103" operator="containsText" text="0">
      <formula>NOT(ISERROR(SEARCH("0",A5)))</formula>
    </cfRule>
  </conditionalFormatting>
  <conditionalFormatting sqref="A65 A69 A73 A77">
    <cfRule type="containsText" dxfId="791" priority="86" operator="containsText" text="0">
      <formula>NOT(ISERROR(SEARCH("0",A65)))</formula>
    </cfRule>
  </conditionalFormatting>
  <conditionalFormatting sqref="A81 A85 A89">
    <cfRule type="containsText" dxfId="790" priority="73" operator="containsText" text="0">
      <formula>NOT(ISERROR(SEARCH("0",A81)))</formula>
    </cfRule>
  </conditionalFormatting>
  <conditionalFormatting sqref="A93">
    <cfRule type="containsText" dxfId="789" priority="60" operator="containsText" text="0">
      <formula>NOT(ISERROR(SEARCH("0",A93)))</formula>
    </cfRule>
  </conditionalFormatting>
  <conditionalFormatting sqref="A97 A101">
    <cfRule type="containsText" dxfId="788" priority="32" operator="containsText" text="0">
      <formula>NOT(ISERROR(SEARCH("0",A97)))</formula>
    </cfRule>
  </conditionalFormatting>
  <conditionalFormatting sqref="A105 A109">
    <cfRule type="containsText" dxfId="787" priority="23" operator="containsText" text="0">
      <formula>NOT(ISERROR(SEARCH("0",A105)))</formula>
    </cfRule>
  </conditionalFormatting>
  <conditionalFormatting sqref="A113 A117">
    <cfRule type="containsText" dxfId="786" priority="14" operator="containsText" text="0">
      <formula>NOT(ISERROR(SEARCH("0",A113)))</formula>
    </cfRule>
  </conditionalFormatting>
  <conditionalFormatting sqref="A121 A125">
    <cfRule type="containsText" dxfId="785" priority="5" operator="containsText" text="0">
      <formula>NOT(ISERROR(SEARCH("0",A121)))</formula>
    </cfRule>
  </conditionalFormatting>
  <conditionalFormatting sqref="C2:C3">
    <cfRule type="cellIs" dxfId="784" priority="164" operator="equal">
      <formula>"ME"</formula>
    </cfRule>
  </conditionalFormatting>
  <conditionalFormatting sqref="C5">
    <cfRule type="containsText" dxfId="783" priority="163" operator="containsText" text="must">
      <formula>NOT(ISERROR(SEARCH("must",C5)))</formula>
    </cfRule>
    <cfRule type="containsText" dxfId="782" priority="162" operator="containsText" text="can">
      <formula>NOT(ISERROR(SEARCH("can",C5)))</formula>
    </cfRule>
  </conditionalFormatting>
  <conditionalFormatting sqref="C6:C8">
    <cfRule type="containsText" dxfId="781" priority="157" operator="containsText" text="ME">
      <formula>NOT(ISERROR(SEARCH("ME",C6)))</formula>
    </cfRule>
  </conditionalFormatting>
  <conditionalFormatting sqref="C9">
    <cfRule type="containsText" dxfId="780" priority="160" operator="containsText" text="must">
      <formula>NOT(ISERROR(SEARCH("must",C9)))</formula>
    </cfRule>
    <cfRule type="containsText" dxfId="779" priority="159" operator="containsText" text="can">
      <formula>NOT(ISERROR(SEARCH("can",C9)))</formula>
    </cfRule>
  </conditionalFormatting>
  <conditionalFormatting sqref="C10:C12">
    <cfRule type="containsText" dxfId="778" priority="158" operator="containsText" text="ME">
      <formula>NOT(ISERROR(SEARCH("ME",C10)))</formula>
    </cfRule>
  </conditionalFormatting>
  <conditionalFormatting sqref="C13">
    <cfRule type="containsText" dxfId="777" priority="155" operator="containsText" text="must">
      <formula>NOT(ISERROR(SEARCH("must",C13)))</formula>
    </cfRule>
    <cfRule type="containsText" dxfId="776" priority="154" operator="containsText" text="can">
      <formula>NOT(ISERROR(SEARCH("can",C13)))</formula>
    </cfRule>
  </conditionalFormatting>
  <conditionalFormatting sqref="C14:C16">
    <cfRule type="containsText" dxfId="775" priority="153" operator="containsText" text="ME">
      <formula>NOT(ISERROR(SEARCH("ME",C14)))</formula>
    </cfRule>
  </conditionalFormatting>
  <conditionalFormatting sqref="C17">
    <cfRule type="containsText" dxfId="774" priority="150" operator="containsText" text="must">
      <formula>NOT(ISERROR(SEARCH("must",C17)))</formula>
    </cfRule>
    <cfRule type="containsText" dxfId="773" priority="149" operator="containsText" text="can">
      <formula>NOT(ISERROR(SEARCH("can",C17)))</formula>
    </cfRule>
  </conditionalFormatting>
  <conditionalFormatting sqref="C18:C20">
    <cfRule type="containsText" dxfId="772" priority="148" operator="containsText" text="ME">
      <formula>NOT(ISERROR(SEARCH("ME",C18)))</formula>
    </cfRule>
  </conditionalFormatting>
  <conditionalFormatting sqref="C21">
    <cfRule type="containsText" dxfId="771" priority="146" operator="containsText" text="must">
      <formula>NOT(ISERROR(SEARCH("must",C21)))</formula>
    </cfRule>
    <cfRule type="containsText" dxfId="770" priority="145" operator="containsText" text="can">
      <formula>NOT(ISERROR(SEARCH("can",C21)))</formula>
    </cfRule>
  </conditionalFormatting>
  <conditionalFormatting sqref="C22:C24">
    <cfRule type="containsText" dxfId="769" priority="144" operator="containsText" text="ME">
      <formula>NOT(ISERROR(SEARCH("ME",C22)))</formula>
    </cfRule>
  </conditionalFormatting>
  <conditionalFormatting sqref="C25">
    <cfRule type="containsText" dxfId="768" priority="142" operator="containsText" text="must">
      <formula>NOT(ISERROR(SEARCH("must",C25)))</formula>
    </cfRule>
    <cfRule type="containsText" dxfId="767" priority="141" operator="containsText" text="can">
      <formula>NOT(ISERROR(SEARCH("can",C25)))</formula>
    </cfRule>
  </conditionalFormatting>
  <conditionalFormatting sqref="C26:C28">
    <cfRule type="containsText" dxfId="766" priority="140" operator="containsText" text="ME">
      <formula>NOT(ISERROR(SEARCH("ME",C26)))</formula>
    </cfRule>
  </conditionalFormatting>
  <conditionalFormatting sqref="C29">
    <cfRule type="containsText" dxfId="765" priority="138" operator="containsText" text="must">
      <formula>NOT(ISERROR(SEARCH("must",C29)))</formula>
    </cfRule>
    <cfRule type="containsText" dxfId="764" priority="137" operator="containsText" text="can">
      <formula>NOT(ISERROR(SEARCH("can",C29)))</formula>
    </cfRule>
  </conditionalFormatting>
  <conditionalFormatting sqref="C30:C32">
    <cfRule type="containsText" dxfId="763" priority="136" operator="containsText" text="ME">
      <formula>NOT(ISERROR(SEARCH("ME",C30)))</formula>
    </cfRule>
  </conditionalFormatting>
  <conditionalFormatting sqref="C33">
    <cfRule type="containsText" dxfId="762" priority="134" operator="containsText" text="must">
      <formula>NOT(ISERROR(SEARCH("must",C33)))</formula>
    </cfRule>
    <cfRule type="containsText" dxfId="761" priority="133" operator="containsText" text="can">
      <formula>NOT(ISERROR(SEARCH("can",C33)))</formula>
    </cfRule>
  </conditionalFormatting>
  <conditionalFormatting sqref="C34:C36">
    <cfRule type="containsText" dxfId="760" priority="132" operator="containsText" text="ME">
      <formula>NOT(ISERROR(SEARCH("ME",C34)))</formula>
    </cfRule>
  </conditionalFormatting>
  <conditionalFormatting sqref="C37">
    <cfRule type="containsText" dxfId="759" priority="130" operator="containsText" text="must">
      <formula>NOT(ISERROR(SEARCH("must",C37)))</formula>
    </cfRule>
    <cfRule type="containsText" dxfId="758" priority="129" operator="containsText" text="can">
      <formula>NOT(ISERROR(SEARCH("can",C37)))</formula>
    </cfRule>
  </conditionalFormatting>
  <conditionalFormatting sqref="C38:C40">
    <cfRule type="containsText" dxfId="757" priority="128" operator="containsText" text="ME">
      <formula>NOT(ISERROR(SEARCH("ME",C38)))</formula>
    </cfRule>
  </conditionalFormatting>
  <conditionalFormatting sqref="C41">
    <cfRule type="containsText" dxfId="756" priority="126" operator="containsText" text="must">
      <formula>NOT(ISERROR(SEARCH("must",C41)))</formula>
    </cfRule>
    <cfRule type="containsText" dxfId="755" priority="125" operator="containsText" text="can">
      <formula>NOT(ISERROR(SEARCH("can",C41)))</formula>
    </cfRule>
  </conditionalFormatting>
  <conditionalFormatting sqref="C42:C44">
    <cfRule type="containsText" dxfId="754" priority="124" operator="containsText" text="ME">
      <formula>NOT(ISERROR(SEARCH("ME",C42)))</formula>
    </cfRule>
  </conditionalFormatting>
  <conditionalFormatting sqref="C45">
    <cfRule type="containsText" dxfId="753" priority="122" operator="containsText" text="must">
      <formula>NOT(ISERROR(SEARCH("must",C45)))</formula>
    </cfRule>
    <cfRule type="containsText" dxfId="752" priority="121" operator="containsText" text="can">
      <formula>NOT(ISERROR(SEARCH("can",C45)))</formula>
    </cfRule>
  </conditionalFormatting>
  <conditionalFormatting sqref="C46:C48">
    <cfRule type="containsText" dxfId="751" priority="120" operator="containsText" text="ME">
      <formula>NOT(ISERROR(SEARCH("ME",C46)))</formula>
    </cfRule>
  </conditionalFormatting>
  <conditionalFormatting sqref="C49">
    <cfRule type="containsText" dxfId="750" priority="118" operator="containsText" text="must">
      <formula>NOT(ISERROR(SEARCH("must",C49)))</formula>
    </cfRule>
    <cfRule type="containsText" dxfId="749" priority="117" operator="containsText" text="can">
      <formula>NOT(ISERROR(SEARCH("can",C49)))</formula>
    </cfRule>
  </conditionalFormatting>
  <conditionalFormatting sqref="C50:C52">
    <cfRule type="containsText" dxfId="748" priority="116" operator="containsText" text="ME">
      <formula>NOT(ISERROR(SEARCH("ME",C50)))</formula>
    </cfRule>
  </conditionalFormatting>
  <conditionalFormatting sqref="C53">
    <cfRule type="containsText" dxfId="747" priority="114" operator="containsText" text="must">
      <formula>NOT(ISERROR(SEARCH("must",C53)))</formula>
    </cfRule>
    <cfRule type="containsText" dxfId="746" priority="113" operator="containsText" text="can">
      <formula>NOT(ISERROR(SEARCH("can",C53)))</formula>
    </cfRule>
  </conditionalFormatting>
  <conditionalFormatting sqref="C54:C56">
    <cfRule type="containsText" dxfId="745" priority="112" operator="containsText" text="ME">
      <formula>NOT(ISERROR(SEARCH("ME",C54)))</formula>
    </cfRule>
  </conditionalFormatting>
  <conditionalFormatting sqref="C57">
    <cfRule type="containsText" dxfId="744" priority="110" operator="containsText" text="must">
      <formula>NOT(ISERROR(SEARCH("must",C57)))</formula>
    </cfRule>
    <cfRule type="containsText" dxfId="743" priority="109" operator="containsText" text="can">
      <formula>NOT(ISERROR(SEARCH("can",C57)))</formula>
    </cfRule>
  </conditionalFormatting>
  <conditionalFormatting sqref="C58:C60">
    <cfRule type="containsText" dxfId="742" priority="108" operator="containsText" text="ME">
      <formula>NOT(ISERROR(SEARCH("ME",C58)))</formula>
    </cfRule>
  </conditionalFormatting>
  <conditionalFormatting sqref="C61">
    <cfRule type="containsText" dxfId="741" priority="106" operator="containsText" text="must">
      <formula>NOT(ISERROR(SEARCH("must",C61)))</formula>
    </cfRule>
    <cfRule type="containsText" dxfId="740" priority="105" operator="containsText" text="can">
      <formula>NOT(ISERROR(SEARCH("can",C61)))</formula>
    </cfRule>
  </conditionalFormatting>
  <conditionalFormatting sqref="C62:C64">
    <cfRule type="containsText" dxfId="739" priority="104" operator="containsText" text="ME">
      <formula>NOT(ISERROR(SEARCH("ME",C62)))</formula>
    </cfRule>
  </conditionalFormatting>
  <conditionalFormatting sqref="C65">
    <cfRule type="containsText" dxfId="738" priority="100" operator="containsText" text="can">
      <formula>NOT(ISERROR(SEARCH("can",C65)))</formula>
    </cfRule>
    <cfRule type="containsText" dxfId="737" priority="101" operator="containsText" text="must">
      <formula>NOT(ISERROR(SEARCH("must",C65)))</formula>
    </cfRule>
  </conditionalFormatting>
  <conditionalFormatting sqref="C66:C68">
    <cfRule type="containsText" dxfId="736" priority="99" operator="containsText" text="ME">
      <formula>NOT(ISERROR(SEARCH("ME",C66)))</formula>
    </cfRule>
  </conditionalFormatting>
  <conditionalFormatting sqref="C69">
    <cfRule type="containsText" dxfId="735" priority="97" operator="containsText" text="must">
      <formula>NOT(ISERROR(SEARCH("must",C69)))</formula>
    </cfRule>
    <cfRule type="containsText" dxfId="734" priority="96" operator="containsText" text="can">
      <formula>NOT(ISERROR(SEARCH("can",C69)))</formula>
    </cfRule>
  </conditionalFormatting>
  <conditionalFormatting sqref="C70:C72">
    <cfRule type="containsText" dxfId="733" priority="95" operator="containsText" text="ME">
      <formula>NOT(ISERROR(SEARCH("ME",C70)))</formula>
    </cfRule>
  </conditionalFormatting>
  <conditionalFormatting sqref="C73">
    <cfRule type="containsText" dxfId="732" priority="92" operator="containsText" text="can">
      <formula>NOT(ISERROR(SEARCH("can",C73)))</formula>
    </cfRule>
    <cfRule type="containsText" dxfId="731" priority="93" operator="containsText" text="must">
      <formula>NOT(ISERROR(SEARCH("must",C73)))</formula>
    </cfRule>
  </conditionalFormatting>
  <conditionalFormatting sqref="C74:C76">
    <cfRule type="containsText" dxfId="730" priority="91" operator="containsText" text="ME">
      <formula>NOT(ISERROR(SEARCH("ME",C74)))</formula>
    </cfRule>
  </conditionalFormatting>
  <conditionalFormatting sqref="C77">
    <cfRule type="containsText" dxfId="729" priority="89" operator="containsText" text="must">
      <formula>NOT(ISERROR(SEARCH("must",C77)))</formula>
    </cfRule>
    <cfRule type="containsText" dxfId="728" priority="88" operator="containsText" text="can">
      <formula>NOT(ISERROR(SEARCH("can",C77)))</formula>
    </cfRule>
  </conditionalFormatting>
  <conditionalFormatting sqref="C78:C80">
    <cfRule type="containsText" dxfId="727" priority="87" operator="containsText" text="ME">
      <formula>NOT(ISERROR(SEARCH("ME",C78)))</formula>
    </cfRule>
  </conditionalFormatting>
  <conditionalFormatting sqref="C81">
    <cfRule type="containsText" dxfId="726" priority="84" operator="containsText" text="must">
      <formula>NOT(ISERROR(SEARCH("must",C81)))</formula>
    </cfRule>
    <cfRule type="containsText" dxfId="725" priority="83" operator="containsText" text="can">
      <formula>NOT(ISERROR(SEARCH("can",C81)))</formula>
    </cfRule>
  </conditionalFormatting>
  <conditionalFormatting sqref="C82:C84">
    <cfRule type="containsText" dxfId="724" priority="82" operator="containsText" text="ME">
      <formula>NOT(ISERROR(SEARCH("ME",C82)))</formula>
    </cfRule>
  </conditionalFormatting>
  <conditionalFormatting sqref="C85">
    <cfRule type="containsText" dxfId="723" priority="79" operator="containsText" text="can">
      <formula>NOT(ISERROR(SEARCH("can",C85)))</formula>
    </cfRule>
    <cfRule type="containsText" dxfId="722" priority="80" operator="containsText" text="must">
      <formula>NOT(ISERROR(SEARCH("must",C85)))</formula>
    </cfRule>
  </conditionalFormatting>
  <conditionalFormatting sqref="C86:C88">
    <cfRule type="containsText" dxfId="721" priority="78" operator="containsText" text="ME">
      <formula>NOT(ISERROR(SEARCH("ME",C86)))</formula>
    </cfRule>
  </conditionalFormatting>
  <conditionalFormatting sqref="C89">
    <cfRule type="containsText" dxfId="720" priority="57" operator="containsText" text="can">
      <formula>NOT(ISERROR(SEARCH("can",C89)))</formula>
    </cfRule>
    <cfRule type="containsText" dxfId="719" priority="58" operator="containsText" text="must">
      <formula>NOT(ISERROR(SEARCH("must",C89)))</formula>
    </cfRule>
  </conditionalFormatting>
  <conditionalFormatting sqref="C90:C92">
    <cfRule type="containsText" dxfId="718" priority="55" operator="containsText" text="ME">
      <formula>NOT(ISERROR(SEARCH("ME",C90)))</formula>
    </cfRule>
  </conditionalFormatting>
  <conditionalFormatting sqref="C93">
    <cfRule type="containsText" dxfId="717" priority="71" operator="containsText" text="must">
      <formula>NOT(ISERROR(SEARCH("must",C93)))</formula>
    </cfRule>
    <cfRule type="containsText" dxfId="716" priority="70" operator="containsText" text="can">
      <formula>NOT(ISERROR(SEARCH("can",C93)))</formula>
    </cfRule>
  </conditionalFormatting>
  <conditionalFormatting sqref="C94:C96">
    <cfRule type="containsText" dxfId="715" priority="69" operator="containsText" text="ME">
      <formula>NOT(ISERROR(SEARCH("ME",C94)))</formula>
    </cfRule>
  </conditionalFormatting>
  <conditionalFormatting sqref="C97">
    <cfRule type="containsText" dxfId="714" priority="30" operator="containsText" text="can">
      <formula>NOT(ISERROR(SEARCH("can",C97)))</formula>
    </cfRule>
    <cfRule type="containsText" dxfId="713" priority="31" operator="containsText" text="must">
      <formula>NOT(ISERROR(SEARCH("must",C97)))</formula>
    </cfRule>
  </conditionalFormatting>
  <conditionalFormatting sqref="C98:C100">
    <cfRule type="containsText" dxfId="712" priority="35" operator="containsText" text="ME">
      <formula>NOT(ISERROR(SEARCH("ME",C98)))</formula>
    </cfRule>
  </conditionalFormatting>
  <conditionalFormatting sqref="C101">
    <cfRule type="containsText" dxfId="711" priority="28" operator="containsText" text="can">
      <formula>NOT(ISERROR(SEARCH("can",C101)))</formula>
    </cfRule>
    <cfRule type="containsText" dxfId="710" priority="29" operator="containsText" text="must">
      <formula>NOT(ISERROR(SEARCH("must",C101)))</formula>
    </cfRule>
  </conditionalFormatting>
  <conditionalFormatting sqref="C102:C104">
    <cfRule type="containsText" dxfId="709" priority="33" operator="containsText" text="ME">
      <formula>NOT(ISERROR(SEARCH("ME",C102)))</formula>
    </cfRule>
  </conditionalFormatting>
  <conditionalFormatting sqref="C105">
    <cfRule type="containsText" dxfId="708" priority="22" operator="containsText" text="must">
      <formula>NOT(ISERROR(SEARCH("must",C105)))</formula>
    </cfRule>
    <cfRule type="containsText" dxfId="707" priority="21" operator="containsText" text="can">
      <formula>NOT(ISERROR(SEARCH("can",C105)))</formula>
    </cfRule>
  </conditionalFormatting>
  <conditionalFormatting sqref="C106:C108">
    <cfRule type="containsText" dxfId="706" priority="26" operator="containsText" text="ME">
      <formula>NOT(ISERROR(SEARCH("ME",C106)))</formula>
    </cfRule>
  </conditionalFormatting>
  <conditionalFormatting sqref="C109">
    <cfRule type="containsText" dxfId="705" priority="20" operator="containsText" text="must">
      <formula>NOT(ISERROR(SEARCH("must",C109)))</formula>
    </cfRule>
    <cfRule type="containsText" dxfId="704" priority="19" operator="containsText" text="can">
      <formula>NOT(ISERROR(SEARCH("can",C109)))</formula>
    </cfRule>
  </conditionalFormatting>
  <conditionalFormatting sqref="C110:C112">
    <cfRule type="containsText" dxfId="703" priority="24" operator="containsText" text="ME">
      <formula>NOT(ISERROR(SEARCH("ME",C110)))</formula>
    </cfRule>
  </conditionalFormatting>
  <conditionalFormatting sqref="C113">
    <cfRule type="containsText" dxfId="702" priority="13" operator="containsText" text="must">
      <formula>NOT(ISERROR(SEARCH("must",C113)))</formula>
    </cfRule>
    <cfRule type="containsText" dxfId="701" priority="12" operator="containsText" text="can">
      <formula>NOT(ISERROR(SEARCH("can",C113)))</formula>
    </cfRule>
  </conditionalFormatting>
  <conditionalFormatting sqref="C114:C116">
    <cfRule type="containsText" dxfId="700" priority="17" operator="containsText" text="ME">
      <formula>NOT(ISERROR(SEARCH("ME",C114)))</formula>
    </cfRule>
  </conditionalFormatting>
  <conditionalFormatting sqref="C117">
    <cfRule type="containsText" dxfId="699" priority="10" operator="containsText" text="can">
      <formula>NOT(ISERROR(SEARCH("can",C117)))</formula>
    </cfRule>
    <cfRule type="containsText" dxfId="698" priority="11" operator="containsText" text="must">
      <formula>NOT(ISERROR(SEARCH("must",C117)))</formula>
    </cfRule>
  </conditionalFormatting>
  <conditionalFormatting sqref="C118:C120">
    <cfRule type="containsText" dxfId="697" priority="15" operator="containsText" text="ME">
      <formula>NOT(ISERROR(SEARCH("ME",C118)))</formula>
    </cfRule>
  </conditionalFormatting>
  <conditionalFormatting sqref="C121">
    <cfRule type="containsText" dxfId="696" priority="4" operator="containsText" text="must">
      <formula>NOT(ISERROR(SEARCH("must",C121)))</formula>
    </cfRule>
    <cfRule type="containsText" dxfId="695" priority="3" operator="containsText" text="can">
      <formula>NOT(ISERROR(SEARCH("can",C121)))</formula>
    </cfRule>
  </conditionalFormatting>
  <conditionalFormatting sqref="C122:C124">
    <cfRule type="containsText" dxfId="694" priority="8" operator="containsText" text="ME">
      <formula>NOT(ISERROR(SEARCH("ME",C122)))</formula>
    </cfRule>
  </conditionalFormatting>
  <conditionalFormatting sqref="C125">
    <cfRule type="containsText" dxfId="693" priority="2" operator="containsText" text="must">
      <formula>NOT(ISERROR(SEARCH("must",C125)))</formula>
    </cfRule>
    <cfRule type="containsText" dxfId="692" priority="1" operator="containsText" text="can">
      <formula>NOT(ISERROR(SEARCH("can",C125)))</formula>
    </cfRule>
  </conditionalFormatting>
  <conditionalFormatting sqref="C126:C128">
    <cfRule type="containsText" dxfId="691" priority="6" operator="containsText" text="ME">
      <formula>NOT(ISERROR(SEARCH("ME",C126)))</formula>
    </cfRule>
  </conditionalFormatting>
  <conditionalFormatting sqref="J5">
    <cfRule type="cellIs" dxfId="690" priority="165" operator="equal">
      <formula>"ME"</formula>
    </cfRule>
  </conditionalFormatting>
  <conditionalFormatting sqref="J9">
    <cfRule type="cellIs" dxfId="689" priority="161" operator="equal">
      <formula>"ME"</formula>
    </cfRule>
  </conditionalFormatting>
  <conditionalFormatting sqref="J13">
    <cfRule type="cellIs" dxfId="688" priority="156" operator="equal">
      <formula>"ME"</formula>
    </cfRule>
  </conditionalFormatting>
  <conditionalFormatting sqref="J17">
    <cfRule type="cellIs" dxfId="687" priority="151" operator="equal">
      <formula>"ME"</formula>
    </cfRule>
  </conditionalFormatting>
  <conditionalFormatting sqref="J21">
    <cfRule type="cellIs" dxfId="686" priority="147" operator="equal">
      <formula>"ME"</formula>
    </cfRule>
  </conditionalFormatting>
  <conditionalFormatting sqref="J25">
    <cfRule type="cellIs" dxfId="685" priority="143" operator="equal">
      <formula>"ME"</formula>
    </cfRule>
  </conditionalFormatting>
  <conditionalFormatting sqref="J29">
    <cfRule type="cellIs" dxfId="684" priority="139" operator="equal">
      <formula>"ME"</formula>
    </cfRule>
  </conditionalFormatting>
  <conditionalFormatting sqref="J33">
    <cfRule type="cellIs" dxfId="683" priority="135" operator="equal">
      <formula>"ME"</formula>
    </cfRule>
  </conditionalFormatting>
  <conditionalFormatting sqref="J37">
    <cfRule type="cellIs" dxfId="682" priority="131" operator="equal">
      <formula>"ME"</formula>
    </cfRule>
  </conditionalFormatting>
  <conditionalFormatting sqref="J41">
    <cfRule type="cellIs" dxfId="681" priority="127" operator="equal">
      <formula>"ME"</formula>
    </cfRule>
  </conditionalFormatting>
  <conditionalFormatting sqref="J45">
    <cfRule type="cellIs" dxfId="680" priority="123" operator="equal">
      <formula>"ME"</formula>
    </cfRule>
  </conditionalFormatting>
  <conditionalFormatting sqref="J49">
    <cfRule type="cellIs" dxfId="679" priority="119" operator="equal">
      <formula>"ME"</formula>
    </cfRule>
  </conditionalFormatting>
  <conditionalFormatting sqref="J53">
    <cfRule type="cellIs" dxfId="678" priority="115" operator="equal">
      <formula>"ME"</formula>
    </cfRule>
  </conditionalFormatting>
  <conditionalFormatting sqref="J57">
    <cfRule type="cellIs" dxfId="677" priority="111" operator="equal">
      <formula>"ME"</formula>
    </cfRule>
  </conditionalFormatting>
  <conditionalFormatting sqref="J61">
    <cfRule type="cellIs" dxfId="676" priority="107" operator="equal">
      <formula>"ME"</formula>
    </cfRule>
  </conditionalFormatting>
  <conditionalFormatting sqref="J65">
    <cfRule type="cellIs" dxfId="675" priority="102" operator="equal">
      <formula>"ME"</formula>
    </cfRule>
  </conditionalFormatting>
  <conditionalFormatting sqref="J69">
    <cfRule type="cellIs" dxfId="674" priority="98" operator="equal">
      <formula>"ME"</formula>
    </cfRule>
  </conditionalFormatting>
  <conditionalFormatting sqref="J73">
    <cfRule type="cellIs" dxfId="673" priority="94" operator="equal">
      <formula>"ME"</formula>
    </cfRule>
  </conditionalFormatting>
  <conditionalFormatting sqref="J77">
    <cfRule type="cellIs" dxfId="672" priority="90" operator="equal">
      <formula>"ME"</formula>
    </cfRule>
  </conditionalFormatting>
  <conditionalFormatting sqref="J81">
    <cfRule type="cellIs" dxfId="671" priority="85" operator="equal">
      <formula>"ME"</formula>
    </cfRule>
  </conditionalFormatting>
  <conditionalFormatting sqref="J85">
    <cfRule type="cellIs" dxfId="670" priority="81" operator="equal">
      <formula>"ME"</formula>
    </cfRule>
  </conditionalFormatting>
  <conditionalFormatting sqref="J89">
    <cfRule type="cellIs" dxfId="669" priority="59" operator="equal">
      <formula>"ME"</formula>
    </cfRule>
  </conditionalFormatting>
  <conditionalFormatting sqref="J93">
    <cfRule type="cellIs" dxfId="668" priority="72" operator="equal">
      <formula>"ME"</formula>
    </cfRule>
  </conditionalFormatting>
  <conditionalFormatting sqref="J97">
    <cfRule type="cellIs" dxfId="667" priority="36" operator="equal">
      <formula>"ME"</formula>
    </cfRule>
  </conditionalFormatting>
  <conditionalFormatting sqref="J101">
    <cfRule type="cellIs" dxfId="666" priority="34" operator="equal">
      <formula>"ME"</formula>
    </cfRule>
  </conditionalFormatting>
  <conditionalFormatting sqref="J105">
    <cfRule type="cellIs" dxfId="665" priority="27" operator="equal">
      <formula>"ME"</formula>
    </cfRule>
  </conditionalFormatting>
  <conditionalFormatting sqref="J109">
    <cfRule type="cellIs" dxfId="664" priority="25" operator="equal">
      <formula>"ME"</formula>
    </cfRule>
  </conditionalFormatting>
  <conditionalFormatting sqref="J113">
    <cfRule type="cellIs" dxfId="663" priority="18" operator="equal">
      <formula>"ME"</formula>
    </cfRule>
  </conditionalFormatting>
  <conditionalFormatting sqref="J117">
    <cfRule type="cellIs" dxfId="662" priority="16" operator="equal">
      <formula>"ME"</formula>
    </cfRule>
  </conditionalFormatting>
  <conditionalFormatting sqref="J121">
    <cfRule type="cellIs" dxfId="661" priority="9" operator="equal">
      <formula>"ME"</formula>
    </cfRule>
  </conditionalFormatting>
  <conditionalFormatting sqref="J125">
    <cfRule type="cellIs" dxfId="660" priority="7" operator="equal">
      <formula>"ME"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83E2-25FC-AE47-976B-F5A53990500F}">
  <sheetPr>
    <tabColor theme="0"/>
  </sheetPr>
  <dimension ref="A1:S65"/>
  <sheetViews>
    <sheetView zoomScale="85" zoomScaleNormal="85" workbookViewId="0">
      <pane xSplit="1" ySplit="4" topLeftCell="B25" activePane="bottomRight" state="frozen"/>
      <selection pane="bottomLeft" activeCell="A5" sqref="A5"/>
      <selection pane="topRight" activeCell="B1" sqref="B1"/>
      <selection pane="bottomRight" activeCell="G1" sqref="G1:H1"/>
    </sheetView>
  </sheetViews>
  <sheetFormatPr defaultColWidth="8.91015625" defaultRowHeight="16.5" x14ac:dyDescent="0.25"/>
  <cols>
    <col min="1" max="1" width="3.7109375" customWidth="1"/>
    <col min="2" max="2" width="12.87109375" style="140" bestFit="1" customWidth="1"/>
    <col min="3" max="3" width="10.0234375" bestFit="1" customWidth="1"/>
    <col min="4" max="4" width="8.7890625" bestFit="1" customWidth="1"/>
    <col min="5" max="5" width="10.76953125" bestFit="1" customWidth="1"/>
    <col min="6" max="6" width="6.0625" bestFit="1" customWidth="1"/>
    <col min="7" max="7" width="10.76953125" bestFit="1" customWidth="1"/>
    <col min="8" max="10" width="5.4453125" bestFit="1" customWidth="1"/>
    <col min="11" max="11" width="5.07421875" hidden="1" customWidth="1"/>
    <col min="12" max="12" width="7.55078125" hidden="1" customWidth="1"/>
    <col min="13" max="13" width="6.1875" hidden="1" customWidth="1"/>
    <col min="14" max="15" width="7.42578125" hidden="1" customWidth="1"/>
    <col min="16" max="16" width="6.0625" hidden="1" customWidth="1"/>
    <col min="17" max="17" width="3.21484375" hidden="1" customWidth="1"/>
    <col min="18" max="19" width="4.20703125" hidden="1" customWidth="1"/>
  </cols>
  <sheetData>
    <row r="1" spans="1:19" ht="63" customHeight="1" thickTop="1" thickBot="1" x14ac:dyDescent="0.3">
      <c r="A1">
        <v>5</v>
      </c>
      <c r="B1" s="124" t="s">
        <v>40</v>
      </c>
      <c r="C1" s="125">
        <f>ROUNDDOWN((G1-E1)/7,0)+1</f>
        <v>3</v>
      </c>
      <c r="D1" s="146"/>
      <c r="E1" s="196">
        <v>45732</v>
      </c>
      <c r="F1" s="196"/>
      <c r="G1" s="197">
        <v>45752</v>
      </c>
      <c r="H1" s="197"/>
      <c r="L1" s="75" t="s">
        <v>25</v>
      </c>
      <c r="M1" s="76"/>
    </row>
    <row r="2" spans="1:19" ht="18" thickTop="1" thickBot="1" x14ac:dyDescent="0.3">
      <c r="A2" s="126">
        <f>C1</f>
        <v>3</v>
      </c>
      <c r="B2" s="112" t="s">
        <v>53</v>
      </c>
      <c r="C2" s="80" t="s">
        <v>5</v>
      </c>
      <c r="D2" s="78" t="s">
        <v>11</v>
      </c>
      <c r="E2" s="78" t="s">
        <v>12</v>
      </c>
      <c r="F2" s="79" t="s">
        <v>13</v>
      </c>
      <c r="G2" s="147" t="s">
        <v>5</v>
      </c>
      <c r="H2" s="148" t="s">
        <v>11</v>
      </c>
      <c r="I2" s="148" t="s">
        <v>13</v>
      </c>
      <c r="J2" s="149" t="s">
        <v>14</v>
      </c>
      <c r="L2" s="86" t="s">
        <v>27</v>
      </c>
      <c r="M2" s="81"/>
    </row>
    <row r="3" spans="1:19" ht="18" thickTop="1" thickBot="1" x14ac:dyDescent="0.3">
      <c r="A3" s="129" t="s">
        <v>8</v>
      </c>
      <c r="B3" s="119">
        <v>220</v>
      </c>
      <c r="C3" s="85">
        <v>2.5</v>
      </c>
      <c r="D3" s="83">
        <v>100</v>
      </c>
      <c r="E3" s="83">
        <v>100</v>
      </c>
      <c r="F3" s="84">
        <f>MROUND(E3-D3*0.85,C3)</f>
        <v>15</v>
      </c>
      <c r="G3" s="150">
        <v>0.1</v>
      </c>
      <c r="H3" s="151">
        <v>100</v>
      </c>
      <c r="I3" s="151">
        <v>25</v>
      </c>
      <c r="J3" s="152">
        <f>MROUND(H3*0.85+I3,G3)</f>
        <v>110</v>
      </c>
      <c r="L3" s="86" t="s">
        <v>28</v>
      </c>
      <c r="M3" s="87"/>
      <c r="N3" s="120" t="s">
        <v>34</v>
      </c>
      <c r="O3" s="93" t="s">
        <v>35</v>
      </c>
    </row>
    <row r="4" spans="1:19" ht="33.75" thickTop="1" thickBot="1" x14ac:dyDescent="0.3">
      <c r="A4" s="198" t="str">
        <f>A3&amp;" 운동"</f>
        <v>하 운동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28" t="s">
        <v>30</v>
      </c>
      <c r="M4" s="115"/>
      <c r="N4" s="116">
        <v>0.01</v>
      </c>
      <c r="O4" s="122">
        <v>7.0000000000000007E-2</v>
      </c>
    </row>
    <row r="5" spans="1:19" ht="18" customHeight="1" thickTop="1" thickBot="1" x14ac:dyDescent="0.3">
      <c r="A5" s="193">
        <f>IF($M8&lt;IF($A$3="하",$S$8,$S$6),0,IF($M8&gt;IF($A$3="하",$S$7,$S$5),"",A1+1))</f>
        <v>0</v>
      </c>
      <c r="B5" s="141" t="str">
        <f>IF(O6-C8&lt;$A$1," ","MAX to "&amp;MROUND(IF(IF(O6-C8&gt;$A$1,$A$1,O6-C8)&lt;2,I1,I1*(37-IF(O6-C8&gt;$A$1,$A$1,O6-C8))/36),D8))</f>
        <v xml:space="preserve"> </v>
      </c>
      <c r="C5" s="90" t="str">
        <f>IF(O6&lt;=C8,"X",IF(N6&gt;C8,"must ME","can ME"))</f>
        <v>X</v>
      </c>
      <c r="D5" s="131" t="s">
        <v>31</v>
      </c>
      <c r="E5" s="132">
        <v>4</v>
      </c>
      <c r="F5" s="133" t="s">
        <v>32</v>
      </c>
      <c r="G5" s="132">
        <f>IF(F6&gt;=90%,2,IF(F6&gt;=80%,4,IF(F6&gt;=70%,6,6)))</f>
        <v>6</v>
      </c>
      <c r="H5" s="134" t="s">
        <v>2</v>
      </c>
      <c r="I5" s="135">
        <f>K6/(100%-IF($A$3="하",$P$8,$P$6)*K8)/K8</f>
        <v>258.85354141656666</v>
      </c>
      <c r="J5" s="136">
        <f>IF("하"=$A$3,$Q$7,$Q$5)</f>
        <v>20</v>
      </c>
      <c r="K5" s="137" t="s">
        <v>33</v>
      </c>
      <c r="L5" s="75" t="s">
        <v>25</v>
      </c>
      <c r="M5" s="76">
        <f>K6</f>
        <v>4140</v>
      </c>
      <c r="N5" s="74" t="s">
        <v>34</v>
      </c>
      <c r="O5" s="74" t="s">
        <v>35</v>
      </c>
      <c r="P5" s="77" t="s">
        <v>26</v>
      </c>
      <c r="Q5" s="77">
        <v>25</v>
      </c>
      <c r="R5" s="77">
        <v>300</v>
      </c>
      <c r="S5" s="77">
        <f>$A$2*R5/4</f>
        <v>225</v>
      </c>
    </row>
    <row r="6" spans="1:19" ht="18" customHeight="1" thickTop="1" thickBot="1" x14ac:dyDescent="0.3">
      <c r="A6" s="194"/>
      <c r="B6" s="143">
        <v>240</v>
      </c>
      <c r="C6" s="142">
        <f>IF(B8="","",IF(B6*36/(37-B8)=0,"",B6*36/(37-B8)))</f>
        <v>240</v>
      </c>
      <c r="D6" s="109" t="s">
        <v>54</v>
      </c>
      <c r="E6" s="18">
        <f>IF(C6="",B3,C6)</f>
        <v>240</v>
      </c>
      <c r="F6" s="94">
        <f>100%-J5*IF($A$3="하",$P$8,$P$6)</f>
        <v>0.72199999999999998</v>
      </c>
      <c r="G6" s="7">
        <f t="shared" ref="G6:I7" si="0">F6</f>
        <v>0.72199999999999998</v>
      </c>
      <c r="H6" s="7">
        <f t="shared" si="0"/>
        <v>0.72199999999999998</v>
      </c>
      <c r="I6" s="7">
        <f t="shared" si="0"/>
        <v>0.72199999999999998</v>
      </c>
      <c r="J6" s="8">
        <f>I6</f>
        <v>0.72199999999999998</v>
      </c>
      <c r="K6" s="95">
        <f>F7*F8+G7*G8+H7*H8+I7*I8+J7*J8</f>
        <v>4140</v>
      </c>
      <c r="L6" s="86" t="s">
        <v>27</v>
      </c>
      <c r="M6" s="81">
        <f>M5+M2</f>
        <v>4140</v>
      </c>
      <c r="N6" s="90">
        <f>ROUNDDOWN(M4*$N$4,0)</f>
        <v>0</v>
      </c>
      <c r="O6" s="90">
        <f>ROUNDDOWN(M4*$O$4,0)</f>
        <v>0</v>
      </c>
      <c r="P6" s="82">
        <v>1.11E-2</v>
      </c>
      <c r="Q6" s="77">
        <v>25</v>
      </c>
      <c r="R6" s="77">
        <v>200</v>
      </c>
      <c r="S6" s="77">
        <f>$A$2*R6/4</f>
        <v>150</v>
      </c>
    </row>
    <row r="7" spans="1:19" ht="18" customHeight="1" thickTop="1" thickBot="1" x14ac:dyDescent="0.3">
      <c r="A7" s="194"/>
      <c r="B7" s="141" t="str">
        <f>IF(O6-C8&lt;$A$1," ","1~ "&amp;IF(O6-C8&gt;$A$1,$A$1,O6-C8)&amp;" rep")</f>
        <v xml:space="preserve"> </v>
      </c>
      <c r="C7" s="97" t="s">
        <v>37</v>
      </c>
      <c r="D7" s="98" t="s">
        <v>5</v>
      </c>
      <c r="E7" s="5" t="s">
        <v>3</v>
      </c>
      <c r="F7" s="18">
        <f>MROUND(F6*E6,D8)</f>
        <v>172.5</v>
      </c>
      <c r="G7" s="18">
        <f t="shared" si="0"/>
        <v>172.5</v>
      </c>
      <c r="H7" s="18">
        <f t="shared" si="0"/>
        <v>172.5</v>
      </c>
      <c r="I7" s="18">
        <f t="shared" si="0"/>
        <v>172.5</v>
      </c>
      <c r="J7" s="19">
        <f>I7</f>
        <v>172.5</v>
      </c>
      <c r="K7" s="74" t="s">
        <v>10</v>
      </c>
      <c r="L7" s="86" t="s">
        <v>28</v>
      </c>
      <c r="M7" s="87">
        <f>K8</f>
        <v>24</v>
      </c>
      <c r="N7" s="93" t="s">
        <v>34</v>
      </c>
      <c r="O7" s="93" t="s">
        <v>35</v>
      </c>
      <c r="P7" s="121" t="s">
        <v>29</v>
      </c>
      <c r="Q7" s="77">
        <v>20</v>
      </c>
      <c r="R7" s="77">
        <v>240</v>
      </c>
      <c r="S7" s="77">
        <f>$A$2*R7/4</f>
        <v>180</v>
      </c>
    </row>
    <row r="8" spans="1:19" ht="18" customHeight="1" thickTop="1" thickBot="1" x14ac:dyDescent="0.3">
      <c r="A8" s="195"/>
      <c r="B8" s="143">
        <v>1</v>
      </c>
      <c r="C8" s="90">
        <f>B8</f>
        <v>1</v>
      </c>
      <c r="D8" s="113">
        <v>2.5</v>
      </c>
      <c r="E8" s="13" t="s">
        <v>7</v>
      </c>
      <c r="F8" s="153"/>
      <c r="G8" s="154">
        <v>6</v>
      </c>
      <c r="H8" s="154">
        <v>6</v>
      </c>
      <c r="I8" s="154">
        <v>6</v>
      </c>
      <c r="J8" s="155">
        <v>6</v>
      </c>
      <c r="K8" s="101">
        <f>SUM(F8:J8)</f>
        <v>24</v>
      </c>
      <c r="L8" s="88" t="s">
        <v>30</v>
      </c>
      <c r="M8" s="89">
        <f>M7+M4</f>
        <v>24</v>
      </c>
      <c r="N8" s="90">
        <f>ROUNDDOWN((M4+C8+K8)*$N$4,0)</f>
        <v>0</v>
      </c>
      <c r="O8" s="90">
        <f>ROUNDDOWN((M4+K8+C8)*$O$4,0)</f>
        <v>1</v>
      </c>
      <c r="P8" s="117">
        <v>1.3899999999999999E-2</v>
      </c>
      <c r="Q8" s="77">
        <v>20</v>
      </c>
      <c r="R8" s="77">
        <v>160</v>
      </c>
      <c r="S8" s="77">
        <f>$A$2*R8/4</f>
        <v>120</v>
      </c>
    </row>
    <row r="9" spans="1:19" ht="18" customHeight="1" thickTop="1" thickBot="1" x14ac:dyDescent="0.3">
      <c r="A9" s="193">
        <f>IF($M12&lt;IF($A$3="하",$S$8,$S$6),0,IF($M12&gt;IF($A$3="하",$S$7,$S$5),"",MAX(A5+1)))</f>
        <v>0</v>
      </c>
      <c r="B9" s="141" t="str">
        <f>IF(O10-C8&lt;$A$1," ","MAX to "&amp;MROUND(IF(IF(O10-C8&gt;$A$1,$A$1,O10-C8)&lt;2,I5,I5*(37-IF(O10-C8&gt;$A$1,$A$1,O10-C8))/36),D12))</f>
        <v xml:space="preserve"> </v>
      </c>
      <c r="C9" s="90" t="str">
        <f>IF(O10&lt;=C8,"X",IF(N10&gt;C8,"must ME","can ME"))</f>
        <v>X</v>
      </c>
      <c r="D9" s="75" t="s">
        <v>31</v>
      </c>
      <c r="E9" s="23">
        <v>4</v>
      </c>
      <c r="F9" s="2">
        <v>1</v>
      </c>
      <c r="G9" s="23">
        <f>IF(F10&gt;=90%,2,IF(F10&gt;=80%,4,IF(F10&gt;=70%,6,6)))</f>
        <v>6</v>
      </c>
      <c r="H9" s="3" t="s">
        <v>2</v>
      </c>
      <c r="I9" s="91">
        <f>K10/(100%-IF($A$3="하",$P$8,$P$6)*K12)/K12</f>
        <v>217.58703481392558</v>
      </c>
      <c r="J9" s="92">
        <f>IF("하"=$A$3,$Q$7,$Q$5)</f>
        <v>20</v>
      </c>
      <c r="K9" s="107" t="s">
        <v>33</v>
      </c>
      <c r="L9" s="75" t="s">
        <v>25</v>
      </c>
      <c r="M9" s="76">
        <f>K10</f>
        <v>3480</v>
      </c>
      <c r="N9" s="93" t="s">
        <v>34</v>
      </c>
      <c r="O9" s="93" t="s">
        <v>35</v>
      </c>
    </row>
    <row r="10" spans="1:19" ht="18" customHeight="1" thickTop="1" thickBot="1" x14ac:dyDescent="0.3">
      <c r="A10" s="194"/>
      <c r="B10" s="143">
        <v>200</v>
      </c>
      <c r="C10" s="142">
        <f>IF(B12="","",IF(B10*36/(37-B12)=0,"",B10*36/(37-B12)))</f>
        <v>200</v>
      </c>
      <c r="D10" s="109" t="s">
        <v>56</v>
      </c>
      <c r="E10" s="18">
        <f>IF(C10="",I5,C10)</f>
        <v>200</v>
      </c>
      <c r="F10" s="94">
        <f>100%-J9*IF($A$3="하",$P$8,$P$6)</f>
        <v>0.72199999999999998</v>
      </c>
      <c r="G10" s="7">
        <f t="shared" ref="G10:I11" si="1">F10</f>
        <v>0.72199999999999998</v>
      </c>
      <c r="H10" s="7">
        <f t="shared" si="1"/>
        <v>0.72199999999999998</v>
      </c>
      <c r="I10" s="7">
        <f t="shared" si="1"/>
        <v>0.72199999999999998</v>
      </c>
      <c r="J10" s="8">
        <f>I10</f>
        <v>0.72199999999999998</v>
      </c>
      <c r="K10" s="95">
        <f>F11*F12+G11*G12+H11*H12+I11*I12+J11*J12</f>
        <v>3480</v>
      </c>
      <c r="L10" s="86" t="s">
        <v>27</v>
      </c>
      <c r="M10" s="81">
        <f>M9+M6</f>
        <v>7620</v>
      </c>
      <c r="N10" s="90">
        <f>ROUNDDOWN(M8*$N$4,0)</f>
        <v>0</v>
      </c>
      <c r="O10" s="90">
        <f>ROUNDDOWN(M8*$O$4,0)</f>
        <v>1</v>
      </c>
    </row>
    <row r="11" spans="1:19" ht="18" customHeight="1" thickTop="1" thickBot="1" x14ac:dyDescent="0.3">
      <c r="A11" s="194"/>
      <c r="B11" s="141" t="str">
        <f>IF(O10-C8&lt;$A$1," ","1~ "&amp;IF(O10-C8&gt;$A$1,$A$1,O10-C8)&amp;" rep")</f>
        <v xml:space="preserve"> </v>
      </c>
      <c r="C11" s="97" t="s">
        <v>37</v>
      </c>
      <c r="D11" s="98" t="s">
        <v>5</v>
      </c>
      <c r="E11" s="5" t="s">
        <v>3</v>
      </c>
      <c r="F11" s="18">
        <f>MROUND(F10*E10,D12)</f>
        <v>145</v>
      </c>
      <c r="G11" s="18">
        <f t="shared" si="1"/>
        <v>145</v>
      </c>
      <c r="H11" s="18">
        <f t="shared" si="1"/>
        <v>145</v>
      </c>
      <c r="I11" s="18">
        <f t="shared" si="1"/>
        <v>145</v>
      </c>
      <c r="J11" s="19">
        <f>I11</f>
        <v>145</v>
      </c>
      <c r="K11" s="74" t="s">
        <v>10</v>
      </c>
      <c r="L11" s="86" t="s">
        <v>28</v>
      </c>
      <c r="M11" s="87">
        <f>K12</f>
        <v>24</v>
      </c>
      <c r="N11" s="93" t="s">
        <v>34</v>
      </c>
      <c r="O11" s="93" t="s">
        <v>35</v>
      </c>
    </row>
    <row r="12" spans="1:19" ht="18" customHeight="1" thickTop="1" thickBot="1" x14ac:dyDescent="0.3">
      <c r="A12" s="195"/>
      <c r="B12" s="144">
        <v>1</v>
      </c>
      <c r="C12" s="90">
        <f>IF(B10="",C8,IF(C10&lt;=0,C8,C8+B12))</f>
        <v>2</v>
      </c>
      <c r="D12" s="100">
        <f>D8</f>
        <v>2.5</v>
      </c>
      <c r="E12" s="13" t="s">
        <v>7</v>
      </c>
      <c r="F12" s="153"/>
      <c r="G12" s="154">
        <v>6</v>
      </c>
      <c r="H12" s="154">
        <v>6</v>
      </c>
      <c r="I12" s="154">
        <v>6</v>
      </c>
      <c r="J12" s="155">
        <v>6</v>
      </c>
      <c r="K12" s="101">
        <f>SUM(F12:J12)</f>
        <v>24</v>
      </c>
      <c r="L12" s="88" t="s">
        <v>30</v>
      </c>
      <c r="M12" s="89">
        <f>M11+M8</f>
        <v>48</v>
      </c>
      <c r="N12" s="90">
        <f>ROUNDDOWN((M8-C8+C12+K12)*$N$4,0)</f>
        <v>0</v>
      </c>
      <c r="O12" s="90">
        <f>ROUNDDOWN((M8+K12-+C12)*$O$4,0)</f>
        <v>3</v>
      </c>
    </row>
    <row r="13" spans="1:19" ht="18" customHeight="1" thickTop="1" thickBot="1" x14ac:dyDescent="0.3">
      <c r="A13" s="193">
        <f t="shared" ref="A13" si="2">IF($M16&lt;IF($A$3="하",$S$8,$S$6),0,IF($M16&gt;IF($A$3="하",$S$7,$S$5),"",MAX(A9+1)))</f>
        <v>0</v>
      </c>
      <c r="B13" s="141" t="str">
        <f>IF(O14-C12&lt;$A$1," ","MAX to "&amp;MROUND(IF(IF(O14-C12&gt;$A$1,$A$1,O14-C12)&lt;2,I9,I9*(37-IF(O14-C12&gt;$A$1,$A$1,O14-C12))/36),D16))</f>
        <v xml:space="preserve"> </v>
      </c>
      <c r="C13" s="90" t="str">
        <f>IF(O14&lt;=C12,"X",IF(N14&gt;C12,"must ME","can ME"))</f>
        <v>can ME</v>
      </c>
      <c r="D13" s="75" t="s">
        <v>31</v>
      </c>
      <c r="E13" s="23">
        <v>4</v>
      </c>
      <c r="F13" s="2">
        <v>1</v>
      </c>
      <c r="G13" s="23">
        <f>IF(F14&gt;=90%,2,IF(F14&gt;=80%,4,IF(F14&gt;=70%,6,6)))</f>
        <v>6</v>
      </c>
      <c r="H13" s="3" t="s">
        <v>2</v>
      </c>
      <c r="I13" s="91">
        <f>K14/(100%-IF($A$3="하",$P$8,$P$6)*K16)/K16</f>
        <v>218.14404432132966</v>
      </c>
      <c r="J13" s="92">
        <f>IF("하"=$A$3,$Q$7,$Q$5)</f>
        <v>20</v>
      </c>
      <c r="K13" s="107" t="s">
        <v>33</v>
      </c>
      <c r="L13" s="75" t="s">
        <v>25</v>
      </c>
      <c r="M13" s="76">
        <f>K14</f>
        <v>3150</v>
      </c>
      <c r="N13" s="93" t="s">
        <v>34</v>
      </c>
      <c r="O13" s="93" t="s">
        <v>35</v>
      </c>
    </row>
    <row r="14" spans="1:19" ht="18" customHeight="1" thickTop="1" thickBot="1" x14ac:dyDescent="0.3">
      <c r="A14" s="194"/>
      <c r="B14" s="143"/>
      <c r="C14" s="142" t="str">
        <f>IF(B16="","",IF(B14*36/(37-B16)=0,"",B14*36/(37-B16)))</f>
        <v/>
      </c>
      <c r="D14" s="109" t="str">
        <f>D10</f>
        <v>RDL</v>
      </c>
      <c r="E14" s="18">
        <f>IF(C14="",I9,C14)</f>
        <v>217.58703481392558</v>
      </c>
      <c r="F14" s="94">
        <f>100%-J13*IF($A$3="하",$P$8,$P$6)</f>
        <v>0.72199999999999998</v>
      </c>
      <c r="G14" s="7">
        <f t="shared" ref="G14:I15" si="3">F14</f>
        <v>0.72199999999999998</v>
      </c>
      <c r="H14" s="7">
        <f t="shared" si="3"/>
        <v>0.72199999999999998</v>
      </c>
      <c r="I14" s="7">
        <f t="shared" si="3"/>
        <v>0.72199999999999998</v>
      </c>
      <c r="J14" s="8">
        <f>I14</f>
        <v>0.72199999999999998</v>
      </c>
      <c r="K14" s="95">
        <f>F15*F16+G15*G16+H15*H16+I15*I16+J15*J16</f>
        <v>3150</v>
      </c>
      <c r="L14" s="86" t="s">
        <v>27</v>
      </c>
      <c r="M14" s="81">
        <f>M13+M10</f>
        <v>10770</v>
      </c>
      <c r="N14" s="90">
        <f>ROUNDDOWN(M12*$N$4,0)</f>
        <v>0</v>
      </c>
      <c r="O14" s="90">
        <f>ROUNDDOWN(M12*$O$4,0)</f>
        <v>3</v>
      </c>
    </row>
    <row r="15" spans="1:19" ht="18" customHeight="1" thickTop="1" thickBot="1" x14ac:dyDescent="0.3">
      <c r="A15" s="194"/>
      <c r="B15" s="141" t="str">
        <f>IF(O14-C12&lt;$A$1," ","1~ "&amp;IF(O14-C12&gt;$A$1,$A$1,O14-C12)&amp;" rep")</f>
        <v xml:space="preserve"> </v>
      </c>
      <c r="C15" s="97" t="s">
        <v>37</v>
      </c>
      <c r="D15" s="98" t="s">
        <v>5</v>
      </c>
      <c r="E15" s="5" t="s">
        <v>3</v>
      </c>
      <c r="F15" s="18">
        <f>MROUND(F14*E14,D16)</f>
        <v>157.5</v>
      </c>
      <c r="G15" s="18">
        <f t="shared" si="3"/>
        <v>157.5</v>
      </c>
      <c r="H15" s="18">
        <f t="shared" si="3"/>
        <v>157.5</v>
      </c>
      <c r="I15" s="18">
        <f t="shared" si="3"/>
        <v>157.5</v>
      </c>
      <c r="J15" s="19">
        <f>I15</f>
        <v>157.5</v>
      </c>
      <c r="K15" s="74" t="s">
        <v>10</v>
      </c>
      <c r="L15" s="86" t="s">
        <v>28</v>
      </c>
      <c r="M15" s="87">
        <f>K16</f>
        <v>20</v>
      </c>
      <c r="N15" s="93" t="s">
        <v>34</v>
      </c>
      <c r="O15" s="93" t="s">
        <v>35</v>
      </c>
    </row>
    <row r="16" spans="1:19" ht="18" customHeight="1" thickTop="1" thickBot="1" x14ac:dyDescent="0.3">
      <c r="A16" s="195"/>
      <c r="B16" s="144"/>
      <c r="C16" s="90">
        <f>IF(B14="",C12,IF(C14&lt;=0,C12,C12+B16))</f>
        <v>2</v>
      </c>
      <c r="D16" s="100">
        <f>D12</f>
        <v>2.5</v>
      </c>
      <c r="E16" s="13" t="s">
        <v>7</v>
      </c>
      <c r="F16" s="153"/>
      <c r="G16" s="154">
        <v>6</v>
      </c>
      <c r="H16" s="153">
        <v>4</v>
      </c>
      <c r="I16" s="154">
        <v>6</v>
      </c>
      <c r="J16" s="155">
        <f>IF((J13-(F16+G16+H16+I16))&gt;0,(J13-(F16+G16+H16+I16)),0)</f>
        <v>4</v>
      </c>
      <c r="K16" s="101">
        <f>SUM(F16:J16)</f>
        <v>20</v>
      </c>
      <c r="L16" s="88" t="s">
        <v>30</v>
      </c>
      <c r="M16" s="89">
        <f>M15+M12</f>
        <v>68</v>
      </c>
      <c r="N16" s="90">
        <f>ROUNDDOWN((M12-C12+C16+K16)*$N$4,0)</f>
        <v>0</v>
      </c>
      <c r="O16" s="90">
        <f>ROUNDDOWN((M12+K16-+C16)*$O$4,0)</f>
        <v>4</v>
      </c>
    </row>
    <row r="17" spans="1:15" ht="18" customHeight="1" thickTop="1" thickBot="1" x14ac:dyDescent="0.3">
      <c r="A17" s="193">
        <f t="shared" ref="A17" si="4">IF($M20&lt;IF($A$3="하",$S$8,$S$6),0,IF($M20&gt;IF($A$3="하",$S$7,$S$5),"",MAX(A13+1)))</f>
        <v>0</v>
      </c>
      <c r="B17" s="141" t="str">
        <f>IF(O18-C16&lt;$A$1," ","MAX to "&amp;MROUND(IF(IF(O18-C16&gt;$A$1,$A$1,O18-C16)&lt;2,I13,I13*(37-IF(O18-C16&gt;$A$1,$A$1,O18-C16))/36),D20))</f>
        <v xml:space="preserve"> </v>
      </c>
      <c r="C17" s="90" t="str">
        <f>IF(O18&lt;=C16,"X",IF(N18&gt;C16,"must ME","can ME"))</f>
        <v>can ME</v>
      </c>
      <c r="D17" s="75" t="s">
        <v>31</v>
      </c>
      <c r="E17" s="23">
        <v>4</v>
      </c>
      <c r="F17" s="2">
        <v>1</v>
      </c>
      <c r="G17" s="23">
        <f>IF(F18&gt;=90%,2,IF(F18&gt;=80%,4,IF(F18&gt;=70%,6,6)))</f>
        <v>6</v>
      </c>
      <c r="H17" s="3" t="s">
        <v>2</v>
      </c>
      <c r="I17" s="91">
        <f>K18/(100%-IF($A$3="하",$P$8,$P$6)*K20)/K20</f>
        <v>195.078031212485</v>
      </c>
      <c r="J17" s="92">
        <f>IF("하"=$A$3,$Q$7,$Q$5)</f>
        <v>20</v>
      </c>
      <c r="K17" s="107" t="s">
        <v>33</v>
      </c>
      <c r="L17" s="75" t="s">
        <v>25</v>
      </c>
      <c r="M17" s="76">
        <f>K18</f>
        <v>3120</v>
      </c>
      <c r="N17" s="93" t="s">
        <v>34</v>
      </c>
      <c r="O17" s="93" t="s">
        <v>35</v>
      </c>
    </row>
    <row r="18" spans="1:15" ht="18" customHeight="1" thickTop="1" thickBot="1" x14ac:dyDescent="0.3">
      <c r="A18" s="194"/>
      <c r="B18" s="143">
        <v>180</v>
      </c>
      <c r="C18" s="142">
        <f>IF(B20="","",IF(B18*36/(37-B20)=0,"",B18*36/(37-B20)))</f>
        <v>180</v>
      </c>
      <c r="D18" s="109" t="s">
        <v>57</v>
      </c>
      <c r="E18" s="18">
        <f>IF(C18="",I13,C18)</f>
        <v>180</v>
      </c>
      <c r="F18" s="94">
        <f>100%-J17*IF($A$3="하",$P$8,$P$6)</f>
        <v>0.72199999999999998</v>
      </c>
      <c r="G18" s="7">
        <f t="shared" ref="G18:I19" si="5">F18</f>
        <v>0.72199999999999998</v>
      </c>
      <c r="H18" s="7">
        <f t="shared" si="5"/>
        <v>0.72199999999999998</v>
      </c>
      <c r="I18" s="7">
        <f t="shared" si="5"/>
        <v>0.72199999999999998</v>
      </c>
      <c r="J18" s="8">
        <f>I18</f>
        <v>0.72199999999999998</v>
      </c>
      <c r="K18" s="95">
        <f>F19*F20+G19*G20+H19*H20+I19*I20+J19*J20</f>
        <v>3120</v>
      </c>
      <c r="L18" s="86" t="s">
        <v>27</v>
      </c>
      <c r="M18" s="81">
        <f>M17+M14</f>
        <v>13890</v>
      </c>
      <c r="N18" s="90">
        <f>ROUNDDOWN(M16*$N$4,0)</f>
        <v>0</v>
      </c>
      <c r="O18" s="90">
        <f>ROUNDDOWN(M16*$O$4,0)</f>
        <v>4</v>
      </c>
    </row>
    <row r="19" spans="1:15" ht="18" customHeight="1" thickTop="1" thickBot="1" x14ac:dyDescent="0.3">
      <c r="A19" s="194"/>
      <c r="B19" s="141" t="str">
        <f>IF(O18-C16&lt;$A$1," ","1~ "&amp;IF(O18-C16&gt;$A$1,$A$1,O18-C16)&amp;" rep")</f>
        <v xml:space="preserve"> </v>
      </c>
      <c r="C19" s="97" t="s">
        <v>37</v>
      </c>
      <c r="D19" s="98" t="s">
        <v>5</v>
      </c>
      <c r="E19" s="5" t="s">
        <v>3</v>
      </c>
      <c r="F19" s="18">
        <f>MROUND(F18*E18,D20)</f>
        <v>130</v>
      </c>
      <c r="G19" s="18">
        <f t="shared" si="5"/>
        <v>130</v>
      </c>
      <c r="H19" s="18">
        <f t="shared" si="5"/>
        <v>130</v>
      </c>
      <c r="I19" s="18">
        <f t="shared" si="5"/>
        <v>130</v>
      </c>
      <c r="J19" s="19">
        <f>I19</f>
        <v>130</v>
      </c>
      <c r="K19" s="74" t="s">
        <v>10</v>
      </c>
      <c r="L19" s="86" t="s">
        <v>28</v>
      </c>
      <c r="M19" s="87">
        <f>K20</f>
        <v>24</v>
      </c>
      <c r="N19" s="93" t="s">
        <v>34</v>
      </c>
      <c r="O19" s="93" t="s">
        <v>35</v>
      </c>
    </row>
    <row r="20" spans="1:15" ht="18" customHeight="1" thickTop="1" thickBot="1" x14ac:dyDescent="0.3">
      <c r="A20" s="195"/>
      <c r="B20" s="144">
        <v>1</v>
      </c>
      <c r="C20" s="90">
        <f>IF(B18="",C16,IF(C18&lt;=0,C16,C16+B20))</f>
        <v>3</v>
      </c>
      <c r="D20" s="100">
        <f>D16</f>
        <v>2.5</v>
      </c>
      <c r="E20" s="13" t="s">
        <v>7</v>
      </c>
      <c r="F20" s="153"/>
      <c r="G20" s="154">
        <v>6</v>
      </c>
      <c r="H20" s="154">
        <v>6</v>
      </c>
      <c r="I20" s="154">
        <v>6</v>
      </c>
      <c r="J20" s="155">
        <v>6</v>
      </c>
      <c r="K20" s="101">
        <f>SUM(F20:J20)</f>
        <v>24</v>
      </c>
      <c r="L20" s="88" t="s">
        <v>30</v>
      </c>
      <c r="M20" s="89">
        <f>M19+M16</f>
        <v>92</v>
      </c>
      <c r="N20" s="90">
        <f>ROUNDDOWN((M16-C16+C20+K20)*$N$4,0)</f>
        <v>0</v>
      </c>
      <c r="O20" s="90">
        <f>ROUNDDOWN((M16+K20-+C20)*$O$4,0)</f>
        <v>6</v>
      </c>
    </row>
    <row r="21" spans="1:15" ht="18" customHeight="1" thickTop="1" thickBot="1" x14ac:dyDescent="0.3">
      <c r="A21" s="193">
        <f>IF($M24&lt;IF($A$3="하",$S$8,$S$6),0,IF($M24&gt;IF($A$3="하",$S$7,$S$5),"",MAX(A17+1)))</f>
        <v>0</v>
      </c>
      <c r="B21" s="141" t="str">
        <f>IF(O22-C20&lt;$A$1," ","MAX to "&amp;MROUND(IF(IF(O22-C20&gt;$A$1,$A$1,O22-C20)&lt;2,I17,I17*(37-IF(O22-C20&gt;$A$1,$A$1,O22-C20))/36),D24))</f>
        <v xml:space="preserve"> </v>
      </c>
      <c r="C21" s="90" t="str">
        <f>IF(O22&lt;=C20,"X",IF(N22&gt;C20,"must ME","can ME"))</f>
        <v>can ME</v>
      </c>
      <c r="D21" s="75" t="s">
        <v>31</v>
      </c>
      <c r="E21" s="23">
        <v>4</v>
      </c>
      <c r="F21" s="2">
        <v>1</v>
      </c>
      <c r="G21" s="23">
        <f>IF(F22&gt;=90%,2,IF(F22&gt;=80%,4,IF(F22&gt;=70%,6,6)))</f>
        <v>6</v>
      </c>
      <c r="H21" s="3" t="s">
        <v>2</v>
      </c>
      <c r="I21" s="91">
        <f>K22/(100%-IF($A$3="하",$P$8,$P$6)*K24)/K24</f>
        <v>193.90581717451522</v>
      </c>
      <c r="J21" s="92">
        <f>IF("하"=$A$3,$Q$7,$Q$5)</f>
        <v>20</v>
      </c>
      <c r="K21" s="107" t="s">
        <v>33</v>
      </c>
      <c r="L21" s="75" t="s">
        <v>25</v>
      </c>
      <c r="M21" s="76">
        <f>K22</f>
        <v>2800</v>
      </c>
      <c r="N21" s="93" t="s">
        <v>34</v>
      </c>
      <c r="O21" s="93" t="s">
        <v>35</v>
      </c>
    </row>
    <row r="22" spans="1:15" ht="18" customHeight="1" thickTop="1" thickBot="1" x14ac:dyDescent="0.3">
      <c r="A22" s="194"/>
      <c r="B22" s="143"/>
      <c r="C22" s="142" t="str">
        <f>IF(B24="","",IF(B22*36/(37-B24)=0,"",B22*36/(37-B24)))</f>
        <v/>
      </c>
      <c r="D22" s="109" t="str">
        <f>D18</f>
        <v>랙8자CDL</v>
      </c>
      <c r="E22" s="18">
        <f>IF(C22="",I17,C22)</f>
        <v>195.078031212485</v>
      </c>
      <c r="F22" s="94">
        <f>100%-J21*IF($A$3="하",$P$8,$P$6)</f>
        <v>0.72199999999999998</v>
      </c>
      <c r="G22" s="7">
        <f t="shared" ref="G22:I23" si="6">F22</f>
        <v>0.72199999999999998</v>
      </c>
      <c r="H22" s="7">
        <f t="shared" si="6"/>
        <v>0.72199999999999998</v>
      </c>
      <c r="I22" s="7">
        <f t="shared" si="6"/>
        <v>0.72199999999999998</v>
      </c>
      <c r="J22" s="8">
        <f>I22</f>
        <v>0.72199999999999998</v>
      </c>
      <c r="K22" s="95">
        <f>F23*F24+G23*G24+H23*H24+I23*I24+J23*J24</f>
        <v>2800</v>
      </c>
      <c r="L22" s="86" t="s">
        <v>27</v>
      </c>
      <c r="M22" s="81">
        <f>M21+M18</f>
        <v>16690</v>
      </c>
      <c r="N22" s="90">
        <f>ROUNDDOWN(M20*$N$4,0)</f>
        <v>0</v>
      </c>
      <c r="O22" s="90">
        <f>ROUNDDOWN(M20*$O$4,0)</f>
        <v>6</v>
      </c>
    </row>
    <row r="23" spans="1:15" ht="18" customHeight="1" thickTop="1" thickBot="1" x14ac:dyDescent="0.3">
      <c r="A23" s="194"/>
      <c r="B23" s="141" t="str">
        <f>IF(O22-C20&lt;$A$1," ","1~ "&amp;IF(O22-C20&gt;$A$1,$A$1,O22-C20)&amp;" rep")</f>
        <v xml:space="preserve"> </v>
      </c>
      <c r="C23" s="97" t="s">
        <v>37</v>
      </c>
      <c r="D23" s="98" t="s">
        <v>5</v>
      </c>
      <c r="E23" s="5" t="s">
        <v>3</v>
      </c>
      <c r="F23" s="18">
        <f>MROUND(F22*E22,D24)</f>
        <v>140</v>
      </c>
      <c r="G23" s="18">
        <f t="shared" si="6"/>
        <v>140</v>
      </c>
      <c r="H23" s="18">
        <f t="shared" si="6"/>
        <v>140</v>
      </c>
      <c r="I23" s="18">
        <f t="shared" si="6"/>
        <v>140</v>
      </c>
      <c r="J23" s="19">
        <f>I23</f>
        <v>140</v>
      </c>
      <c r="K23" s="74" t="s">
        <v>10</v>
      </c>
      <c r="L23" s="86" t="s">
        <v>28</v>
      </c>
      <c r="M23" s="87">
        <f>K24</f>
        <v>20</v>
      </c>
      <c r="N23" s="93" t="s">
        <v>34</v>
      </c>
      <c r="O23" s="93" t="s">
        <v>35</v>
      </c>
    </row>
    <row r="24" spans="1:15" ht="18" customHeight="1" thickTop="1" thickBot="1" x14ac:dyDescent="0.3">
      <c r="A24" s="195"/>
      <c r="B24" s="144"/>
      <c r="C24" s="90">
        <f>IF(B22="",C20,IF(C22&lt;=0,C20,C20+B24))</f>
        <v>3</v>
      </c>
      <c r="D24" s="100">
        <f>D20</f>
        <v>2.5</v>
      </c>
      <c r="E24" s="13" t="s">
        <v>7</v>
      </c>
      <c r="F24" s="103">
        <f xml:space="preserve"> IF($A$3="하",0,IF(MROUND(J21/5,1)&lt;=G21,IF(MROUND(J21/5,1)&gt;=E21,MROUND(J21/5,1),E21),G21))</f>
        <v>0</v>
      </c>
      <c r="G24" s="104">
        <f>IF(MROUND((J21-F24)/4,1)&lt;=G21,IF(MROUND((J21-F24)/4,1)&gt;=E21,MROUND((J21-F24)/4,1),E21),G21)</f>
        <v>5</v>
      </c>
      <c r="H24" s="104">
        <f>IF(MROUND((J21-F24-G24)/3,1)&lt;=G21,IF(MROUND((J21-F24-G24)/3,1)&gt;=E21,MROUND((J21-F24-G24)/3,1),E21),G21)</f>
        <v>5</v>
      </c>
      <c r="I24" s="104">
        <f>IF(MROUND((J21-F24-G24-H24)/2,1)&lt;=G21,IF((J21-F24-G24-H24)/2&gt;=E21,MROUND((J21-F24-G24-H24)/2,1),J21-F24-G24-H24),G21)</f>
        <v>5</v>
      </c>
      <c r="J24" s="105">
        <f>IF((J21-(F24+G24+H24+I24))&gt;0,(J21-(F24+G24+H24+I24)),0)</f>
        <v>5</v>
      </c>
      <c r="K24" s="101">
        <f>SUM(F24:J24)</f>
        <v>20</v>
      </c>
      <c r="L24" s="88" t="s">
        <v>30</v>
      </c>
      <c r="M24" s="89">
        <f>M23+M20</f>
        <v>112</v>
      </c>
      <c r="N24" s="90">
        <f>ROUNDDOWN((M20-C20+C24+K24)*$N$4,0)</f>
        <v>1</v>
      </c>
      <c r="O24" s="90">
        <f>ROUNDDOWN((M20+K24-+C24)*$O$4,0)</f>
        <v>7</v>
      </c>
    </row>
    <row r="25" spans="1:15" ht="18" customHeight="1" thickTop="1" thickBot="1" x14ac:dyDescent="0.3">
      <c r="A25" s="193">
        <f>IF($M28&lt;IF($A$3="하",$S$8,$S$6),0,IF($M28&gt;IF($A$3="하",$S$7,$S$5),"",MAX(A21+1)))</f>
        <v>1</v>
      </c>
      <c r="B25" s="141" t="str">
        <f>IF(O26-C24&lt;$A$1," ","MAX to "&amp;MROUND(IF(IF(O26-C24&gt;$A$1,$A$1,O26-C24)&lt;2,I21,I21*(37-IF(O26-C24&gt;$A$1,$A$1,O26-C24))/36),D28))</f>
        <v xml:space="preserve"> </v>
      </c>
      <c r="C25" s="90" t="str">
        <f>IF(O26&lt;=C24,"X",IF(N26&gt;C24,"must ME","can ME"))</f>
        <v>can ME</v>
      </c>
      <c r="D25" s="75" t="s">
        <v>31</v>
      </c>
      <c r="E25" s="23">
        <v>4</v>
      </c>
      <c r="F25" s="2">
        <v>1</v>
      </c>
      <c r="G25" s="23">
        <f>IF(F26&gt;=90%,2,IF(F26&gt;=80%,4,IF(F26&gt;=70%,6,6)))</f>
        <v>6</v>
      </c>
      <c r="H25" s="3" t="s">
        <v>2</v>
      </c>
      <c r="I25" s="91">
        <f>K26/(100%-IF($A$3="하",$P$8,$P$6)*K28)/K28</f>
        <v>193.90581717451522</v>
      </c>
      <c r="J25" s="92">
        <f>IF("하"=$A$3,$Q$7,$Q$5)</f>
        <v>20</v>
      </c>
      <c r="K25" s="107" t="s">
        <v>33</v>
      </c>
      <c r="L25" s="75" t="s">
        <v>25</v>
      </c>
      <c r="M25" s="76">
        <f>K26</f>
        <v>2800</v>
      </c>
      <c r="N25" s="93" t="s">
        <v>34</v>
      </c>
      <c r="O25" s="93" t="s">
        <v>35</v>
      </c>
    </row>
    <row r="26" spans="1:15" ht="18" customHeight="1" thickTop="1" thickBot="1" x14ac:dyDescent="0.3">
      <c r="A26" s="194"/>
      <c r="B26" s="143"/>
      <c r="C26" s="142" t="str">
        <f>IF(B28="","",IF(B26*36/(37-B28)=0,"",B26*36/(37-B28)))</f>
        <v/>
      </c>
      <c r="D26" s="109" t="str">
        <f>D22</f>
        <v>랙8자CDL</v>
      </c>
      <c r="E26" s="18">
        <f>IF(C26="",I21,C26)</f>
        <v>193.90581717451522</v>
      </c>
      <c r="F26" s="94">
        <f>100%-J25*IF($A$3="하",$P$8,$P$6)</f>
        <v>0.72199999999999998</v>
      </c>
      <c r="G26" s="7">
        <f t="shared" ref="G26:I27" si="7">F26</f>
        <v>0.72199999999999998</v>
      </c>
      <c r="H26" s="7">
        <f t="shared" si="7"/>
        <v>0.72199999999999998</v>
      </c>
      <c r="I26" s="7">
        <f t="shared" si="7"/>
        <v>0.72199999999999998</v>
      </c>
      <c r="J26" s="8">
        <f>I26</f>
        <v>0.72199999999999998</v>
      </c>
      <c r="K26" s="95">
        <f>F27*F28+G27*G28+H27*H28+I27*I28+J27*J28</f>
        <v>2800</v>
      </c>
      <c r="L26" s="86" t="s">
        <v>27</v>
      </c>
      <c r="M26" s="81">
        <f>M25+M22</f>
        <v>19490</v>
      </c>
      <c r="N26" s="90">
        <f>ROUNDDOWN(M24*$N$4,0)</f>
        <v>1</v>
      </c>
      <c r="O26" s="90">
        <f>ROUNDDOWN(M24*$O$4,0)</f>
        <v>7</v>
      </c>
    </row>
    <row r="27" spans="1:15" ht="18" customHeight="1" thickTop="1" thickBot="1" x14ac:dyDescent="0.3">
      <c r="A27" s="194"/>
      <c r="B27" s="141" t="str">
        <f>IF(O26-C24&lt;$A$1," ","1~ "&amp;IF(O26-C24&gt;$A$1,$A$1,O26-C24)&amp;" rep")</f>
        <v xml:space="preserve"> </v>
      </c>
      <c r="C27" s="97" t="s">
        <v>37</v>
      </c>
      <c r="D27" s="98" t="s">
        <v>5</v>
      </c>
      <c r="E27" s="5" t="s">
        <v>3</v>
      </c>
      <c r="F27" s="18">
        <f>MROUND(F26*E26,D28)</f>
        <v>140</v>
      </c>
      <c r="G27" s="18">
        <f t="shared" si="7"/>
        <v>140</v>
      </c>
      <c r="H27" s="18">
        <f t="shared" si="7"/>
        <v>140</v>
      </c>
      <c r="I27" s="18">
        <f t="shared" si="7"/>
        <v>140</v>
      </c>
      <c r="J27" s="19">
        <f>I27</f>
        <v>140</v>
      </c>
      <c r="K27" s="74" t="s">
        <v>10</v>
      </c>
      <c r="L27" s="86" t="s">
        <v>28</v>
      </c>
      <c r="M27" s="87">
        <f>K28</f>
        <v>20</v>
      </c>
      <c r="N27" s="93" t="s">
        <v>34</v>
      </c>
      <c r="O27" s="93" t="s">
        <v>35</v>
      </c>
    </row>
    <row r="28" spans="1:15" ht="18" customHeight="1" thickTop="1" thickBot="1" x14ac:dyDescent="0.3">
      <c r="A28" s="195"/>
      <c r="B28" s="144"/>
      <c r="C28" s="90">
        <f>IF(B26="",C24,IF(C26&lt;=0,C24,C24+B28))</f>
        <v>3</v>
      </c>
      <c r="D28" s="100">
        <f>D24</f>
        <v>2.5</v>
      </c>
      <c r="E28" s="13" t="s">
        <v>7</v>
      </c>
      <c r="F28" s="103">
        <f xml:space="preserve"> IF($A$3="하",0,IF(MROUND(J25/5,1)&lt;=G25,IF(MROUND(J25/5,1)&gt;=E25,MROUND(J25/5,1),E25),G25))</f>
        <v>0</v>
      </c>
      <c r="G28" s="104">
        <f>IF(MROUND((J25-F28)/4,1)&lt;=G25,IF(MROUND((J25-F28)/4,1)&gt;=E25,MROUND((J25-F28)/4,1),E25),G25)</f>
        <v>5</v>
      </c>
      <c r="H28" s="104">
        <f>IF(MROUND((J25-F28-G28)/3,1)&lt;=G25,IF(MROUND((J25-F28-G28)/3,1)&gt;=E25,MROUND((J25-F28-G28)/3,1),E25),G25)</f>
        <v>5</v>
      </c>
      <c r="I28" s="104">
        <f>IF(MROUND((J25-F28-G28-H28)/2,1)&lt;=G25,IF((J25-F28-G28-H28)/2&gt;=E25,MROUND((J25-F28-G28-H28)/2,1),J25-F28-G28-H28),G25)</f>
        <v>5</v>
      </c>
      <c r="J28" s="105">
        <f>IF((J25-(F28+G28+H28+I28))&gt;0,(J25-(F28+G28+H28+I28)),0)</f>
        <v>5</v>
      </c>
      <c r="K28" s="101">
        <f>SUM(F28:J28)</f>
        <v>20</v>
      </c>
      <c r="L28" s="88" t="s">
        <v>30</v>
      </c>
      <c r="M28" s="89">
        <f>M27+M24</f>
        <v>132</v>
      </c>
      <c r="N28" s="90">
        <f>ROUNDDOWN((M24-C24+C28+K28)*$N$4,0)</f>
        <v>1</v>
      </c>
      <c r="O28" s="90">
        <f>ROUNDDOWN((M24+K28-+C28)*$O$4,0)</f>
        <v>9</v>
      </c>
    </row>
    <row r="29" spans="1:15" ht="18" customHeight="1" thickTop="1" thickBot="1" x14ac:dyDescent="0.3">
      <c r="A29" s="193">
        <f>IF($M32&lt;IF($A$3="하",$S$8,$S$6),0,IF($M32&gt;IF($A$3="하",$S$7,$S$5),"",MAX(A25+1)))</f>
        <v>2</v>
      </c>
      <c r="B29" s="141" t="str">
        <f>IF(O30-C28&lt;$A$1," ","MAX to "&amp;MROUND(IF(IF(O30-C28&gt;$A$1,$A$1,O30-C28)&lt;2,I25,I25*(37-IF(O30-C28&gt;$A$1,$A$1,O30-C28))/36),D32))</f>
        <v>MAX to 172.5</v>
      </c>
      <c r="C29" s="90" t="str">
        <f>IF(O30&lt;=C28,"X",IF(N30&gt;C28,"must ME","can ME"))</f>
        <v>can ME</v>
      </c>
      <c r="D29" s="75" t="s">
        <v>31</v>
      </c>
      <c r="E29" s="23">
        <v>4</v>
      </c>
      <c r="F29" s="2">
        <v>1</v>
      </c>
      <c r="G29" s="23">
        <f>IF(F30&gt;=90%,2,IF(F30&gt;=80%,4,IF(F30&gt;=70%,6,6)))</f>
        <v>6</v>
      </c>
      <c r="H29" s="3" t="s">
        <v>2</v>
      </c>
      <c r="I29" s="91">
        <f>K30/(100%-IF($A$3="하",$P$8,$P$6)*K32)/K32</f>
        <v>193.90581717451522</v>
      </c>
      <c r="J29" s="92">
        <f>IF("하"=$A$3,$Q$7,$Q$5)</f>
        <v>20</v>
      </c>
      <c r="K29" s="107" t="s">
        <v>33</v>
      </c>
      <c r="L29" s="75" t="s">
        <v>25</v>
      </c>
      <c r="M29" s="76">
        <f>K30</f>
        <v>2800</v>
      </c>
      <c r="N29" s="93" t="s">
        <v>34</v>
      </c>
      <c r="O29" s="93" t="s">
        <v>35</v>
      </c>
    </row>
    <row r="30" spans="1:15" ht="18" customHeight="1" thickTop="1" thickBot="1" x14ac:dyDescent="0.3">
      <c r="A30" s="194"/>
      <c r="B30" s="143"/>
      <c r="C30" s="142" t="str">
        <f>IF(B32="","",IF(B30*36/(37-B32)=0,"",B30*36/(37-B32)))</f>
        <v/>
      </c>
      <c r="D30" s="109" t="str">
        <f>D26</f>
        <v>랙8자CDL</v>
      </c>
      <c r="E30" s="18">
        <f>IF(C30="",I25,C30)</f>
        <v>193.90581717451522</v>
      </c>
      <c r="F30" s="94">
        <f>100%-J29*IF($A$3="하",$P$8,$P$6)</f>
        <v>0.72199999999999998</v>
      </c>
      <c r="G30" s="7">
        <f t="shared" ref="G30:I31" si="8">F30</f>
        <v>0.72199999999999998</v>
      </c>
      <c r="H30" s="7">
        <f t="shared" si="8"/>
        <v>0.72199999999999998</v>
      </c>
      <c r="I30" s="7">
        <f t="shared" si="8"/>
        <v>0.72199999999999998</v>
      </c>
      <c r="J30" s="8">
        <f>I30</f>
        <v>0.72199999999999998</v>
      </c>
      <c r="K30" s="95">
        <f>F31*F32+G31*G32+H31*H32+I31*I32+J31*J32</f>
        <v>2800</v>
      </c>
      <c r="L30" s="86" t="s">
        <v>27</v>
      </c>
      <c r="M30" s="81">
        <f>M29+M26</f>
        <v>22290</v>
      </c>
      <c r="N30" s="90">
        <f>ROUNDDOWN(M28*$N$4,0)</f>
        <v>1</v>
      </c>
      <c r="O30" s="90">
        <f>ROUNDDOWN(M28*$O$4,0)</f>
        <v>9</v>
      </c>
    </row>
    <row r="31" spans="1:15" ht="18" customHeight="1" thickTop="1" thickBot="1" x14ac:dyDescent="0.3">
      <c r="A31" s="194"/>
      <c r="B31" s="141" t="str">
        <f>IF(O30-C28&lt;$A$1," ","1~ "&amp;IF(O30-C28&gt;$A$1,$A$1,O30-C28)&amp;" rep")</f>
        <v>1~ 5 rep</v>
      </c>
      <c r="C31" s="97" t="s">
        <v>37</v>
      </c>
      <c r="D31" s="98" t="s">
        <v>5</v>
      </c>
      <c r="E31" s="5" t="s">
        <v>3</v>
      </c>
      <c r="F31" s="18">
        <f>MROUND(F30*E30,D32)</f>
        <v>140</v>
      </c>
      <c r="G31" s="18">
        <f t="shared" si="8"/>
        <v>140</v>
      </c>
      <c r="H31" s="18">
        <f t="shared" si="8"/>
        <v>140</v>
      </c>
      <c r="I31" s="18">
        <f t="shared" si="8"/>
        <v>140</v>
      </c>
      <c r="J31" s="19">
        <f>I31</f>
        <v>140</v>
      </c>
      <c r="K31" s="74" t="s">
        <v>10</v>
      </c>
      <c r="L31" s="86" t="s">
        <v>28</v>
      </c>
      <c r="M31" s="87">
        <f>K32</f>
        <v>20</v>
      </c>
      <c r="N31" s="93" t="s">
        <v>34</v>
      </c>
      <c r="O31" s="93" t="s">
        <v>35</v>
      </c>
    </row>
    <row r="32" spans="1:15" ht="18" customHeight="1" thickTop="1" thickBot="1" x14ac:dyDescent="0.3">
      <c r="A32" s="195"/>
      <c r="B32" s="144"/>
      <c r="C32" s="90">
        <f>IF(B30="",C28,IF(C30&lt;=0,C28,C28+B32))</f>
        <v>3</v>
      </c>
      <c r="D32" s="100">
        <f>D28</f>
        <v>2.5</v>
      </c>
      <c r="E32" s="13" t="s">
        <v>7</v>
      </c>
      <c r="F32" s="103">
        <f xml:space="preserve"> IF($A$3="하",0,IF(MROUND(J29/5,1)&lt;=G29,IF(MROUND(J29/5,1)&gt;=E29,MROUND(J29/5,1),E29),G29))</f>
        <v>0</v>
      </c>
      <c r="G32" s="104">
        <f>IF(MROUND((J29-F32)/4,1)&lt;=G29,IF(MROUND((J29-F32)/4,1)&gt;=E29,MROUND((J29-F32)/4,1),E29),G29)</f>
        <v>5</v>
      </c>
      <c r="H32" s="104">
        <f>IF(MROUND((J29-F32-G32)/3,1)&lt;=G29,IF(MROUND((J29-F32-G32)/3,1)&gt;=E29,MROUND((J29-F32-G32)/3,1),E29),G29)</f>
        <v>5</v>
      </c>
      <c r="I32" s="104">
        <f>IF(MROUND((J29-F32-G32-H32)/2,1)&lt;=G29,IF((J29-F32-G32-H32)/2&gt;=E29,MROUND((J29-F32-G32-H32)/2,1),J29-F32-G32-H32),G29)</f>
        <v>5</v>
      </c>
      <c r="J32" s="105">
        <f>IF((J29-(F32+G32+H32+I32))&gt;0,(J29-(F32+G32+H32+I32)),0)</f>
        <v>5</v>
      </c>
      <c r="K32" s="101">
        <f>SUM(F32:J32)</f>
        <v>20</v>
      </c>
      <c r="L32" s="88" t="s">
        <v>30</v>
      </c>
      <c r="M32" s="89">
        <f>M31+M28</f>
        <v>152</v>
      </c>
      <c r="N32" s="90">
        <f>ROUNDDOWN((M28-C28+C32+K32)*$N$4,0)</f>
        <v>1</v>
      </c>
      <c r="O32" s="90">
        <f>ROUNDDOWN((M28+K32-+C32)*$O$4,0)</f>
        <v>10</v>
      </c>
    </row>
    <row r="33" spans="1:15" ht="18" customHeight="1" thickTop="1" thickBot="1" x14ac:dyDescent="0.3">
      <c r="A33" s="193">
        <f>IF($M36&lt;IF($A$3="하",$S$8,$S$6),0,IF($M36&gt;IF($A$3="하",$S$7,$S$5),"",MAX(A29+1)))</f>
        <v>3</v>
      </c>
      <c r="B33" s="141" t="str">
        <f>IF(O34-C32&lt;$A$1," ","MAX to "&amp;MROUND(IF(IF(O34-C32&gt;$A$1,$A$1,O34-C32)&lt;2,I29,I29*(37-IF(O34-C32&gt;$A$1,$A$1,O34-C32))/36),D36))</f>
        <v>MAX to 172.5</v>
      </c>
      <c r="C33" s="90" t="str">
        <f>IF(O34&lt;=C32,"X",IF(N34&gt;C32,"must ME","can ME"))</f>
        <v>can ME</v>
      </c>
      <c r="D33" s="75" t="s">
        <v>31</v>
      </c>
      <c r="E33" s="23">
        <v>4</v>
      </c>
      <c r="F33" s="2">
        <v>1</v>
      </c>
      <c r="G33" s="23">
        <f>IF(F34&gt;=90%,2,IF(F34&gt;=80%,4,IF(F34&gt;=70%,6,6)))</f>
        <v>6</v>
      </c>
      <c r="H33" s="3" t="s">
        <v>2</v>
      </c>
      <c r="I33" s="91">
        <f>K34/(100%-IF($A$3="하",$P$8,$P$6)*K36)/K36</f>
        <v>193.90581717451522</v>
      </c>
      <c r="J33" s="92">
        <f>IF("하"=$A$3,$Q$7,$Q$5)</f>
        <v>20</v>
      </c>
      <c r="K33" s="107" t="s">
        <v>33</v>
      </c>
      <c r="L33" s="75" t="s">
        <v>25</v>
      </c>
      <c r="M33" s="76">
        <f>K34</f>
        <v>2800</v>
      </c>
      <c r="N33" s="93" t="s">
        <v>34</v>
      </c>
      <c r="O33" s="93" t="s">
        <v>35</v>
      </c>
    </row>
    <row r="34" spans="1:15" ht="18" customHeight="1" thickTop="1" thickBot="1" x14ac:dyDescent="0.3">
      <c r="A34" s="194"/>
      <c r="B34" s="143"/>
      <c r="C34" s="142" t="str">
        <f>IF(B36="","",IF(B34*36/(37-B36)=0,"",B34*36/(37-B36)))</f>
        <v/>
      </c>
      <c r="D34" s="109" t="str">
        <f>D30</f>
        <v>랙8자CDL</v>
      </c>
      <c r="E34" s="18">
        <f>IF(C34="",I29,C34)</f>
        <v>193.90581717451522</v>
      </c>
      <c r="F34" s="94">
        <f>100%-J33*IF($A$3="하",$P$8,$P$6)</f>
        <v>0.72199999999999998</v>
      </c>
      <c r="G34" s="7">
        <f t="shared" ref="G34:I35" si="9">F34</f>
        <v>0.72199999999999998</v>
      </c>
      <c r="H34" s="7">
        <f t="shared" si="9"/>
        <v>0.72199999999999998</v>
      </c>
      <c r="I34" s="7">
        <f t="shared" si="9"/>
        <v>0.72199999999999998</v>
      </c>
      <c r="J34" s="8">
        <f>I34</f>
        <v>0.72199999999999998</v>
      </c>
      <c r="K34" s="95">
        <f>F35*F36+G35*G36+H35*H36+I35*I36+J35*J36</f>
        <v>2800</v>
      </c>
      <c r="L34" s="86" t="s">
        <v>27</v>
      </c>
      <c r="M34" s="81">
        <f>M33+M30</f>
        <v>25090</v>
      </c>
      <c r="N34" s="90">
        <f>ROUNDDOWN(M32*$N$4,0)</f>
        <v>1</v>
      </c>
      <c r="O34" s="90">
        <f>ROUNDDOWN(M32*$O$4,0)</f>
        <v>10</v>
      </c>
    </row>
    <row r="35" spans="1:15" ht="18" customHeight="1" thickTop="1" thickBot="1" x14ac:dyDescent="0.3">
      <c r="A35" s="194"/>
      <c r="B35" s="141" t="str">
        <f>IF(O34-C32&lt;$A$1," ","1~ "&amp;IF(O34-C32&gt;$A$1,$A$1,O34-C32)&amp;" rep")</f>
        <v>1~ 5 rep</v>
      </c>
      <c r="C35" s="97" t="s">
        <v>37</v>
      </c>
      <c r="D35" s="98" t="s">
        <v>5</v>
      </c>
      <c r="E35" s="5" t="s">
        <v>3</v>
      </c>
      <c r="F35" s="18">
        <f>MROUND(F34*E34,D36)</f>
        <v>140</v>
      </c>
      <c r="G35" s="18">
        <f t="shared" si="9"/>
        <v>140</v>
      </c>
      <c r="H35" s="18">
        <f t="shared" si="9"/>
        <v>140</v>
      </c>
      <c r="I35" s="18">
        <f t="shared" si="9"/>
        <v>140</v>
      </c>
      <c r="J35" s="19">
        <f>I35</f>
        <v>140</v>
      </c>
      <c r="K35" s="74" t="s">
        <v>10</v>
      </c>
      <c r="L35" s="86" t="s">
        <v>28</v>
      </c>
      <c r="M35" s="87">
        <f>K36</f>
        <v>20</v>
      </c>
      <c r="N35" s="93" t="s">
        <v>34</v>
      </c>
      <c r="O35" s="93" t="s">
        <v>35</v>
      </c>
    </row>
    <row r="36" spans="1:15" ht="18" customHeight="1" thickTop="1" thickBot="1" x14ac:dyDescent="0.3">
      <c r="A36" s="195"/>
      <c r="B36" s="144"/>
      <c r="C36" s="90">
        <f>IF(B34="",C32,IF(C34&lt;=0,C32,C32+B36))</f>
        <v>3</v>
      </c>
      <c r="D36" s="100">
        <f>D32</f>
        <v>2.5</v>
      </c>
      <c r="E36" s="13" t="s">
        <v>7</v>
      </c>
      <c r="F36" s="103">
        <f xml:space="preserve"> IF($A$3="하",0,IF(MROUND(J33/5,1)&lt;=G33,IF(MROUND(J33/5,1)&gt;=E33,MROUND(J33/5,1),E33),G33))</f>
        <v>0</v>
      </c>
      <c r="G36" s="104">
        <f>IF(MROUND((J33-F36)/4,1)&lt;=G33,IF(MROUND((J33-F36)/4,1)&gt;=E33,MROUND((J33-F36)/4,1),E33),G33)</f>
        <v>5</v>
      </c>
      <c r="H36" s="104">
        <f>IF(MROUND((J33-F36-G36)/3,1)&lt;=G33,IF(MROUND((J33-F36-G36)/3,1)&gt;=E33,MROUND((J33-F36-G36)/3,1),E33),G33)</f>
        <v>5</v>
      </c>
      <c r="I36" s="104">
        <f>IF(MROUND((J33-F36-G36-H36)/2,1)&lt;=G33,IF((J33-F36-G36-H36)/2&gt;=E33,MROUND((J33-F36-G36-H36)/2,1),J33-F36-G36-H36),G33)</f>
        <v>5</v>
      </c>
      <c r="J36" s="105">
        <f>IF((J33-(F36+G36+H36+I36))&gt;0,(J33-(F36+G36+H36+I36)),0)</f>
        <v>5</v>
      </c>
      <c r="K36" s="101">
        <f>SUM(F36:J36)</f>
        <v>20</v>
      </c>
      <c r="L36" s="88" t="s">
        <v>30</v>
      </c>
      <c r="M36" s="89">
        <f>M35+M32</f>
        <v>172</v>
      </c>
      <c r="N36" s="90">
        <f>ROUNDDOWN((M32-C32+C36+K36)*$N$4,0)</f>
        <v>1</v>
      </c>
      <c r="O36" s="90">
        <f>ROUNDDOWN((M32+K36-+C36)*$O$4,0)</f>
        <v>11</v>
      </c>
    </row>
    <row r="37" spans="1:15" ht="18" customHeight="1" thickTop="1" thickBot="1" x14ac:dyDescent="0.3">
      <c r="A37" s="193" t="str">
        <f t="shared" ref="A37" si="10">IF($M40&lt;IF($A$3="하",$S$8,$S$6),0,IF($M40&gt;IF($A$3="하",$S$7,$S$5),"",MAX(A33+1)))</f>
        <v/>
      </c>
      <c r="B37" s="141" t="str">
        <f>IF(O38-C36&lt;$A$1," ","MAX to "&amp;MROUND(IF(IF(O38-C36&gt;$A$1,$A$1,O38-C36)&lt;2,I33,I33*(37-IF(O38-C36&gt;$A$1,$A$1,O38-C36))/36),D40))</f>
        <v>MAX to 172.5</v>
      </c>
      <c r="C37" s="90" t="str">
        <f>IF(O38&lt;=C36,"X",IF(N38&gt;C36,"must ME","can ME"))</f>
        <v>can ME</v>
      </c>
      <c r="D37" s="75" t="s">
        <v>31</v>
      </c>
      <c r="E37" s="23">
        <v>4</v>
      </c>
      <c r="F37" s="2">
        <v>1</v>
      </c>
      <c r="G37" s="23">
        <f>IF(F38&gt;=90%,2,IF(F38&gt;=80%,4,IF(F38&gt;=70%,6,6)))</f>
        <v>6</v>
      </c>
      <c r="H37" s="3" t="s">
        <v>2</v>
      </c>
      <c r="I37" s="91">
        <f>K38/(100%-IF($A$3="하",$P$8,$P$6)*K40)/K40</f>
        <v>193.90581717451522</v>
      </c>
      <c r="J37" s="92">
        <f>IF("하"=$A$3,$Q$7,$Q$5)</f>
        <v>20</v>
      </c>
      <c r="K37" s="107" t="s">
        <v>33</v>
      </c>
      <c r="L37" s="75" t="s">
        <v>25</v>
      </c>
      <c r="M37" s="76">
        <f>K38</f>
        <v>2800</v>
      </c>
      <c r="N37" s="93" t="s">
        <v>34</v>
      </c>
      <c r="O37" s="93" t="s">
        <v>35</v>
      </c>
    </row>
    <row r="38" spans="1:15" ht="18" customHeight="1" thickTop="1" thickBot="1" x14ac:dyDescent="0.3">
      <c r="A38" s="194"/>
      <c r="B38" s="143"/>
      <c r="C38" s="142" t="str">
        <f>IF(B40="","",IF(B38*36/(37-B40)=0,"",B38*36/(37-B40)))</f>
        <v/>
      </c>
      <c r="D38" s="109" t="str">
        <f>D34</f>
        <v>랙8자CDL</v>
      </c>
      <c r="E38" s="18">
        <f>IF(C38="",I33,C38)</f>
        <v>193.90581717451522</v>
      </c>
      <c r="F38" s="94">
        <f>100%-J37*IF($A$3="하",$P$8,$P$6)</f>
        <v>0.72199999999999998</v>
      </c>
      <c r="G38" s="7">
        <f t="shared" ref="G38:I39" si="11">F38</f>
        <v>0.72199999999999998</v>
      </c>
      <c r="H38" s="7">
        <f t="shared" si="11"/>
        <v>0.72199999999999998</v>
      </c>
      <c r="I38" s="7">
        <f t="shared" si="11"/>
        <v>0.72199999999999998</v>
      </c>
      <c r="J38" s="8">
        <f>I38</f>
        <v>0.72199999999999998</v>
      </c>
      <c r="K38" s="95">
        <f>F39*F40+G39*G40+H39*H40+I39*I40+J39*J40</f>
        <v>2800</v>
      </c>
      <c r="L38" s="86" t="s">
        <v>27</v>
      </c>
      <c r="M38" s="81">
        <f>M37+M34</f>
        <v>27890</v>
      </c>
      <c r="N38" s="90">
        <f>ROUNDDOWN(M36*$N$4,0)</f>
        <v>1</v>
      </c>
      <c r="O38" s="90">
        <f>ROUNDDOWN(M36*$O$4,0)</f>
        <v>12</v>
      </c>
    </row>
    <row r="39" spans="1:15" ht="18" customHeight="1" thickTop="1" thickBot="1" x14ac:dyDescent="0.3">
      <c r="A39" s="194"/>
      <c r="B39" s="141" t="str">
        <f>IF(O38-C36&lt;$A$1," ","1~ "&amp;IF(O38-C36&gt;$A$1,$A$1,O38-C36)&amp;" rep")</f>
        <v>1~ 5 rep</v>
      </c>
      <c r="C39" s="97" t="s">
        <v>37</v>
      </c>
      <c r="D39" s="98" t="s">
        <v>5</v>
      </c>
      <c r="E39" s="5" t="s">
        <v>3</v>
      </c>
      <c r="F39" s="18">
        <f>MROUND(F38*E38,D40)</f>
        <v>140</v>
      </c>
      <c r="G39" s="18">
        <f t="shared" si="11"/>
        <v>140</v>
      </c>
      <c r="H39" s="18">
        <f t="shared" si="11"/>
        <v>140</v>
      </c>
      <c r="I39" s="18">
        <f t="shared" si="11"/>
        <v>140</v>
      </c>
      <c r="J39" s="19">
        <f>I39</f>
        <v>140</v>
      </c>
      <c r="K39" s="74" t="s">
        <v>10</v>
      </c>
      <c r="L39" s="86" t="s">
        <v>28</v>
      </c>
      <c r="M39" s="87">
        <f>K40</f>
        <v>20</v>
      </c>
      <c r="N39" s="93" t="s">
        <v>34</v>
      </c>
      <c r="O39" s="93" t="s">
        <v>35</v>
      </c>
    </row>
    <row r="40" spans="1:15" ht="18" customHeight="1" thickTop="1" thickBot="1" x14ac:dyDescent="0.3">
      <c r="A40" s="195"/>
      <c r="B40" s="144"/>
      <c r="C40" s="90">
        <f>IF(B38="",C36,IF(C38&lt;=0,C36,C36+B40))</f>
        <v>3</v>
      </c>
      <c r="D40" s="100">
        <f>D36</f>
        <v>2.5</v>
      </c>
      <c r="E40" s="13" t="s">
        <v>7</v>
      </c>
      <c r="F40" s="103">
        <f xml:space="preserve"> IF($A$3="하",0,IF(MROUND(J37/5,1)&lt;=G37,IF(MROUND(J37/5,1)&gt;=E37,MROUND(J37/5,1),E37),G37))</f>
        <v>0</v>
      </c>
      <c r="G40" s="104">
        <f>IF(MROUND((J37-F40)/4,1)&lt;=G37,IF(MROUND((J37-F40)/4,1)&gt;=E37,MROUND((J37-F40)/4,1),E37),G37)</f>
        <v>5</v>
      </c>
      <c r="H40" s="104">
        <f>IF(MROUND((J37-F40-G40)/3,1)&lt;=G37,IF(MROUND((J37-F40-G40)/3,1)&gt;=E37,MROUND((J37-F40-G40)/3,1),E37),G37)</f>
        <v>5</v>
      </c>
      <c r="I40" s="104">
        <f>IF(MROUND((J37-F40-G40-H40)/2,1)&lt;=G37,IF((J37-F40-G40-H40)/2&gt;=E37,MROUND((J37-F40-G40-H40)/2,1),J37-F40-G40-H40),G37)</f>
        <v>5</v>
      </c>
      <c r="J40" s="105">
        <f>IF((J37-(F40+G40+H40+I40))&gt;0,(J37-(F40+G40+H40+I40)),0)</f>
        <v>5</v>
      </c>
      <c r="K40" s="101">
        <f>SUM(F40:J40)</f>
        <v>20</v>
      </c>
      <c r="L40" s="88" t="s">
        <v>30</v>
      </c>
      <c r="M40" s="89">
        <f>M39+M36</f>
        <v>192</v>
      </c>
      <c r="N40" s="90">
        <f>ROUNDDOWN((M36-C36+C40+K40)*$N$4,0)</f>
        <v>1</v>
      </c>
      <c r="O40" s="90">
        <f>ROUNDDOWN((M36+K40-+C40)*$O$4,0)</f>
        <v>13</v>
      </c>
    </row>
    <row r="41" spans="1:15" ht="18" customHeight="1" thickTop="1" thickBot="1" x14ac:dyDescent="0.3">
      <c r="A41" s="193" t="str">
        <f t="shared" ref="A41" si="12">IF($M44&lt;IF($A$3="하",$S$8,$S$6),0,IF($M44&gt;IF($A$3="하",$S$7,$S$5),"",MAX(A37+1)))</f>
        <v/>
      </c>
      <c r="B41" s="141" t="str">
        <f>IF(O42-C40&lt;$A$1," ","MAX to "&amp;MROUND(IF(IF(O42-C40&gt;$A$1,$A$1,O42-C40)&lt;2,I37,I37*(37-IF(O42-C40&gt;$A$1,$A$1,O42-C40))/36),D44))</f>
        <v>MAX to 172.5</v>
      </c>
      <c r="C41" s="90" t="str">
        <f>IF(O42&lt;=C40,"X",IF(N42&gt;C40,"must ME","can ME"))</f>
        <v>can ME</v>
      </c>
      <c r="D41" s="75" t="s">
        <v>31</v>
      </c>
      <c r="E41" s="23">
        <v>4</v>
      </c>
      <c r="F41" s="2">
        <v>1</v>
      </c>
      <c r="G41" s="23">
        <f>IF(F42&gt;=90%,2,IF(F42&gt;=80%,4,IF(F42&gt;=70%,6,6)))</f>
        <v>6</v>
      </c>
      <c r="H41" s="3" t="s">
        <v>2</v>
      </c>
      <c r="I41" s="91">
        <f>K42/(100%-IF($A$3="하",$P$8,$P$6)*K44)/K44</f>
        <v>193.90581717451522</v>
      </c>
      <c r="J41" s="92">
        <f>IF("하"=$A$3,$Q$7,$Q$5)</f>
        <v>20</v>
      </c>
      <c r="K41" s="107" t="s">
        <v>33</v>
      </c>
      <c r="L41" s="75" t="s">
        <v>25</v>
      </c>
      <c r="M41" s="76">
        <f>K42</f>
        <v>2800</v>
      </c>
      <c r="N41" s="93" t="s">
        <v>34</v>
      </c>
      <c r="O41" s="93" t="s">
        <v>35</v>
      </c>
    </row>
    <row r="42" spans="1:15" ht="18" customHeight="1" thickTop="1" thickBot="1" x14ac:dyDescent="0.3">
      <c r="A42" s="194"/>
      <c r="B42" s="143"/>
      <c r="C42" s="142" t="str">
        <f>IF(B44="","",IF(B42*36/(37-B44)=0,"",B42*36/(37-B44)))</f>
        <v/>
      </c>
      <c r="D42" s="109" t="str">
        <f>D38</f>
        <v>랙8자CDL</v>
      </c>
      <c r="E42" s="18">
        <f>IF(C42="",I37,C42)</f>
        <v>193.90581717451522</v>
      </c>
      <c r="F42" s="94">
        <f>100%-J41*IF($A$3="하",$P$8,$P$6)</f>
        <v>0.72199999999999998</v>
      </c>
      <c r="G42" s="7">
        <f t="shared" ref="G42:I43" si="13">F42</f>
        <v>0.72199999999999998</v>
      </c>
      <c r="H42" s="7">
        <f t="shared" si="13"/>
        <v>0.72199999999999998</v>
      </c>
      <c r="I42" s="7">
        <f t="shared" si="13"/>
        <v>0.72199999999999998</v>
      </c>
      <c r="J42" s="8">
        <f>I42</f>
        <v>0.72199999999999998</v>
      </c>
      <c r="K42" s="95">
        <f>F43*F44+G43*G44+H43*H44+I43*I44+J43*J44</f>
        <v>2800</v>
      </c>
      <c r="L42" s="86" t="s">
        <v>27</v>
      </c>
      <c r="M42" s="81">
        <f>M41+M38</f>
        <v>30690</v>
      </c>
      <c r="N42" s="90">
        <f>ROUNDDOWN(M40*$N$4,0)</f>
        <v>1</v>
      </c>
      <c r="O42" s="90">
        <f>ROUNDDOWN(M40*$O$4,0)</f>
        <v>13</v>
      </c>
    </row>
    <row r="43" spans="1:15" ht="18" customHeight="1" thickTop="1" thickBot="1" x14ac:dyDescent="0.3">
      <c r="A43" s="194"/>
      <c r="B43" s="141" t="str">
        <f>IF(O42-C40&lt;$A$1," ","1~ "&amp;IF(O42-C40&gt;$A$1,$A$1,O42-C40)&amp;" rep")</f>
        <v>1~ 5 rep</v>
      </c>
      <c r="C43" s="97" t="s">
        <v>37</v>
      </c>
      <c r="D43" s="98" t="s">
        <v>5</v>
      </c>
      <c r="E43" s="5" t="s">
        <v>3</v>
      </c>
      <c r="F43" s="18">
        <f>MROUND(F42*E42,D44)</f>
        <v>140</v>
      </c>
      <c r="G43" s="18">
        <f t="shared" si="13"/>
        <v>140</v>
      </c>
      <c r="H43" s="18">
        <f t="shared" si="13"/>
        <v>140</v>
      </c>
      <c r="I43" s="18">
        <f t="shared" si="13"/>
        <v>140</v>
      </c>
      <c r="J43" s="19">
        <f>I43</f>
        <v>140</v>
      </c>
      <c r="K43" s="74" t="s">
        <v>10</v>
      </c>
      <c r="L43" s="86" t="s">
        <v>28</v>
      </c>
      <c r="M43" s="87">
        <f>K44</f>
        <v>20</v>
      </c>
      <c r="N43" s="93" t="s">
        <v>34</v>
      </c>
      <c r="O43" s="93" t="s">
        <v>35</v>
      </c>
    </row>
    <row r="44" spans="1:15" ht="18" customHeight="1" thickTop="1" thickBot="1" x14ac:dyDescent="0.3">
      <c r="A44" s="195"/>
      <c r="B44" s="144"/>
      <c r="C44" s="90">
        <f>IF(B42="",C40,IF(C42&lt;=0,C40,C40+B44))</f>
        <v>3</v>
      </c>
      <c r="D44" s="100">
        <f>D40</f>
        <v>2.5</v>
      </c>
      <c r="E44" s="13" t="s">
        <v>7</v>
      </c>
      <c r="F44" s="103">
        <f xml:space="preserve"> IF($A$3="하",0,IF(MROUND(J41/5,1)&lt;=G41,IF(MROUND(J41/5,1)&gt;=E41,MROUND(J41/5,1),E41),G41))</f>
        <v>0</v>
      </c>
      <c r="G44" s="104">
        <f>IF(MROUND((J41-F44)/4,1)&lt;=G41,IF(MROUND((J41-F44)/4,1)&gt;=E41,MROUND((J41-F44)/4,1),E41),G41)</f>
        <v>5</v>
      </c>
      <c r="H44" s="104">
        <f>IF(MROUND((J41-F44-G44)/3,1)&lt;=G41,IF(MROUND((J41-F44-G44)/3,1)&gt;=E41,MROUND((J41-F44-G44)/3,1),E41),G41)</f>
        <v>5</v>
      </c>
      <c r="I44" s="104">
        <f>IF(MROUND((J41-F44-G44-H44)/2,1)&lt;=G41,IF((J41-F44-G44-H44)/2&gt;=E41,MROUND((J41-F44-G44-H44)/2,1),J41-F44-G44-H44),G41)</f>
        <v>5</v>
      </c>
      <c r="J44" s="105">
        <f>IF((J41-(F44+G44+H44+I44))&gt;0,(J41-(F44+G44+H44+I44)),0)</f>
        <v>5</v>
      </c>
      <c r="K44" s="101">
        <f>SUM(F44:J44)</f>
        <v>20</v>
      </c>
      <c r="L44" s="88" t="s">
        <v>30</v>
      </c>
      <c r="M44" s="89">
        <f>M43+M40</f>
        <v>212</v>
      </c>
      <c r="N44" s="90">
        <f>ROUNDDOWN((M40-C40+C44+K44)*$N$4,0)</f>
        <v>2</v>
      </c>
      <c r="O44" s="90">
        <f>ROUNDDOWN((M40+K44-+C44)*$O$4,0)</f>
        <v>14</v>
      </c>
    </row>
    <row r="45" spans="1:15" ht="18" customHeight="1" thickTop="1" thickBot="1" x14ac:dyDescent="0.3">
      <c r="A45" s="193" t="str">
        <f t="shared" ref="A45" si="14">IF($M48&lt;IF($A$3="하",$S$8,$S$6),0,IF($M48&gt;IF($A$3="하",$S$7,$S$5),"",MAX(A41+1)))</f>
        <v/>
      </c>
      <c r="B45" s="141" t="str">
        <f>IF(O46-C44&lt;$A$1," ","MAX to "&amp;MROUND(IF(IF(O46-C44&gt;$A$1,$A$1,O46-C44)&lt;2,I41,I41*(37-IF(O46-C44&gt;$A$1,$A$1,O46-C44))/36),D48))</f>
        <v>MAX to 172.5</v>
      </c>
      <c r="C45" s="90" t="str">
        <f>IF(O46&lt;=C44,"X",IF(N46&gt;C44,"must ME","can ME"))</f>
        <v>can ME</v>
      </c>
      <c r="D45" s="75" t="s">
        <v>31</v>
      </c>
      <c r="E45" s="23">
        <v>4</v>
      </c>
      <c r="F45" s="2">
        <v>1</v>
      </c>
      <c r="G45" s="23">
        <f>IF(F46&gt;=90%,2,IF(F46&gt;=80%,4,IF(F46&gt;=70%,6,6)))</f>
        <v>6</v>
      </c>
      <c r="H45" s="3" t="s">
        <v>2</v>
      </c>
      <c r="I45" s="91">
        <f>K46/(100%-IF($A$3="하",$P$8,$P$6)*K48)/K48</f>
        <v>193.90581717451522</v>
      </c>
      <c r="J45" s="92">
        <f>IF("하"=$A$3,$Q$7,$Q$5)</f>
        <v>20</v>
      </c>
      <c r="K45" s="107" t="s">
        <v>33</v>
      </c>
      <c r="L45" s="75" t="s">
        <v>25</v>
      </c>
      <c r="M45" s="76">
        <f>K46</f>
        <v>2800</v>
      </c>
      <c r="N45" s="93" t="s">
        <v>34</v>
      </c>
      <c r="O45" s="93" t="s">
        <v>35</v>
      </c>
    </row>
    <row r="46" spans="1:15" ht="18" customHeight="1" thickTop="1" thickBot="1" x14ac:dyDescent="0.3">
      <c r="A46" s="194"/>
      <c r="B46" s="143"/>
      <c r="C46" s="142" t="str">
        <f>IF(B48="","",IF(B46*36/(37-B48)=0,"",B46*36/(37-B48)))</f>
        <v/>
      </c>
      <c r="D46" s="109" t="str">
        <f>D42</f>
        <v>랙8자CDL</v>
      </c>
      <c r="E46" s="18">
        <f>IF(C46="",I41,C46)</f>
        <v>193.90581717451522</v>
      </c>
      <c r="F46" s="94">
        <f>100%-J45*IF($A$3="하",$P$8,$P$6)</f>
        <v>0.72199999999999998</v>
      </c>
      <c r="G46" s="7">
        <f t="shared" ref="G46:I47" si="15">F46</f>
        <v>0.72199999999999998</v>
      </c>
      <c r="H46" s="7">
        <f t="shared" si="15"/>
        <v>0.72199999999999998</v>
      </c>
      <c r="I46" s="7">
        <f t="shared" si="15"/>
        <v>0.72199999999999998</v>
      </c>
      <c r="J46" s="8">
        <f>I46</f>
        <v>0.72199999999999998</v>
      </c>
      <c r="K46" s="95">
        <f>F47*F48+G47*G48+H47*H48+I47*I48+J47*J48</f>
        <v>2800</v>
      </c>
      <c r="L46" s="86" t="s">
        <v>27</v>
      </c>
      <c r="M46" s="81">
        <f>M45+M42</f>
        <v>33490</v>
      </c>
      <c r="N46" s="90">
        <f>ROUNDDOWN(M44*$N$4,0)</f>
        <v>2</v>
      </c>
      <c r="O46" s="90">
        <f>ROUNDDOWN(M44*$O$4,0)</f>
        <v>14</v>
      </c>
    </row>
    <row r="47" spans="1:15" ht="18" customHeight="1" thickTop="1" thickBot="1" x14ac:dyDescent="0.3">
      <c r="A47" s="194"/>
      <c r="B47" s="141" t="str">
        <f>IF(O46-C44&lt;$A$1," ","1~ "&amp;IF(O46-C44&gt;$A$1,$A$1,O46-C44)&amp;" rep")</f>
        <v>1~ 5 rep</v>
      </c>
      <c r="C47" s="97" t="s">
        <v>37</v>
      </c>
      <c r="D47" s="98" t="s">
        <v>5</v>
      </c>
      <c r="E47" s="5" t="s">
        <v>3</v>
      </c>
      <c r="F47" s="18">
        <f>MROUND(F46*E46,D48)</f>
        <v>140</v>
      </c>
      <c r="G47" s="18">
        <f t="shared" si="15"/>
        <v>140</v>
      </c>
      <c r="H47" s="18">
        <f t="shared" si="15"/>
        <v>140</v>
      </c>
      <c r="I47" s="18">
        <f t="shared" si="15"/>
        <v>140</v>
      </c>
      <c r="J47" s="19">
        <f>I47</f>
        <v>140</v>
      </c>
      <c r="K47" s="74" t="s">
        <v>10</v>
      </c>
      <c r="L47" s="86" t="s">
        <v>28</v>
      </c>
      <c r="M47" s="87">
        <f>K48</f>
        <v>20</v>
      </c>
      <c r="N47" s="93" t="s">
        <v>34</v>
      </c>
      <c r="O47" s="93" t="s">
        <v>35</v>
      </c>
    </row>
    <row r="48" spans="1:15" ht="18" customHeight="1" thickTop="1" thickBot="1" x14ac:dyDescent="0.3">
      <c r="A48" s="195"/>
      <c r="B48" s="144"/>
      <c r="C48" s="90">
        <f>IF(B46="",C44,IF(C46&lt;=0,C44,C44+B48))</f>
        <v>3</v>
      </c>
      <c r="D48" s="100">
        <f>D44</f>
        <v>2.5</v>
      </c>
      <c r="E48" s="13" t="s">
        <v>7</v>
      </c>
      <c r="F48" s="103">
        <f xml:space="preserve"> IF($A$3="하",0,IF(MROUND(J45/5,1)&lt;=G45,IF(MROUND(J45/5,1)&gt;=E45,MROUND(J45/5,1),E45),G45))</f>
        <v>0</v>
      </c>
      <c r="G48" s="104">
        <f>IF(MROUND((J45-F48)/4,1)&lt;=G45,IF(MROUND((J45-F48)/4,1)&gt;=E45,MROUND((J45-F48)/4,1),E45),G45)</f>
        <v>5</v>
      </c>
      <c r="H48" s="104">
        <f>IF(MROUND((J45-F48-G48)/3,1)&lt;=G45,IF(MROUND((J45-F48-G48)/3,1)&gt;=E45,MROUND((J45-F48-G48)/3,1),E45),G45)</f>
        <v>5</v>
      </c>
      <c r="I48" s="104">
        <f>IF(MROUND((J45-F48-G48-H48)/2,1)&lt;=G45,IF((J45-F48-G48-H48)/2&gt;=E45,MROUND((J45-F48-G48-H48)/2,1),J45-F48-G48-H48),G45)</f>
        <v>5</v>
      </c>
      <c r="J48" s="105">
        <f>IF((J45-(F48+G48+H48+I48))&gt;0,(J45-(F48+G48+H48+I48)),0)</f>
        <v>5</v>
      </c>
      <c r="K48" s="101">
        <f>SUM(F48:J48)</f>
        <v>20</v>
      </c>
      <c r="L48" s="88" t="s">
        <v>30</v>
      </c>
      <c r="M48" s="89">
        <f>M47+M44</f>
        <v>232</v>
      </c>
      <c r="N48" s="90">
        <f>ROUNDDOWN((M44-C44+C48+K48)*$N$4,0)</f>
        <v>2</v>
      </c>
      <c r="O48" s="90">
        <f>ROUNDDOWN((M44+K48-+C48)*$O$4,0)</f>
        <v>16</v>
      </c>
    </row>
    <row r="49" spans="1:15" ht="18" customHeight="1" thickTop="1" thickBot="1" x14ac:dyDescent="0.3">
      <c r="A49" s="193" t="str">
        <f>IF($M52&lt;IF($A$3="하",$S$8,$S$6),0,IF($M52&gt;IF($A$3="하",$S$7,$S$5),"",MAX(A45+1)))</f>
        <v/>
      </c>
      <c r="B49" s="141" t="str">
        <f>IF(O50-C48&lt;$A$1," ","MAX to "&amp;MROUND(IF(IF(O50-C48&gt;$A$1,$A$1,O50-C48)&lt;2,I45,I45*(37-IF(O50-C48&gt;$A$1,$A$1,O50-C48))/36),D52))</f>
        <v>MAX to 172.5</v>
      </c>
      <c r="C49" s="90" t="str">
        <f>IF(O50&lt;=C48,"X",IF(N50&gt;C48,"must ME","can ME"))</f>
        <v>can ME</v>
      </c>
      <c r="D49" s="75" t="s">
        <v>31</v>
      </c>
      <c r="E49" s="23">
        <v>4</v>
      </c>
      <c r="F49" s="2">
        <v>1</v>
      </c>
      <c r="G49" s="23">
        <f>IF(F50&gt;=90%,2,IF(F50&gt;=80%,4,IF(F50&gt;=70%,6,6)))</f>
        <v>6</v>
      </c>
      <c r="H49" s="3" t="s">
        <v>2</v>
      </c>
      <c r="I49" s="91">
        <f>K50/(100%-IF($A$3="하",$P$8,$P$6)*K52)/K52</f>
        <v>193.90581717451522</v>
      </c>
      <c r="J49" s="92">
        <f>IF("하"=$A$3,$Q$7,$Q$5)</f>
        <v>20</v>
      </c>
      <c r="K49" s="107" t="s">
        <v>33</v>
      </c>
      <c r="L49" s="75" t="s">
        <v>25</v>
      </c>
      <c r="M49" s="76">
        <f>K50</f>
        <v>2800</v>
      </c>
      <c r="N49" s="93" t="s">
        <v>34</v>
      </c>
      <c r="O49" s="93" t="s">
        <v>35</v>
      </c>
    </row>
    <row r="50" spans="1:15" ht="18" customHeight="1" thickTop="1" thickBot="1" x14ac:dyDescent="0.3">
      <c r="A50" s="194"/>
      <c r="B50" s="143"/>
      <c r="C50" s="142" t="str">
        <f>IF(B52="","",IF(B50*36/(37-B52)=0,"",B50*36/(37-B52)))</f>
        <v/>
      </c>
      <c r="D50" s="109" t="str">
        <f>D46</f>
        <v>랙8자CDL</v>
      </c>
      <c r="E50" s="18">
        <f>IF(C50="",I45,C50)</f>
        <v>193.90581717451522</v>
      </c>
      <c r="F50" s="94">
        <f>100%-J49*IF($A$3="하",$P$8,$P$6)</f>
        <v>0.72199999999999998</v>
      </c>
      <c r="G50" s="7">
        <f t="shared" ref="G50:I51" si="16">F50</f>
        <v>0.72199999999999998</v>
      </c>
      <c r="H50" s="7">
        <f t="shared" si="16"/>
        <v>0.72199999999999998</v>
      </c>
      <c r="I50" s="7">
        <f t="shared" si="16"/>
        <v>0.72199999999999998</v>
      </c>
      <c r="J50" s="8">
        <f>I50</f>
        <v>0.72199999999999998</v>
      </c>
      <c r="K50" s="95">
        <f>F51*F52+G51*G52+H51*H52+I51*I52+J51*J52</f>
        <v>2800</v>
      </c>
      <c r="L50" s="86" t="s">
        <v>27</v>
      </c>
      <c r="M50" s="81">
        <f>M49+M46</f>
        <v>36290</v>
      </c>
      <c r="N50" s="90">
        <f>ROUNDDOWN(M48*$N$4,0)</f>
        <v>2</v>
      </c>
      <c r="O50" s="90">
        <f>ROUNDDOWN(M48*$O$4,0)</f>
        <v>16</v>
      </c>
    </row>
    <row r="51" spans="1:15" ht="18" customHeight="1" thickTop="1" thickBot="1" x14ac:dyDescent="0.3">
      <c r="A51" s="194"/>
      <c r="B51" s="141" t="str">
        <f>IF(O50-C48&lt;$A$1," ","1~ "&amp;IF(O50-C48&gt;$A$1,$A$1,O50-C48)&amp;" rep")</f>
        <v>1~ 5 rep</v>
      </c>
      <c r="C51" s="97" t="s">
        <v>37</v>
      </c>
      <c r="D51" s="98" t="s">
        <v>5</v>
      </c>
      <c r="E51" s="5" t="s">
        <v>3</v>
      </c>
      <c r="F51" s="18">
        <f>MROUND(F50*E50,D52)</f>
        <v>140</v>
      </c>
      <c r="G51" s="18">
        <f t="shared" si="16"/>
        <v>140</v>
      </c>
      <c r="H51" s="18">
        <f t="shared" si="16"/>
        <v>140</v>
      </c>
      <c r="I51" s="18">
        <f t="shared" si="16"/>
        <v>140</v>
      </c>
      <c r="J51" s="19">
        <f>I51</f>
        <v>140</v>
      </c>
      <c r="K51" s="74" t="s">
        <v>10</v>
      </c>
      <c r="L51" s="86" t="s">
        <v>28</v>
      </c>
      <c r="M51" s="87">
        <f>K52</f>
        <v>20</v>
      </c>
      <c r="N51" s="93" t="s">
        <v>34</v>
      </c>
      <c r="O51" s="93" t="s">
        <v>35</v>
      </c>
    </row>
    <row r="52" spans="1:15" ht="18" customHeight="1" thickTop="1" thickBot="1" x14ac:dyDescent="0.3">
      <c r="A52" s="195"/>
      <c r="B52" s="144"/>
      <c r="C52" s="90">
        <f>IF(B50="",C48,IF(C50&lt;=0,C48,C48+B52))</f>
        <v>3</v>
      </c>
      <c r="D52" s="100">
        <f>D48</f>
        <v>2.5</v>
      </c>
      <c r="E52" s="13" t="s">
        <v>7</v>
      </c>
      <c r="F52" s="103">
        <f xml:space="preserve"> IF($A$3="하",0,IF(MROUND(J49/5,1)&lt;=G49,IF(MROUND(J49/5,1)&gt;=E49,MROUND(J49/5,1),E49),G49))</f>
        <v>0</v>
      </c>
      <c r="G52" s="104">
        <f>IF(MROUND((J49-F52)/4,1)&lt;=G49,IF(MROUND((J49-F52)/4,1)&gt;=E49,MROUND((J49-F52)/4,1),E49),G49)</f>
        <v>5</v>
      </c>
      <c r="H52" s="104">
        <f>IF(MROUND((J49-F52-G52)/3,1)&lt;=G49,IF(MROUND((J49-F52-G52)/3,1)&gt;=E49,MROUND((J49-F52-G52)/3,1),E49),G49)</f>
        <v>5</v>
      </c>
      <c r="I52" s="104">
        <f>IF(MROUND((J49-F52-G52-H52)/2,1)&lt;=G49,IF((J49-F52-G52-H52)/2&gt;=E49,MROUND((J49-F52-G52-H52)/2,1),J49-F52-G52-H52),G49)</f>
        <v>5</v>
      </c>
      <c r="J52" s="105">
        <f>IF((J49-(F52+G52+H52+I52))&gt;0,(J49-(F52+G52+H52+I52)),0)</f>
        <v>5</v>
      </c>
      <c r="K52" s="101">
        <f>SUM(F52:J52)</f>
        <v>20</v>
      </c>
      <c r="L52" s="88" t="s">
        <v>30</v>
      </c>
      <c r="M52" s="89">
        <f>M51+M48</f>
        <v>252</v>
      </c>
      <c r="N52" s="90">
        <f>ROUNDDOWN((M48-C48+C52+K52)*$N$4,0)</f>
        <v>2</v>
      </c>
      <c r="O52" s="90">
        <f>ROUNDDOWN((M48+K52-+C52)*$O$4,0)</f>
        <v>17</v>
      </c>
    </row>
    <row r="53" spans="1:15" ht="18" customHeight="1" thickTop="1" thickBot="1" x14ac:dyDescent="0.3">
      <c r="A53" s="193" t="str">
        <f t="shared" ref="A53" si="17">IF($M56&lt;IF($A$3="하",$S$8,$S$6),0,IF($M56&gt;IF($A$3="하",$S$7,$S$5),"",MAX(A49+1)))</f>
        <v/>
      </c>
      <c r="B53" s="141" t="str">
        <f>IF(O54-C52&lt;$A$1," ","MAX to "&amp;MROUND(IF(IF(O54-C52&gt;$A$1,$A$1,O54-C52)&lt;2,I49,I49*(37-IF(O54-C52&gt;$A$1,$A$1,O54-C52))/36),D56))</f>
        <v>MAX to 172.5</v>
      </c>
      <c r="C53" s="90" t="str">
        <f>IF(O54&lt;=C52,"X",IF(N54&gt;C52,"must ME","can ME"))</f>
        <v>can ME</v>
      </c>
      <c r="D53" s="75" t="s">
        <v>31</v>
      </c>
      <c r="E53" s="23">
        <v>4</v>
      </c>
      <c r="F53" s="2">
        <v>1</v>
      </c>
      <c r="G53" s="23">
        <f>IF(F54&gt;=90%,2,IF(F54&gt;=80%,4,IF(F54&gt;=70%,6,6)))</f>
        <v>6</v>
      </c>
      <c r="H53" s="3" t="s">
        <v>2</v>
      </c>
      <c r="I53" s="91">
        <f>K54/(100%-IF($A$3="하",$P$8,$P$6)*K56)/K56</f>
        <v>193.90581717451522</v>
      </c>
      <c r="J53" s="92">
        <f>IF("하"=$A$3,$Q$7,$Q$5)</f>
        <v>20</v>
      </c>
      <c r="K53" s="107" t="s">
        <v>33</v>
      </c>
      <c r="L53" s="75" t="s">
        <v>25</v>
      </c>
      <c r="M53" s="76">
        <f>K54</f>
        <v>2800</v>
      </c>
      <c r="N53" s="93" t="s">
        <v>34</v>
      </c>
      <c r="O53" s="93" t="s">
        <v>35</v>
      </c>
    </row>
    <row r="54" spans="1:15" ht="18" customHeight="1" thickTop="1" thickBot="1" x14ac:dyDescent="0.3">
      <c r="A54" s="194"/>
      <c r="B54" s="143"/>
      <c r="C54" s="142" t="str">
        <f>IF(B56="","",IF(B54*36/(37-B56)=0,"",B54*36/(37-B56)))</f>
        <v/>
      </c>
      <c r="D54" s="109" t="str">
        <f>D50</f>
        <v>랙8자CDL</v>
      </c>
      <c r="E54" s="18">
        <f>IF(C54="",I49,C54)</f>
        <v>193.90581717451522</v>
      </c>
      <c r="F54" s="94">
        <f>100%-J53*IF($A$3="하",$P$8,$P$6)</f>
        <v>0.72199999999999998</v>
      </c>
      <c r="G54" s="7">
        <f t="shared" ref="G54:I55" si="18">F54</f>
        <v>0.72199999999999998</v>
      </c>
      <c r="H54" s="7">
        <f t="shared" si="18"/>
        <v>0.72199999999999998</v>
      </c>
      <c r="I54" s="7">
        <f t="shared" si="18"/>
        <v>0.72199999999999998</v>
      </c>
      <c r="J54" s="8">
        <f>I54</f>
        <v>0.72199999999999998</v>
      </c>
      <c r="K54" s="95">
        <f>F55*F56+G55*G56+H55*H56+I55*I56+J55*J56</f>
        <v>2800</v>
      </c>
      <c r="L54" s="86" t="s">
        <v>27</v>
      </c>
      <c r="M54" s="81">
        <f>M53+M50</f>
        <v>39090</v>
      </c>
      <c r="N54" s="90">
        <f>ROUNDDOWN(M52*$N$4,0)</f>
        <v>2</v>
      </c>
      <c r="O54" s="90">
        <f>ROUNDDOWN(M52*$O$4,0)</f>
        <v>17</v>
      </c>
    </row>
    <row r="55" spans="1:15" ht="18" customHeight="1" thickTop="1" thickBot="1" x14ac:dyDescent="0.3">
      <c r="A55" s="194"/>
      <c r="B55" s="141" t="str">
        <f>IF(O54-C52&lt;$A$1," ","1~ "&amp;IF(O54-C52&gt;$A$1,$A$1,O54-C52)&amp;" rep")</f>
        <v>1~ 5 rep</v>
      </c>
      <c r="C55" s="97" t="s">
        <v>37</v>
      </c>
      <c r="D55" s="98" t="s">
        <v>5</v>
      </c>
      <c r="E55" s="5" t="s">
        <v>3</v>
      </c>
      <c r="F55" s="18">
        <f>MROUND(F54*E54,D56)</f>
        <v>140</v>
      </c>
      <c r="G55" s="18">
        <f t="shared" si="18"/>
        <v>140</v>
      </c>
      <c r="H55" s="18">
        <f t="shared" si="18"/>
        <v>140</v>
      </c>
      <c r="I55" s="18">
        <f t="shared" si="18"/>
        <v>140</v>
      </c>
      <c r="J55" s="19">
        <f>I55</f>
        <v>140</v>
      </c>
      <c r="K55" s="74" t="s">
        <v>10</v>
      </c>
      <c r="L55" s="86" t="s">
        <v>28</v>
      </c>
      <c r="M55" s="87">
        <f>K56</f>
        <v>20</v>
      </c>
      <c r="N55" s="93" t="s">
        <v>34</v>
      </c>
      <c r="O55" s="93" t="s">
        <v>35</v>
      </c>
    </row>
    <row r="56" spans="1:15" ht="18" customHeight="1" thickTop="1" thickBot="1" x14ac:dyDescent="0.3">
      <c r="A56" s="195"/>
      <c r="B56" s="144"/>
      <c r="C56" s="90">
        <f>IF(B54="",C52,IF(C54&lt;=0,C52,C52+B56))</f>
        <v>3</v>
      </c>
      <c r="D56" s="100">
        <f>D52</f>
        <v>2.5</v>
      </c>
      <c r="E56" s="13" t="s">
        <v>7</v>
      </c>
      <c r="F56" s="103">
        <f xml:space="preserve"> IF($A$3="하",0,IF(MROUND(J53/5,1)&lt;=G53,IF(MROUND(J53/5,1)&gt;=E53,MROUND(J53/5,1),E53),G53))</f>
        <v>0</v>
      </c>
      <c r="G56" s="104">
        <f>IF(MROUND((J53-F56)/4,1)&lt;=G53,IF(MROUND((J53-F56)/4,1)&gt;=E53,MROUND((J53-F56)/4,1),E53),G53)</f>
        <v>5</v>
      </c>
      <c r="H56" s="104">
        <f>IF(MROUND((J53-F56-G56)/3,1)&lt;=G53,IF(MROUND((J53-F56-G56)/3,1)&gt;=E53,MROUND((J53-F56-G56)/3,1),E53),G53)</f>
        <v>5</v>
      </c>
      <c r="I56" s="104">
        <f>IF(MROUND((J53-F56-G56-H56)/2,1)&lt;=G53,IF((J53-F56-G56-H56)/2&gt;=E53,MROUND((J53-F56-G56-H56)/2,1),J53-F56-G56-H56),G53)</f>
        <v>5</v>
      </c>
      <c r="J56" s="105">
        <f>IF((J53-(F56+G56+H56+I56))&gt;0,(J53-(F56+G56+H56+I56)),0)</f>
        <v>5</v>
      </c>
      <c r="K56" s="101">
        <f>SUM(F56:J56)</f>
        <v>20</v>
      </c>
      <c r="L56" s="88" t="s">
        <v>30</v>
      </c>
      <c r="M56" s="89">
        <f>M55+M52</f>
        <v>272</v>
      </c>
      <c r="N56" s="90">
        <f>ROUNDDOWN((M52-C52+C56+K56)*$N$4,0)</f>
        <v>2</v>
      </c>
      <c r="O56" s="90">
        <f>ROUNDDOWN((M52+K56-+C56)*$O$4,0)</f>
        <v>18</v>
      </c>
    </row>
    <row r="57" spans="1:15" ht="18" customHeight="1" thickTop="1" thickBot="1" x14ac:dyDescent="0.3">
      <c r="A57" s="193" t="str">
        <f t="shared" ref="A57" si="19">IF($M60&lt;IF($A$3="하",$S$8,$S$6),0,IF($M60&gt;IF($A$3="하",$S$7,$S$5),"",MAX(A53+1)))</f>
        <v/>
      </c>
      <c r="B57" s="141" t="str">
        <f>IF(O58-C56&lt;$A$1," ","MAX to "&amp;MROUND(IF(IF(O58-C56&gt;$A$1,$A$1,O58-C56)&lt;2,I53,I53*(37-IF(O58-C56&gt;$A$1,$A$1,O58-C56))/36),D60))</f>
        <v>MAX to 172.5</v>
      </c>
      <c r="C57" s="90" t="str">
        <f>IF(O58&lt;=C56,"X",IF(N58&gt;C56,"must ME","can ME"))</f>
        <v>can ME</v>
      </c>
      <c r="D57" s="75" t="s">
        <v>31</v>
      </c>
      <c r="E57" s="23">
        <v>4</v>
      </c>
      <c r="F57" s="2">
        <v>1</v>
      </c>
      <c r="G57" s="23">
        <f>IF(F58&gt;=90%,2,IF(F58&gt;=80%,4,IF(F58&gt;=70%,6,6)))</f>
        <v>6</v>
      </c>
      <c r="H57" s="3" t="s">
        <v>2</v>
      </c>
      <c r="I57" s="91">
        <f>K58/(100%-IF($A$3="하",$P$8,$P$6)*K60)/K60</f>
        <v>193.90581717451522</v>
      </c>
      <c r="J57" s="92">
        <f>IF("하"=$A$3,$Q$7,$Q$5)</f>
        <v>20</v>
      </c>
      <c r="K57" s="107" t="s">
        <v>33</v>
      </c>
      <c r="L57" s="75" t="s">
        <v>25</v>
      </c>
      <c r="M57" s="76">
        <f>K58</f>
        <v>2800</v>
      </c>
      <c r="N57" s="93" t="s">
        <v>34</v>
      </c>
      <c r="O57" s="93" t="s">
        <v>35</v>
      </c>
    </row>
    <row r="58" spans="1:15" ht="18" customHeight="1" thickTop="1" thickBot="1" x14ac:dyDescent="0.3">
      <c r="A58" s="194"/>
      <c r="B58" s="143"/>
      <c r="C58" s="142" t="str">
        <f>IF(B60="","",IF(B58*36/(37-B60)=0,"",B58*36/(37-B60)))</f>
        <v/>
      </c>
      <c r="D58" s="109" t="str">
        <f>D54</f>
        <v>랙8자CDL</v>
      </c>
      <c r="E58" s="18">
        <f>IF(C58="",I53,C58)</f>
        <v>193.90581717451522</v>
      </c>
      <c r="F58" s="94">
        <f>100%-J57*IF($A$3="하",$P$8,$P$6)</f>
        <v>0.72199999999999998</v>
      </c>
      <c r="G58" s="7">
        <f t="shared" ref="G58:I59" si="20">F58</f>
        <v>0.72199999999999998</v>
      </c>
      <c r="H58" s="7">
        <f t="shared" si="20"/>
        <v>0.72199999999999998</v>
      </c>
      <c r="I58" s="7">
        <f t="shared" si="20"/>
        <v>0.72199999999999998</v>
      </c>
      <c r="J58" s="8">
        <f>I58</f>
        <v>0.72199999999999998</v>
      </c>
      <c r="K58" s="95">
        <f>F59*F60+G59*G60+H59*H60+I59*I60+J59*J60</f>
        <v>2800</v>
      </c>
      <c r="L58" s="86" t="s">
        <v>27</v>
      </c>
      <c r="M58" s="81">
        <f>M57+M54</f>
        <v>41890</v>
      </c>
      <c r="N58" s="90">
        <f>ROUNDDOWN(M56*$N$4,0)</f>
        <v>2</v>
      </c>
      <c r="O58" s="90">
        <f>ROUNDDOWN(M56*$O$4,0)</f>
        <v>19</v>
      </c>
    </row>
    <row r="59" spans="1:15" ht="18" customHeight="1" thickTop="1" thickBot="1" x14ac:dyDescent="0.3">
      <c r="A59" s="194"/>
      <c r="B59" s="141" t="str">
        <f>IF(O58-C56&lt;$A$1," ","1~ "&amp;IF(O58-C56&gt;$A$1,$A$1,O58-C56)&amp;" rep")</f>
        <v>1~ 5 rep</v>
      </c>
      <c r="C59" s="97" t="s">
        <v>37</v>
      </c>
      <c r="D59" s="98" t="s">
        <v>5</v>
      </c>
      <c r="E59" s="5" t="s">
        <v>3</v>
      </c>
      <c r="F59" s="18">
        <f>MROUND(F58*E58,D60)</f>
        <v>140</v>
      </c>
      <c r="G59" s="18">
        <f t="shared" si="20"/>
        <v>140</v>
      </c>
      <c r="H59" s="18">
        <f t="shared" si="20"/>
        <v>140</v>
      </c>
      <c r="I59" s="18">
        <f t="shared" si="20"/>
        <v>140</v>
      </c>
      <c r="J59" s="19">
        <f>I59</f>
        <v>140</v>
      </c>
      <c r="K59" s="74" t="s">
        <v>10</v>
      </c>
      <c r="L59" s="86" t="s">
        <v>28</v>
      </c>
      <c r="M59" s="87">
        <f>K60</f>
        <v>20</v>
      </c>
      <c r="N59" s="93" t="s">
        <v>34</v>
      </c>
      <c r="O59" s="93" t="s">
        <v>35</v>
      </c>
    </row>
    <row r="60" spans="1:15" ht="18" customHeight="1" thickTop="1" thickBot="1" x14ac:dyDescent="0.3">
      <c r="A60" s="195"/>
      <c r="B60" s="144"/>
      <c r="C60" s="90">
        <f>IF(B58="",C56,IF(C58&lt;=0,C56,C56+B60))</f>
        <v>3</v>
      </c>
      <c r="D60" s="100">
        <f>D56</f>
        <v>2.5</v>
      </c>
      <c r="E60" s="13" t="s">
        <v>7</v>
      </c>
      <c r="F60" s="103">
        <f xml:space="preserve"> IF($A$3="하",0,IF(MROUND(J57/5,1)&lt;=G57,IF(MROUND(J57/5,1)&gt;=E57,MROUND(J57/5,1),E57),G57))</f>
        <v>0</v>
      </c>
      <c r="G60" s="104">
        <f>IF(MROUND((J57-F60)/4,1)&lt;=G57,IF(MROUND((J57-F60)/4,1)&gt;=E57,MROUND((J57-F60)/4,1),E57),G57)</f>
        <v>5</v>
      </c>
      <c r="H60" s="104">
        <f>IF(MROUND((J57-F60-G60)/3,1)&lt;=G57,IF(MROUND((J57-F60-G60)/3,1)&gt;=E57,MROUND((J57-F60-G60)/3,1),E57),G57)</f>
        <v>5</v>
      </c>
      <c r="I60" s="104">
        <f>IF(MROUND((J57-F60-G60-H60)/2,1)&lt;=G57,IF((J57-F60-G60-H60)/2&gt;=E57,MROUND((J57-F60-G60-H60)/2,1),J57-F60-G60-H60),G57)</f>
        <v>5</v>
      </c>
      <c r="J60" s="105">
        <f>IF((J57-(F60+G60+H60+I60))&gt;0,(J57-(F60+G60+H60+I60)),0)</f>
        <v>5</v>
      </c>
      <c r="K60" s="101">
        <f>SUM(F60:J60)</f>
        <v>20</v>
      </c>
      <c r="L60" s="88" t="s">
        <v>30</v>
      </c>
      <c r="M60" s="89">
        <f>M59+M56</f>
        <v>292</v>
      </c>
      <c r="N60" s="90">
        <f>ROUNDDOWN((M56-C56+C60+K60)*$N$4,0)</f>
        <v>2</v>
      </c>
      <c r="O60" s="90">
        <f>ROUNDDOWN((M56+K60-+C60)*$O$4,0)</f>
        <v>20</v>
      </c>
    </row>
    <row r="61" spans="1:15" ht="18" customHeight="1" thickTop="1" thickBot="1" x14ac:dyDescent="0.3">
      <c r="A61" s="193" t="str">
        <f t="shared" ref="A61" si="21">IF($M64&lt;IF($A$3="하",$S$8,$S$6),0,IF($M64&gt;IF($A$3="하",$S$7,$S$5),"",MAX(A57+1)))</f>
        <v/>
      </c>
      <c r="B61" s="141" t="str">
        <f>IF(O62-C60&lt;$A$1," ","MAX to "&amp;MROUND(IF(IF(O62-C60&gt;$A$1,$A$1,O62-C60)&lt;2,I57,I57*(37-IF(O62-C60&gt;$A$1,$A$1,O62-C60))/36),D64))</f>
        <v>MAX to 172.5</v>
      </c>
      <c r="C61" s="90" t="str">
        <f>IF(O62&lt;=C60,"X",IF(N62&gt;C60,"must ME","can ME"))</f>
        <v>can ME</v>
      </c>
      <c r="D61" s="75" t="s">
        <v>31</v>
      </c>
      <c r="E61" s="23">
        <v>4</v>
      </c>
      <c r="F61" s="2">
        <v>1</v>
      </c>
      <c r="G61" s="23">
        <f>IF(F62&gt;=90%,2,IF(F62&gt;=80%,4,IF(F62&gt;=70%,6,6)))</f>
        <v>6</v>
      </c>
      <c r="H61" s="3" t="s">
        <v>2</v>
      </c>
      <c r="I61" s="91">
        <f>K62/(100%-IF($A$3="하",$P$8,$P$6)*K64)/K64</f>
        <v>193.90581717451522</v>
      </c>
      <c r="J61" s="92">
        <f>IF("하"=$A$3,$Q$7,$Q$5)</f>
        <v>20</v>
      </c>
      <c r="K61" s="107" t="s">
        <v>33</v>
      </c>
      <c r="L61" s="75" t="s">
        <v>25</v>
      </c>
      <c r="M61" s="76">
        <f>K62</f>
        <v>2800</v>
      </c>
      <c r="N61" s="93" t="s">
        <v>34</v>
      </c>
      <c r="O61" s="93" t="s">
        <v>35</v>
      </c>
    </row>
    <row r="62" spans="1:15" ht="18" customHeight="1" thickTop="1" thickBot="1" x14ac:dyDescent="0.3">
      <c r="A62" s="194"/>
      <c r="B62" s="143"/>
      <c r="C62" s="142" t="str">
        <f>IF(B64="","",IF(B62*36/(37-B64)=0,"",B62*36/(37-B64)))</f>
        <v/>
      </c>
      <c r="D62" s="109" t="str">
        <f>D58</f>
        <v>랙8자CDL</v>
      </c>
      <c r="E62" s="18">
        <f>IF(C62="",I57,C62)</f>
        <v>193.90581717451522</v>
      </c>
      <c r="F62" s="94">
        <f>100%-J61*IF($A$3="하",$P$8,$P$6)</f>
        <v>0.72199999999999998</v>
      </c>
      <c r="G62" s="7">
        <f t="shared" ref="G62:I63" si="22">F62</f>
        <v>0.72199999999999998</v>
      </c>
      <c r="H62" s="7">
        <f t="shared" si="22"/>
        <v>0.72199999999999998</v>
      </c>
      <c r="I62" s="7">
        <f t="shared" si="22"/>
        <v>0.72199999999999998</v>
      </c>
      <c r="J62" s="8">
        <f>I62</f>
        <v>0.72199999999999998</v>
      </c>
      <c r="K62" s="95">
        <f>F63*F64+G63*G64+H63*H64+I63*I64+J63*J64</f>
        <v>2800</v>
      </c>
      <c r="L62" s="86" t="s">
        <v>27</v>
      </c>
      <c r="M62" s="81">
        <f>M61+M58</f>
        <v>44690</v>
      </c>
      <c r="N62" s="90">
        <f>ROUNDDOWN(M60*$N$4,0)</f>
        <v>2</v>
      </c>
      <c r="O62" s="90">
        <f>ROUNDDOWN(M60*$O$4,0)</f>
        <v>20</v>
      </c>
    </row>
    <row r="63" spans="1:15" ht="18" customHeight="1" thickTop="1" thickBot="1" x14ac:dyDescent="0.3">
      <c r="A63" s="194"/>
      <c r="B63" s="141" t="str">
        <f>IF(O62-C60&lt;$A$1," ","1~ "&amp;IF(O62-C60&gt;$A$1,$A$1,O62-C60)&amp;" rep")</f>
        <v>1~ 5 rep</v>
      </c>
      <c r="C63" s="97" t="s">
        <v>37</v>
      </c>
      <c r="D63" s="98" t="s">
        <v>5</v>
      </c>
      <c r="E63" s="5" t="s">
        <v>3</v>
      </c>
      <c r="F63" s="18">
        <f>MROUND(F62*E62,D64)</f>
        <v>140</v>
      </c>
      <c r="G63" s="18">
        <f t="shared" si="22"/>
        <v>140</v>
      </c>
      <c r="H63" s="18">
        <f t="shared" si="22"/>
        <v>140</v>
      </c>
      <c r="I63" s="18">
        <f t="shared" si="22"/>
        <v>140</v>
      </c>
      <c r="J63" s="19">
        <f>I63</f>
        <v>140</v>
      </c>
      <c r="K63" s="74" t="s">
        <v>10</v>
      </c>
      <c r="L63" s="86" t="s">
        <v>28</v>
      </c>
      <c r="M63" s="87">
        <f>K64</f>
        <v>20</v>
      </c>
      <c r="N63" s="93" t="s">
        <v>34</v>
      </c>
      <c r="O63" s="93" t="s">
        <v>35</v>
      </c>
    </row>
    <row r="64" spans="1:15" ht="18" customHeight="1" thickTop="1" thickBot="1" x14ac:dyDescent="0.3">
      <c r="A64" s="195"/>
      <c r="B64" s="144"/>
      <c r="C64" s="90">
        <f>IF(B62="",C60,IF(C62&lt;=0,C60,C60+B64))</f>
        <v>3</v>
      </c>
      <c r="D64" s="100">
        <f>D60</f>
        <v>2.5</v>
      </c>
      <c r="E64" s="13" t="s">
        <v>7</v>
      </c>
      <c r="F64" s="103">
        <f xml:space="preserve"> IF($A$3="하",0,IF(MROUND(J61/5,1)&lt;=G61,IF(MROUND(J61/5,1)&gt;=E61,MROUND(J61/5,1),E61),G61))</f>
        <v>0</v>
      </c>
      <c r="G64" s="104">
        <f>IF(MROUND((J61-F64)/4,1)&lt;=G61,IF(MROUND((J61-F64)/4,1)&gt;=E61,MROUND((J61-F64)/4,1),E61),G61)</f>
        <v>5</v>
      </c>
      <c r="H64" s="104">
        <f>IF(MROUND((J61-F64-G64)/3,1)&lt;=G61,IF(MROUND((J61-F64-G64)/3,1)&gt;=E61,MROUND((J61-F64-G64)/3,1),E61),G61)</f>
        <v>5</v>
      </c>
      <c r="I64" s="104">
        <f>IF(MROUND((J61-F64-G64-H64)/2,1)&lt;=G61,IF((J61-F64-G64-H64)/2&gt;=E61,MROUND((J61-F64-G64-H64)/2,1),J61-F64-G64-H64),G61)</f>
        <v>5</v>
      </c>
      <c r="J64" s="105">
        <f>IF((J61-(F64+G64+H64+I64))&gt;0,(J61-(F64+G64+H64+I64)),0)</f>
        <v>5</v>
      </c>
      <c r="K64" s="101">
        <f>SUM(F64:J64)</f>
        <v>20</v>
      </c>
      <c r="L64" s="88" t="s">
        <v>30</v>
      </c>
      <c r="M64" s="89">
        <f>M63+M60</f>
        <v>312</v>
      </c>
      <c r="N64" s="90">
        <f>ROUNDDOWN((M60-C60+C64+K64)*$N$4,0)</f>
        <v>3</v>
      </c>
      <c r="O64" s="90">
        <f>ROUNDDOWN((M60+K64-+C64)*$O$4,0)</f>
        <v>21</v>
      </c>
    </row>
    <row r="65" ht="17.25" thickTop="1" x14ac:dyDescent="0.25"/>
  </sheetData>
  <mergeCells count="18">
    <mergeCell ref="A13:A16"/>
    <mergeCell ref="E1:F1"/>
    <mergeCell ref="G1:H1"/>
    <mergeCell ref="A4:K4"/>
    <mergeCell ref="A5:A8"/>
    <mergeCell ref="A9:A12"/>
    <mergeCell ref="A61:A64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</mergeCells>
  <phoneticPr fontId="1" type="noConversion"/>
  <conditionalFormatting sqref="A5 A9 A13 A17 A21 A25 A29 A33 A37 A41 A45 A49 A53 A57 A61">
    <cfRule type="containsText" dxfId="659" priority="2" operator="containsText" text="0">
      <formula>NOT(ISERROR(SEARCH("0",A5)))</formula>
    </cfRule>
  </conditionalFormatting>
  <conditionalFormatting sqref="C2:C3">
    <cfRule type="cellIs" dxfId="658" priority="61" operator="equal">
      <formula>"ME"</formula>
    </cfRule>
  </conditionalFormatting>
  <conditionalFormatting sqref="C5">
    <cfRule type="containsText" dxfId="657" priority="60" operator="containsText" text="must">
      <formula>NOT(ISERROR(SEARCH("must",C5)))</formula>
    </cfRule>
    <cfRule type="containsText" dxfId="656" priority="59" operator="containsText" text="can">
      <formula>NOT(ISERROR(SEARCH("can",C5)))</formula>
    </cfRule>
  </conditionalFormatting>
  <conditionalFormatting sqref="C6:C8">
    <cfRule type="containsText" dxfId="655" priority="1" operator="containsText" text="ME">
      <formula>NOT(ISERROR(SEARCH("ME",C6)))</formula>
    </cfRule>
  </conditionalFormatting>
  <conditionalFormatting sqref="C9">
    <cfRule type="containsText" dxfId="654" priority="57" operator="containsText" text="must">
      <formula>NOT(ISERROR(SEARCH("must",C9)))</formula>
    </cfRule>
    <cfRule type="containsText" dxfId="653" priority="56" operator="containsText" text="can">
      <formula>NOT(ISERROR(SEARCH("can",C9)))</formula>
    </cfRule>
  </conditionalFormatting>
  <conditionalFormatting sqref="C10:C12">
    <cfRule type="containsText" dxfId="652" priority="55" operator="containsText" text="ME">
      <formula>NOT(ISERROR(SEARCH("ME",C10)))</formula>
    </cfRule>
  </conditionalFormatting>
  <conditionalFormatting sqref="C13">
    <cfRule type="containsText" dxfId="651" priority="53" operator="containsText" text="must">
      <formula>NOT(ISERROR(SEARCH("must",C13)))</formula>
    </cfRule>
    <cfRule type="containsText" dxfId="650" priority="52" operator="containsText" text="can">
      <formula>NOT(ISERROR(SEARCH("can",C13)))</formula>
    </cfRule>
  </conditionalFormatting>
  <conditionalFormatting sqref="C14:C16">
    <cfRule type="containsText" dxfId="649" priority="51" operator="containsText" text="ME">
      <formula>NOT(ISERROR(SEARCH("ME",C14)))</formula>
    </cfRule>
  </conditionalFormatting>
  <conditionalFormatting sqref="C17">
    <cfRule type="containsText" dxfId="648" priority="49" operator="containsText" text="must">
      <formula>NOT(ISERROR(SEARCH("must",C17)))</formula>
    </cfRule>
    <cfRule type="containsText" dxfId="647" priority="48" operator="containsText" text="can">
      <formula>NOT(ISERROR(SEARCH("can",C17)))</formula>
    </cfRule>
  </conditionalFormatting>
  <conditionalFormatting sqref="C18:C20">
    <cfRule type="containsText" dxfId="646" priority="47" operator="containsText" text="ME">
      <formula>NOT(ISERROR(SEARCH("ME",C18)))</formula>
    </cfRule>
  </conditionalFormatting>
  <conditionalFormatting sqref="C21">
    <cfRule type="containsText" dxfId="645" priority="45" operator="containsText" text="must">
      <formula>NOT(ISERROR(SEARCH("must",C21)))</formula>
    </cfRule>
    <cfRule type="containsText" dxfId="644" priority="44" operator="containsText" text="can">
      <formula>NOT(ISERROR(SEARCH("can",C21)))</formula>
    </cfRule>
  </conditionalFormatting>
  <conditionalFormatting sqref="C22:C24">
    <cfRule type="containsText" dxfId="643" priority="43" operator="containsText" text="ME">
      <formula>NOT(ISERROR(SEARCH("ME",C22)))</formula>
    </cfRule>
  </conditionalFormatting>
  <conditionalFormatting sqref="C25">
    <cfRule type="containsText" dxfId="642" priority="41" operator="containsText" text="must">
      <formula>NOT(ISERROR(SEARCH("must",C25)))</formula>
    </cfRule>
    <cfRule type="containsText" dxfId="641" priority="40" operator="containsText" text="can">
      <formula>NOT(ISERROR(SEARCH("can",C25)))</formula>
    </cfRule>
  </conditionalFormatting>
  <conditionalFormatting sqref="C26:C28">
    <cfRule type="containsText" dxfId="640" priority="39" operator="containsText" text="ME">
      <formula>NOT(ISERROR(SEARCH("ME",C26)))</formula>
    </cfRule>
  </conditionalFormatting>
  <conditionalFormatting sqref="C29">
    <cfRule type="containsText" dxfId="639" priority="37" operator="containsText" text="must">
      <formula>NOT(ISERROR(SEARCH("must",C29)))</formula>
    </cfRule>
    <cfRule type="containsText" dxfId="638" priority="36" operator="containsText" text="can">
      <formula>NOT(ISERROR(SEARCH("can",C29)))</formula>
    </cfRule>
  </conditionalFormatting>
  <conditionalFormatting sqref="C30:C32">
    <cfRule type="containsText" dxfId="637" priority="35" operator="containsText" text="ME">
      <formula>NOT(ISERROR(SEARCH("ME",C30)))</formula>
    </cfRule>
  </conditionalFormatting>
  <conditionalFormatting sqref="C33">
    <cfRule type="containsText" dxfId="636" priority="32" operator="containsText" text="can">
      <formula>NOT(ISERROR(SEARCH("can",C33)))</formula>
    </cfRule>
    <cfRule type="containsText" dxfId="635" priority="33" operator="containsText" text="must">
      <formula>NOT(ISERROR(SEARCH("must",C33)))</formula>
    </cfRule>
  </conditionalFormatting>
  <conditionalFormatting sqref="C34:C36">
    <cfRule type="containsText" dxfId="634" priority="31" operator="containsText" text="ME">
      <formula>NOT(ISERROR(SEARCH("ME",C34)))</formula>
    </cfRule>
  </conditionalFormatting>
  <conditionalFormatting sqref="C37">
    <cfRule type="containsText" dxfId="633" priority="28" operator="containsText" text="can">
      <formula>NOT(ISERROR(SEARCH("can",C37)))</formula>
    </cfRule>
    <cfRule type="containsText" dxfId="632" priority="29" operator="containsText" text="must">
      <formula>NOT(ISERROR(SEARCH("must",C37)))</formula>
    </cfRule>
  </conditionalFormatting>
  <conditionalFormatting sqref="C38:C40">
    <cfRule type="containsText" dxfId="631" priority="27" operator="containsText" text="ME">
      <formula>NOT(ISERROR(SEARCH("ME",C38)))</formula>
    </cfRule>
  </conditionalFormatting>
  <conditionalFormatting sqref="C41">
    <cfRule type="containsText" dxfId="630" priority="25" operator="containsText" text="must">
      <formula>NOT(ISERROR(SEARCH("must",C41)))</formula>
    </cfRule>
    <cfRule type="containsText" dxfId="629" priority="24" operator="containsText" text="can">
      <formula>NOT(ISERROR(SEARCH("can",C41)))</formula>
    </cfRule>
  </conditionalFormatting>
  <conditionalFormatting sqref="C42:C44">
    <cfRule type="containsText" dxfId="628" priority="23" operator="containsText" text="ME">
      <formula>NOT(ISERROR(SEARCH("ME",C42)))</formula>
    </cfRule>
  </conditionalFormatting>
  <conditionalFormatting sqref="C45">
    <cfRule type="containsText" dxfId="627" priority="21" operator="containsText" text="must">
      <formula>NOT(ISERROR(SEARCH("must",C45)))</formula>
    </cfRule>
    <cfRule type="containsText" dxfId="626" priority="20" operator="containsText" text="can">
      <formula>NOT(ISERROR(SEARCH("can",C45)))</formula>
    </cfRule>
  </conditionalFormatting>
  <conditionalFormatting sqref="C46:C48">
    <cfRule type="containsText" dxfId="625" priority="19" operator="containsText" text="ME">
      <formula>NOT(ISERROR(SEARCH("ME",C46)))</formula>
    </cfRule>
  </conditionalFormatting>
  <conditionalFormatting sqref="C49">
    <cfRule type="containsText" dxfId="624" priority="16" operator="containsText" text="can">
      <formula>NOT(ISERROR(SEARCH("can",C49)))</formula>
    </cfRule>
    <cfRule type="containsText" dxfId="623" priority="17" operator="containsText" text="must">
      <formula>NOT(ISERROR(SEARCH("must",C49)))</formula>
    </cfRule>
  </conditionalFormatting>
  <conditionalFormatting sqref="C50:C52">
    <cfRule type="containsText" dxfId="622" priority="15" operator="containsText" text="ME">
      <formula>NOT(ISERROR(SEARCH("ME",C50)))</formula>
    </cfRule>
  </conditionalFormatting>
  <conditionalFormatting sqref="C53">
    <cfRule type="containsText" dxfId="621" priority="13" operator="containsText" text="must">
      <formula>NOT(ISERROR(SEARCH("must",C53)))</formula>
    </cfRule>
    <cfRule type="containsText" dxfId="620" priority="12" operator="containsText" text="can">
      <formula>NOT(ISERROR(SEARCH("can",C53)))</formula>
    </cfRule>
  </conditionalFormatting>
  <conditionalFormatting sqref="C54:C56">
    <cfRule type="containsText" dxfId="619" priority="11" operator="containsText" text="ME">
      <formula>NOT(ISERROR(SEARCH("ME",C54)))</formula>
    </cfRule>
  </conditionalFormatting>
  <conditionalFormatting sqref="C57">
    <cfRule type="containsText" dxfId="618" priority="8" operator="containsText" text="can">
      <formula>NOT(ISERROR(SEARCH("can",C57)))</formula>
    </cfRule>
    <cfRule type="containsText" dxfId="617" priority="9" operator="containsText" text="must">
      <formula>NOT(ISERROR(SEARCH("must",C57)))</formula>
    </cfRule>
  </conditionalFormatting>
  <conditionalFormatting sqref="C58:C60">
    <cfRule type="containsText" dxfId="616" priority="7" operator="containsText" text="ME">
      <formula>NOT(ISERROR(SEARCH("ME",C58)))</formula>
    </cfRule>
  </conditionalFormatting>
  <conditionalFormatting sqref="C61">
    <cfRule type="containsText" dxfId="615" priority="4" operator="containsText" text="can">
      <formula>NOT(ISERROR(SEARCH("can",C61)))</formula>
    </cfRule>
    <cfRule type="containsText" dxfId="614" priority="5" operator="containsText" text="must">
      <formula>NOT(ISERROR(SEARCH("must",C61)))</formula>
    </cfRule>
  </conditionalFormatting>
  <conditionalFormatting sqref="C62:C64">
    <cfRule type="containsText" dxfId="613" priority="3" operator="containsText" text="ME">
      <formula>NOT(ISERROR(SEARCH("ME",C62)))</formula>
    </cfRule>
  </conditionalFormatting>
  <conditionalFormatting sqref="J5">
    <cfRule type="cellIs" dxfId="612" priority="62" operator="equal">
      <formula>"ME"</formula>
    </cfRule>
  </conditionalFormatting>
  <conditionalFormatting sqref="J9">
    <cfRule type="cellIs" dxfId="611" priority="58" operator="equal">
      <formula>"ME"</formula>
    </cfRule>
  </conditionalFormatting>
  <conditionalFormatting sqref="J13">
    <cfRule type="cellIs" dxfId="610" priority="54" operator="equal">
      <formula>"ME"</formula>
    </cfRule>
  </conditionalFormatting>
  <conditionalFormatting sqref="J17">
    <cfRule type="cellIs" dxfId="609" priority="50" operator="equal">
      <formula>"ME"</formula>
    </cfRule>
  </conditionalFormatting>
  <conditionalFormatting sqref="J21">
    <cfRule type="cellIs" dxfId="608" priority="46" operator="equal">
      <formula>"ME"</formula>
    </cfRule>
  </conditionalFormatting>
  <conditionalFormatting sqref="J25">
    <cfRule type="cellIs" dxfId="607" priority="42" operator="equal">
      <formula>"ME"</formula>
    </cfRule>
  </conditionalFormatting>
  <conditionalFormatting sqref="J29">
    <cfRule type="cellIs" dxfId="606" priority="38" operator="equal">
      <formula>"ME"</formula>
    </cfRule>
  </conditionalFormatting>
  <conditionalFormatting sqref="J33">
    <cfRule type="cellIs" dxfId="605" priority="34" operator="equal">
      <formula>"ME"</formula>
    </cfRule>
  </conditionalFormatting>
  <conditionalFormatting sqref="J37">
    <cfRule type="cellIs" dxfId="604" priority="30" operator="equal">
      <formula>"ME"</formula>
    </cfRule>
  </conditionalFormatting>
  <conditionalFormatting sqref="J41">
    <cfRule type="cellIs" dxfId="603" priority="26" operator="equal">
      <formula>"ME"</formula>
    </cfRule>
  </conditionalFormatting>
  <conditionalFormatting sqref="J45">
    <cfRule type="cellIs" dxfId="602" priority="22" operator="equal">
      <formula>"ME"</formula>
    </cfRule>
  </conditionalFormatting>
  <conditionalFormatting sqref="J49">
    <cfRule type="cellIs" dxfId="601" priority="18" operator="equal">
      <formula>"ME"</formula>
    </cfRule>
  </conditionalFormatting>
  <conditionalFormatting sqref="J53">
    <cfRule type="cellIs" dxfId="600" priority="14" operator="equal">
      <formula>"ME"</formula>
    </cfRule>
  </conditionalFormatting>
  <conditionalFormatting sqref="J57">
    <cfRule type="cellIs" dxfId="599" priority="10" operator="equal">
      <formula>"ME"</formula>
    </cfRule>
  </conditionalFormatting>
  <conditionalFormatting sqref="J61">
    <cfRule type="cellIs" dxfId="598" priority="6" operator="equal">
      <formula>"ME"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3BDA-3ABE-BF44-BF46-60D1562A48F8}">
  <sheetPr>
    <tabColor theme="0"/>
  </sheetPr>
  <dimension ref="A1:S65"/>
  <sheetViews>
    <sheetView zoomScale="85" zoomScaleNormal="85" workbookViewId="0">
      <pane xSplit="1" ySplit="4" topLeftCell="D11" activePane="bottomRight" state="frozen"/>
      <selection pane="bottomLeft" activeCell="A5" sqref="A5"/>
      <selection pane="topRight" activeCell="B1" sqref="B1"/>
      <selection pane="bottomRight" activeCell="G1" sqref="G1:H1"/>
    </sheetView>
  </sheetViews>
  <sheetFormatPr defaultColWidth="8.91015625" defaultRowHeight="16.5" x14ac:dyDescent="0.25"/>
  <cols>
    <col min="1" max="1" width="3.7109375" customWidth="1"/>
    <col min="2" max="2" width="12.87109375" style="140" bestFit="1" customWidth="1"/>
    <col min="3" max="3" width="10.0234375" bestFit="1" customWidth="1"/>
    <col min="4" max="4" width="8.7890625" bestFit="1" customWidth="1"/>
    <col min="5" max="5" width="10.76953125" bestFit="1" customWidth="1"/>
    <col min="6" max="6" width="6.0625" bestFit="1" customWidth="1"/>
    <col min="7" max="7" width="10.76953125" bestFit="1" customWidth="1"/>
    <col min="8" max="10" width="5.4453125" bestFit="1" customWidth="1"/>
    <col min="11" max="11" width="5.07421875" hidden="1" customWidth="1"/>
    <col min="12" max="12" width="7.55078125" hidden="1" customWidth="1"/>
    <col min="13" max="13" width="6.1875" hidden="1" customWidth="1"/>
    <col min="14" max="15" width="7.42578125" hidden="1" customWidth="1"/>
    <col min="16" max="16" width="6.0625" hidden="1" customWidth="1"/>
    <col min="17" max="17" width="3.21484375" hidden="1" customWidth="1"/>
    <col min="18" max="19" width="4.20703125" hidden="1" customWidth="1"/>
  </cols>
  <sheetData>
    <row r="1" spans="1:19" ht="63" customHeight="1" thickTop="1" thickBot="1" x14ac:dyDescent="0.3">
      <c r="A1">
        <v>5</v>
      </c>
      <c r="B1" s="124" t="s">
        <v>40</v>
      </c>
      <c r="C1" s="125">
        <f>ROUNDDOWN((G1-E1)/7,0)+1</f>
        <v>3</v>
      </c>
      <c r="D1" s="146"/>
      <c r="E1" s="196">
        <v>45732</v>
      </c>
      <c r="F1" s="196"/>
      <c r="G1" s="197">
        <v>45752</v>
      </c>
      <c r="H1" s="197"/>
      <c r="L1" s="75" t="s">
        <v>25</v>
      </c>
      <c r="M1" s="76"/>
    </row>
    <row r="2" spans="1:19" ht="18" thickTop="1" thickBot="1" x14ac:dyDescent="0.3">
      <c r="A2" s="126">
        <f>C1</f>
        <v>3</v>
      </c>
      <c r="B2" s="112" t="s">
        <v>52</v>
      </c>
      <c r="C2" s="80" t="s">
        <v>5</v>
      </c>
      <c r="D2" s="78" t="s">
        <v>11</v>
      </c>
      <c r="E2" s="78" t="s">
        <v>12</v>
      </c>
      <c r="F2" s="79" t="s">
        <v>13</v>
      </c>
      <c r="G2" s="147" t="s">
        <v>5</v>
      </c>
      <c r="H2" s="148" t="s">
        <v>11</v>
      </c>
      <c r="I2" s="148" t="s">
        <v>13</v>
      </c>
      <c r="J2" s="149" t="s">
        <v>14</v>
      </c>
      <c r="L2" s="86" t="s">
        <v>27</v>
      </c>
      <c r="M2" s="81"/>
    </row>
    <row r="3" spans="1:19" ht="18" thickTop="1" thickBot="1" x14ac:dyDescent="0.3">
      <c r="A3" s="129" t="s">
        <v>51</v>
      </c>
      <c r="B3" s="119">
        <v>119.1</v>
      </c>
      <c r="C3" s="85">
        <v>2.5</v>
      </c>
      <c r="D3" s="83">
        <v>100</v>
      </c>
      <c r="E3" s="83">
        <v>94.7</v>
      </c>
      <c r="F3" s="84">
        <f>MROUND(E3-D3*0.85,C3)</f>
        <v>10</v>
      </c>
      <c r="G3" s="150">
        <v>0.1</v>
      </c>
      <c r="H3" s="151">
        <f>D3</f>
        <v>100</v>
      </c>
      <c r="I3" s="151">
        <v>40</v>
      </c>
      <c r="J3" s="157">
        <f>MROUND(H3*0.85+I3,G3)</f>
        <v>125</v>
      </c>
      <c r="L3" s="86" t="s">
        <v>28</v>
      </c>
      <c r="M3" s="87"/>
      <c r="N3" s="120" t="s">
        <v>34</v>
      </c>
      <c r="O3" s="93" t="s">
        <v>35</v>
      </c>
    </row>
    <row r="4" spans="1:19" ht="33.75" thickTop="1" thickBot="1" x14ac:dyDescent="0.3">
      <c r="A4" s="198" t="str">
        <f>A3&amp;" 운동"</f>
        <v>등 운동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28" t="s">
        <v>30</v>
      </c>
      <c r="M4" s="115"/>
      <c r="N4" s="116">
        <v>0.01</v>
      </c>
      <c r="O4" s="122">
        <v>7.0000000000000007E-2</v>
      </c>
    </row>
    <row r="5" spans="1:19" ht="18" customHeight="1" thickTop="1" thickBot="1" x14ac:dyDescent="0.3">
      <c r="A5" s="193">
        <f>IF($M8&lt;IF($A$3="하",$S$8,$S$6),0,IF($M8&gt;IF($A$3="하",$S$7,$S$5),"",A1+1))</f>
        <v>0</v>
      </c>
      <c r="B5" s="141" t="str">
        <f>IF(O6-C8&lt;$A$1," ","MAX to "&amp;MROUND(IF(IF(O6-C8&gt;$A$1,$A$1,O6-C8)&lt;2,I1,I1*(37-IF(O6-C8&gt;$A$1,$A$1,O6-C8))/36),D8))</f>
        <v xml:space="preserve"> </v>
      </c>
      <c r="C5" s="90" t="str">
        <f>IF(O6&lt;=C8,"X",IF(N6&gt;C8,"must ME","can ME"))</f>
        <v>X</v>
      </c>
      <c r="D5" s="131" t="s">
        <v>31</v>
      </c>
      <c r="E5" s="132">
        <v>4</v>
      </c>
      <c r="F5" s="133" t="s">
        <v>32</v>
      </c>
      <c r="G5" s="132">
        <f>IF(F6&gt;=90%,2,IF(F6&gt;=80%,4,IF(F6&gt;=70%,6,6)))</f>
        <v>6</v>
      </c>
      <c r="H5" s="134" t="s">
        <v>2</v>
      </c>
      <c r="I5" s="135">
        <f>K6/(100%-IF($A$3="하",$P$8,$P$6)*K8)/K8</f>
        <v>121.73179645768906</v>
      </c>
      <c r="J5" s="136">
        <f>IF("하"=$A$3,$Q$7,$Q$5)</f>
        <v>25</v>
      </c>
      <c r="K5" s="137" t="s">
        <v>33</v>
      </c>
      <c r="L5" s="75" t="s">
        <v>25</v>
      </c>
      <c r="M5" s="76">
        <f>K6</f>
        <v>2251.6</v>
      </c>
      <c r="N5" s="74" t="s">
        <v>34</v>
      </c>
      <c r="O5" s="74" t="s">
        <v>35</v>
      </c>
      <c r="P5" s="77" t="s">
        <v>26</v>
      </c>
      <c r="Q5" s="77">
        <v>25</v>
      </c>
      <c r="R5" s="77">
        <v>300</v>
      </c>
      <c r="S5" s="77">
        <f>$A$2*R5/4</f>
        <v>225</v>
      </c>
    </row>
    <row r="6" spans="1:19" ht="18" customHeight="1" thickTop="1" thickBot="1" x14ac:dyDescent="0.3">
      <c r="A6" s="194"/>
      <c r="B6" s="143">
        <v>119.1</v>
      </c>
      <c r="C6" s="142">
        <f>IF(B8="","",IF(B6*36/(37-B8)=0,"",B6*36/(37-B8)))</f>
        <v>119.09999999999998</v>
      </c>
      <c r="D6" s="109" t="str">
        <f>B2</f>
        <v>CU</v>
      </c>
      <c r="E6" s="18">
        <f>IF(C6="",B3,C6)</f>
        <v>119.09999999999998</v>
      </c>
      <c r="F6" s="94">
        <f>100%-J5*IF($A$3="하",$P$8,$P$6)</f>
        <v>0.72249999999999992</v>
      </c>
      <c r="G6" s="7">
        <f t="shared" ref="G6:I7" si="0">F6</f>
        <v>0.72249999999999992</v>
      </c>
      <c r="H6" s="7">
        <f t="shared" si="0"/>
        <v>0.72249999999999992</v>
      </c>
      <c r="I6" s="7">
        <f t="shared" si="0"/>
        <v>0.72249999999999992</v>
      </c>
      <c r="J6" s="8">
        <f>I6</f>
        <v>0.72249999999999992</v>
      </c>
      <c r="K6" s="95">
        <f>F7*F8+G7*G8+H7*H8+I7*I8+J7*J8</f>
        <v>2251.6</v>
      </c>
      <c r="L6" s="86" t="s">
        <v>27</v>
      </c>
      <c r="M6" s="81">
        <f>M5+M2</f>
        <v>2251.6</v>
      </c>
      <c r="N6" s="90">
        <f>ROUNDDOWN(M4*$N$4,0)</f>
        <v>0</v>
      </c>
      <c r="O6" s="90">
        <f>ROUNDDOWN(M4*$O$4,0)</f>
        <v>0</v>
      </c>
      <c r="P6" s="82">
        <v>1.11E-2</v>
      </c>
      <c r="Q6" s="77">
        <v>25</v>
      </c>
      <c r="R6" s="77">
        <v>200</v>
      </c>
      <c r="S6" s="77">
        <f>$A$2*R6/4</f>
        <v>150</v>
      </c>
    </row>
    <row r="7" spans="1:19" ht="18" customHeight="1" thickTop="1" thickBot="1" x14ac:dyDescent="0.3">
      <c r="A7" s="194"/>
      <c r="B7" s="141" t="str">
        <f>IF(O6-C8&lt;$A$1," ","1~ "&amp;IF(O6-C8&gt;$A$1,$A$1,O6-C8)&amp;" rep")</f>
        <v xml:space="preserve"> </v>
      </c>
      <c r="C7" s="97" t="s">
        <v>37</v>
      </c>
      <c r="D7" s="98" t="s">
        <v>5</v>
      </c>
      <c r="E7" s="5" t="s">
        <v>3</v>
      </c>
      <c r="F7" s="18">
        <v>86.6</v>
      </c>
      <c r="G7" s="18">
        <f t="shared" si="0"/>
        <v>86.6</v>
      </c>
      <c r="H7" s="18">
        <f t="shared" si="0"/>
        <v>86.6</v>
      </c>
      <c r="I7" s="18">
        <f t="shared" si="0"/>
        <v>86.6</v>
      </c>
      <c r="J7" s="19">
        <f>I7</f>
        <v>86.6</v>
      </c>
      <c r="K7" s="74" t="s">
        <v>10</v>
      </c>
      <c r="L7" s="86" t="s">
        <v>28</v>
      </c>
      <c r="M7" s="87">
        <f>K8</f>
        <v>26</v>
      </c>
      <c r="N7" s="93" t="s">
        <v>34</v>
      </c>
      <c r="O7" s="93" t="s">
        <v>35</v>
      </c>
      <c r="P7" s="121" t="s">
        <v>29</v>
      </c>
      <c r="Q7" s="77">
        <v>20</v>
      </c>
      <c r="R7" s="77">
        <v>240</v>
      </c>
      <c r="S7" s="77">
        <f>$A$2*R7/4</f>
        <v>180</v>
      </c>
    </row>
    <row r="8" spans="1:19" ht="18" customHeight="1" thickTop="1" thickBot="1" x14ac:dyDescent="0.3">
      <c r="A8" s="195"/>
      <c r="B8" s="143">
        <v>1</v>
      </c>
      <c r="C8" s="90">
        <f>B8</f>
        <v>1</v>
      </c>
      <c r="D8" s="113">
        <v>0.1</v>
      </c>
      <c r="E8" s="13" t="s">
        <v>7</v>
      </c>
      <c r="F8" s="153">
        <v>6</v>
      </c>
      <c r="G8" s="153">
        <v>6</v>
      </c>
      <c r="H8" s="154">
        <v>5</v>
      </c>
      <c r="I8" s="154">
        <v>5</v>
      </c>
      <c r="J8" s="155">
        <v>4</v>
      </c>
      <c r="K8" s="101">
        <f>SUM(F8:J8)</f>
        <v>26</v>
      </c>
      <c r="L8" s="88" t="s">
        <v>30</v>
      </c>
      <c r="M8" s="89">
        <f>M7+M4</f>
        <v>26</v>
      </c>
      <c r="N8" s="90">
        <f>ROUNDDOWN((M4+C8+K8)*$N$4,0)</f>
        <v>0</v>
      </c>
      <c r="O8" s="90">
        <f>ROUNDDOWN((M4+K8+C8)*$O$4,0)</f>
        <v>1</v>
      </c>
      <c r="P8" s="117">
        <v>1.3899999999999999E-2</v>
      </c>
      <c r="Q8" s="77">
        <v>20</v>
      </c>
      <c r="R8" s="77">
        <v>160</v>
      </c>
      <c r="S8" s="77">
        <f>$A$2*R8/4</f>
        <v>120</v>
      </c>
    </row>
    <row r="9" spans="1:19" ht="18" customHeight="1" thickTop="1" thickBot="1" x14ac:dyDescent="0.3">
      <c r="A9" s="193">
        <f>IF($M12&lt;IF($A$3="하",$S$8,$S$6),0,IF($M12&gt;IF($A$3="하",$S$7,$S$5),"",MAX(A5+1)))</f>
        <v>0</v>
      </c>
      <c r="B9" s="141" t="str">
        <f>IF(O10-C8&lt;$A$1," ","MAX to "&amp;MROUND(IF(IF(O10-C8&gt;$A$1,$A$1,O10-C8)&lt;2,I5,I5*(37-IF(O10-C8&gt;$A$1,$A$1,O10-C8))/36),D12))</f>
        <v xml:space="preserve"> </v>
      </c>
      <c r="C9" s="90" t="str">
        <f>IF(O10&lt;=C8,"X",IF(N10&gt;C8,"must ME","can ME"))</f>
        <v>X</v>
      </c>
      <c r="D9" s="75" t="s">
        <v>31</v>
      </c>
      <c r="E9" s="23">
        <v>4</v>
      </c>
      <c r="F9" s="2">
        <v>1</v>
      </c>
      <c r="G9" s="23">
        <f>IF(F10&gt;=90%,2,IF(F10&gt;=80%,4,IF(F10&gt;=70%,6,6)))</f>
        <v>6</v>
      </c>
      <c r="H9" s="3" t="s">
        <v>2</v>
      </c>
      <c r="I9" s="91">
        <f>K10/(100%-IF($A$3="하",$P$8,$P$6)*K12)/K12</f>
        <v>131.39654918153664</v>
      </c>
      <c r="J9" s="92">
        <f>IF("하"=$A$3,$Q$7,$Q$5)</f>
        <v>25</v>
      </c>
      <c r="K9" s="107" t="s">
        <v>33</v>
      </c>
      <c r="L9" s="75" t="s">
        <v>25</v>
      </c>
      <c r="M9" s="76">
        <f>K10</f>
        <v>2583.8999999999996</v>
      </c>
      <c r="N9" s="93" t="s">
        <v>34</v>
      </c>
      <c r="O9" s="93" t="s">
        <v>35</v>
      </c>
    </row>
    <row r="10" spans="1:19" ht="18" customHeight="1" thickTop="1" thickBot="1" x14ac:dyDescent="0.3">
      <c r="A10" s="194"/>
      <c r="B10" s="143">
        <v>124.1</v>
      </c>
      <c r="C10" s="142">
        <f>IF(B12="","",IF(B10*36/(37-B12)=0,"",B10*36/(37-B12)))</f>
        <v>124.09999999999998</v>
      </c>
      <c r="D10" s="109" t="s">
        <v>55</v>
      </c>
      <c r="E10" s="18">
        <f>IF(C10="",I5,C10)</f>
        <v>124.09999999999998</v>
      </c>
      <c r="F10" s="94">
        <f>100%-J9*IF($A$3="하",$P$8,$P$6)</f>
        <v>0.72249999999999992</v>
      </c>
      <c r="G10" s="7">
        <f t="shared" ref="G10:I11" si="1">F10</f>
        <v>0.72249999999999992</v>
      </c>
      <c r="H10" s="7">
        <f t="shared" si="1"/>
        <v>0.72249999999999992</v>
      </c>
      <c r="I10" s="7">
        <f t="shared" si="1"/>
        <v>0.72249999999999992</v>
      </c>
      <c r="J10" s="8">
        <f>I10</f>
        <v>0.72249999999999992</v>
      </c>
      <c r="K10" s="95">
        <f>F11*F12+G11*G12+H11*H12+I11*I12+J11*J12</f>
        <v>2583.8999999999996</v>
      </c>
      <c r="L10" s="86" t="s">
        <v>27</v>
      </c>
      <c r="M10" s="81">
        <f>M9+M6</f>
        <v>4835.5</v>
      </c>
      <c r="N10" s="90">
        <f>ROUNDDOWN(M8*$N$4,0)</f>
        <v>0</v>
      </c>
      <c r="O10" s="90">
        <f>ROUNDDOWN(M8*$O$4,0)</f>
        <v>1</v>
      </c>
    </row>
    <row r="11" spans="1:19" ht="18" customHeight="1" thickTop="1" thickBot="1" x14ac:dyDescent="0.3">
      <c r="A11" s="194"/>
      <c r="B11" s="141" t="str">
        <f>IF(O10-C8&lt;$A$1," ","1~ "&amp;IF(O10-C8&gt;$A$1,$A$1,O10-C8)&amp;" rep")</f>
        <v xml:space="preserve"> </v>
      </c>
      <c r="C11" s="97" t="s">
        <v>37</v>
      </c>
      <c r="D11" s="98" t="s">
        <v>5</v>
      </c>
      <c r="E11" s="5" t="s">
        <v>3</v>
      </c>
      <c r="F11" s="18">
        <v>89.1</v>
      </c>
      <c r="G11" s="18">
        <f t="shared" si="1"/>
        <v>89.1</v>
      </c>
      <c r="H11" s="18">
        <f t="shared" si="1"/>
        <v>89.1</v>
      </c>
      <c r="I11" s="18">
        <f t="shared" si="1"/>
        <v>89.1</v>
      </c>
      <c r="J11" s="19">
        <f>I11</f>
        <v>89.1</v>
      </c>
      <c r="K11" s="74" t="s">
        <v>10</v>
      </c>
      <c r="L11" s="86" t="s">
        <v>28</v>
      </c>
      <c r="M11" s="87">
        <f>K12</f>
        <v>29</v>
      </c>
      <c r="N11" s="93" t="s">
        <v>34</v>
      </c>
      <c r="O11" s="93" t="s">
        <v>35</v>
      </c>
    </row>
    <row r="12" spans="1:19" ht="18" customHeight="1" thickTop="1" thickBot="1" x14ac:dyDescent="0.3">
      <c r="A12" s="195"/>
      <c r="B12" s="144">
        <v>1</v>
      </c>
      <c r="C12" s="90">
        <f>IF(B10="",C8,IF(C10&lt;=0,C8,C8+B12))</f>
        <v>2</v>
      </c>
      <c r="D12" s="100">
        <f>D8</f>
        <v>0.1</v>
      </c>
      <c r="E12" s="13" t="s">
        <v>7</v>
      </c>
      <c r="F12" s="153">
        <v>6</v>
      </c>
      <c r="G12" s="153">
        <v>6</v>
      </c>
      <c r="H12" s="153">
        <v>6</v>
      </c>
      <c r="I12" s="153">
        <v>6</v>
      </c>
      <c r="J12" s="155">
        <v>5</v>
      </c>
      <c r="K12" s="101">
        <f>SUM(F12:J12)</f>
        <v>29</v>
      </c>
      <c r="L12" s="88" t="s">
        <v>30</v>
      </c>
      <c r="M12" s="89">
        <f>M11+M8</f>
        <v>55</v>
      </c>
      <c r="N12" s="90">
        <f>ROUNDDOWN((M8-C8+C12+K12)*$N$4,0)</f>
        <v>0</v>
      </c>
      <c r="O12" s="90">
        <f>ROUNDDOWN((M8+K12-+C12)*$O$4,0)</f>
        <v>3</v>
      </c>
    </row>
    <row r="13" spans="1:19" ht="18" customHeight="1" thickTop="1" thickBot="1" x14ac:dyDescent="0.3">
      <c r="A13" s="193">
        <f t="shared" ref="A13" si="2">IF($M16&lt;IF($A$3="하",$S$8,$S$6),0,IF($M16&gt;IF($A$3="하",$S$7,$S$5),"",MAX(A9+1)))</f>
        <v>0</v>
      </c>
      <c r="B13" s="141" t="str">
        <f>IF(O14-C12&lt;$A$1," ","MAX to "&amp;MROUND(IF(IF(O14-C12&gt;$A$1,$A$1,O14-C12)&lt;2,I9,I9*(37-IF(O14-C12&gt;$A$1,$A$1,O14-C12))/36),D16))</f>
        <v xml:space="preserve"> </v>
      </c>
      <c r="C13" s="90" t="str">
        <f>IF(O14&lt;=C12,"X",IF(N14&gt;C12,"must ME","can ME"))</f>
        <v>can ME</v>
      </c>
      <c r="D13" s="75" t="s">
        <v>31</v>
      </c>
      <c r="E13" s="23">
        <v>4</v>
      </c>
      <c r="F13" s="2">
        <v>1</v>
      </c>
      <c r="G13" s="23">
        <f>IF(F14&gt;=90%,2,IF(F14&gt;=80%,4,IF(F14&gt;=70%,6,6)))</f>
        <v>6</v>
      </c>
      <c r="H13" s="3" t="s">
        <v>2</v>
      </c>
      <c r="I13" s="91">
        <f>K14/(100%-IF($A$3="하",$P$8,$P$6)*K16)/K16</f>
        <v>131.48788927335642</v>
      </c>
      <c r="J13" s="92">
        <f>IF("하"=$A$3,$Q$7,$Q$5)</f>
        <v>25</v>
      </c>
      <c r="K13" s="107" t="s">
        <v>33</v>
      </c>
      <c r="L13" s="75" t="s">
        <v>25</v>
      </c>
      <c r="M13" s="76">
        <f>K14</f>
        <v>2375</v>
      </c>
      <c r="N13" s="93" t="s">
        <v>34</v>
      </c>
      <c r="O13" s="93" t="s">
        <v>35</v>
      </c>
    </row>
    <row r="14" spans="1:19" ht="18" customHeight="1" thickTop="1" thickBot="1" x14ac:dyDescent="0.3">
      <c r="A14" s="194"/>
      <c r="B14" s="143"/>
      <c r="C14" s="142" t="str">
        <f>IF(B16="","",IF(B14*36/(37-B16)=0,"",B14*36/(37-B16)))</f>
        <v/>
      </c>
      <c r="D14" s="109" t="str">
        <f>D10</f>
        <v>NU</v>
      </c>
      <c r="E14" s="18">
        <f>IF(C14="",I9,C14)</f>
        <v>131.39654918153664</v>
      </c>
      <c r="F14" s="94">
        <f>100%-J13*IF($A$3="하",$P$8,$P$6)</f>
        <v>0.72249999999999992</v>
      </c>
      <c r="G14" s="7">
        <f t="shared" ref="G14:I15" si="3">F14</f>
        <v>0.72249999999999992</v>
      </c>
      <c r="H14" s="7">
        <f t="shared" si="3"/>
        <v>0.72249999999999992</v>
      </c>
      <c r="I14" s="7">
        <f t="shared" si="3"/>
        <v>0.72249999999999992</v>
      </c>
      <c r="J14" s="8">
        <f>I14</f>
        <v>0.72249999999999992</v>
      </c>
      <c r="K14" s="95">
        <f>F15*F16+G15*G16+H15*H16+I15*I16+J15*J16</f>
        <v>2375</v>
      </c>
      <c r="L14" s="86" t="s">
        <v>27</v>
      </c>
      <c r="M14" s="81">
        <f>M13+M10</f>
        <v>7210.5</v>
      </c>
      <c r="N14" s="90">
        <f>ROUNDDOWN(M12*$N$4,0)</f>
        <v>0</v>
      </c>
      <c r="O14" s="90">
        <f>ROUNDDOWN(M12*$O$4,0)</f>
        <v>3</v>
      </c>
    </row>
    <row r="15" spans="1:19" ht="18" customHeight="1" thickTop="1" thickBot="1" x14ac:dyDescent="0.3">
      <c r="A15" s="194"/>
      <c r="B15" s="141" t="str">
        <f>IF(O14-C12&lt;$A$1," ","1~ "&amp;IF(O14-C12&gt;$A$1,$A$1,O14-C12)&amp;" rep")</f>
        <v xml:space="preserve"> </v>
      </c>
      <c r="C15" s="97" t="s">
        <v>37</v>
      </c>
      <c r="D15" s="98" t="s">
        <v>5</v>
      </c>
      <c r="E15" s="5" t="s">
        <v>3</v>
      </c>
      <c r="F15" s="18">
        <v>95</v>
      </c>
      <c r="G15" s="18">
        <f t="shared" si="3"/>
        <v>95</v>
      </c>
      <c r="H15" s="18">
        <f t="shared" si="3"/>
        <v>95</v>
      </c>
      <c r="I15" s="18">
        <f t="shared" si="3"/>
        <v>95</v>
      </c>
      <c r="J15" s="19">
        <f>I15</f>
        <v>95</v>
      </c>
      <c r="K15" s="74" t="s">
        <v>10</v>
      </c>
      <c r="L15" s="86" t="s">
        <v>28</v>
      </c>
      <c r="M15" s="87">
        <f>K16</f>
        <v>25</v>
      </c>
      <c r="N15" s="93" t="s">
        <v>34</v>
      </c>
      <c r="O15" s="93" t="s">
        <v>35</v>
      </c>
    </row>
    <row r="16" spans="1:19" ht="18" customHeight="1" thickTop="1" thickBot="1" x14ac:dyDescent="0.3">
      <c r="A16" s="195"/>
      <c r="B16" s="144"/>
      <c r="C16" s="90">
        <f>IF(B14="",C12,IF(C14&lt;=0,C12,C12+B16))</f>
        <v>2</v>
      </c>
      <c r="D16" s="100">
        <f>D12</f>
        <v>0.1</v>
      </c>
      <c r="E16" s="13" t="s">
        <v>7</v>
      </c>
      <c r="F16" s="153">
        <v>6</v>
      </c>
      <c r="G16" s="153">
        <v>6</v>
      </c>
      <c r="H16" s="154">
        <v>5</v>
      </c>
      <c r="I16" s="154">
        <f>IF(MROUND((J13-F16-G16-H16)/2,1)&lt;=G13,IF((J13-F16-G16-H16)/2&gt;=E13,MROUND((J13-F16-G16-H16)/2,1),J13-F16-G16-H16),G13)</f>
        <v>4</v>
      </c>
      <c r="J16" s="155">
        <f>IF((J13-(F16+G16+H16+I16))&gt;0,(J13-(F16+G16+H16+I16)),0)</f>
        <v>4</v>
      </c>
      <c r="K16" s="101">
        <f>SUM(F16:J16)</f>
        <v>25</v>
      </c>
      <c r="L16" s="88" t="s">
        <v>30</v>
      </c>
      <c r="M16" s="89">
        <f>M15+M12</f>
        <v>80</v>
      </c>
      <c r="N16" s="90">
        <f>ROUNDDOWN((M12-C12+C16+K16)*$N$4,0)</f>
        <v>0</v>
      </c>
      <c r="O16" s="90">
        <f>ROUNDDOWN((M12+K16-+C16)*$O$4,0)</f>
        <v>5</v>
      </c>
    </row>
    <row r="17" spans="1:15" ht="18" customHeight="1" thickTop="1" thickBot="1" x14ac:dyDescent="0.3">
      <c r="A17" s="193">
        <f t="shared" ref="A17" si="4">IF($M20&lt;IF($A$3="하",$S$8,$S$6),0,IF($M20&gt;IF($A$3="하",$S$7,$S$5),"",MAX(A13+1)))</f>
        <v>0</v>
      </c>
      <c r="B17" s="141" t="str">
        <f>IF(O18-C16&lt;$A$1," ","MAX to "&amp;MROUND(IF(IF(O18-C16&gt;$A$1,$A$1,O18-C16)&lt;2,I13,I13*(37-IF(O18-C16&gt;$A$1,$A$1,O18-C16))/36),D20))</f>
        <v xml:space="preserve"> </v>
      </c>
      <c r="C17" s="90" t="str">
        <f>IF(O18&lt;=C16,"X",IF(N18&gt;C16,"must ME","can ME"))</f>
        <v>can ME</v>
      </c>
      <c r="D17" s="75" t="s">
        <v>31</v>
      </c>
      <c r="E17" s="23">
        <v>4</v>
      </c>
      <c r="F17" s="2">
        <v>1</v>
      </c>
      <c r="G17" s="23">
        <f>IF(F18&gt;=90%,2,IF(F18&gt;=80%,4,IF(F18&gt;=70%,6,6)))</f>
        <v>6</v>
      </c>
      <c r="H17" s="3" t="s">
        <v>2</v>
      </c>
      <c r="I17" s="91">
        <f>K18/(100%-IF($A$3="하",$P$8,$P$6)*K20)/K20</f>
        <v>131.02147417295416</v>
      </c>
      <c r="J17" s="92">
        <f>IF("하"=$A$3,$Q$7,$Q$5)</f>
        <v>25</v>
      </c>
      <c r="K17" s="107" t="s">
        <v>33</v>
      </c>
      <c r="L17" s="75" t="s">
        <v>25</v>
      </c>
      <c r="M17" s="76">
        <f>K18</f>
        <v>2528.4</v>
      </c>
      <c r="N17" s="93" t="s">
        <v>34</v>
      </c>
      <c r="O17" s="93" t="s">
        <v>35</v>
      </c>
    </row>
    <row r="18" spans="1:15" ht="18" customHeight="1" thickTop="1" thickBot="1" x14ac:dyDescent="0.3">
      <c r="A18" s="194"/>
      <c r="B18" s="143">
        <v>125</v>
      </c>
      <c r="C18" s="142">
        <f>IF(B20="","",IF(B18*36/(37-B20)=0,"",B18*36/(37-B20)))</f>
        <v>125</v>
      </c>
      <c r="D18" s="109" t="s">
        <v>52</v>
      </c>
      <c r="E18" s="18">
        <f>IF(C18="",I13,C18)</f>
        <v>125</v>
      </c>
      <c r="F18" s="94">
        <f>100%-J17*IF($A$3="하",$P$8,$P$6)</f>
        <v>0.72249999999999992</v>
      </c>
      <c r="G18" s="7">
        <f t="shared" ref="G18:I19" si="5">F18</f>
        <v>0.72249999999999992</v>
      </c>
      <c r="H18" s="7">
        <f t="shared" si="5"/>
        <v>0.72249999999999992</v>
      </c>
      <c r="I18" s="7">
        <f t="shared" si="5"/>
        <v>0.72249999999999992</v>
      </c>
      <c r="J18" s="8">
        <f>I18</f>
        <v>0.72249999999999992</v>
      </c>
      <c r="K18" s="95">
        <f>F19*F20+G19*G20+H19*H20+I19*I20+J19*J20</f>
        <v>2528.4</v>
      </c>
      <c r="L18" s="86" t="s">
        <v>27</v>
      </c>
      <c r="M18" s="81">
        <f>M17+M14</f>
        <v>9738.9</v>
      </c>
      <c r="N18" s="90">
        <f>ROUNDDOWN(M16*$N$4,0)</f>
        <v>0</v>
      </c>
      <c r="O18" s="90">
        <f>ROUNDDOWN(M16*$O$4,0)</f>
        <v>5</v>
      </c>
    </row>
    <row r="19" spans="1:15" ht="18" customHeight="1" thickTop="1" thickBot="1" x14ac:dyDescent="0.3">
      <c r="A19" s="194"/>
      <c r="B19" s="141" t="str">
        <f>IF(O18-C16&lt;$A$1," ","1~ "&amp;IF(O18-C16&gt;$A$1,$A$1,O18-C16)&amp;" rep")</f>
        <v xml:space="preserve"> </v>
      </c>
      <c r="C19" s="97" t="s">
        <v>37</v>
      </c>
      <c r="D19" s="98" t="s">
        <v>5</v>
      </c>
      <c r="E19" s="5" t="s">
        <v>3</v>
      </c>
      <c r="F19" s="18">
        <f>MROUND(F18*E18,D20)</f>
        <v>90.300000000000011</v>
      </c>
      <c r="G19" s="18">
        <f t="shared" si="5"/>
        <v>90.300000000000011</v>
      </c>
      <c r="H19" s="18">
        <f t="shared" si="5"/>
        <v>90.300000000000011</v>
      </c>
      <c r="I19" s="18">
        <f t="shared" si="5"/>
        <v>90.300000000000011</v>
      </c>
      <c r="J19" s="19">
        <f>I19</f>
        <v>90.300000000000011</v>
      </c>
      <c r="K19" s="74" t="s">
        <v>10</v>
      </c>
      <c r="L19" s="86" t="s">
        <v>28</v>
      </c>
      <c r="M19" s="87">
        <f>K20</f>
        <v>28</v>
      </c>
      <c r="N19" s="93" t="s">
        <v>34</v>
      </c>
      <c r="O19" s="93" t="s">
        <v>35</v>
      </c>
    </row>
    <row r="20" spans="1:15" ht="18" customHeight="1" thickTop="1" thickBot="1" x14ac:dyDescent="0.3">
      <c r="A20" s="195"/>
      <c r="B20" s="144">
        <v>1</v>
      </c>
      <c r="C20" s="90">
        <f>IF(B18="",C16,IF(C18&lt;=0,C16,C16+B20))</f>
        <v>3</v>
      </c>
      <c r="D20" s="100">
        <f>D16</f>
        <v>0.1</v>
      </c>
      <c r="E20" s="13" t="s">
        <v>7</v>
      </c>
      <c r="F20" s="153">
        <v>6</v>
      </c>
      <c r="G20" s="153">
        <v>6</v>
      </c>
      <c r="H20" s="154">
        <v>5</v>
      </c>
      <c r="I20" s="154">
        <v>5</v>
      </c>
      <c r="J20" s="155">
        <v>6</v>
      </c>
      <c r="K20" s="101">
        <f>SUM(F20:J20)</f>
        <v>28</v>
      </c>
      <c r="L20" s="88" t="s">
        <v>30</v>
      </c>
      <c r="M20" s="89">
        <f>M19+M16</f>
        <v>108</v>
      </c>
      <c r="N20" s="90">
        <f>ROUNDDOWN((M16-C16+C20+K20)*$N$4,0)</f>
        <v>1</v>
      </c>
      <c r="O20" s="90">
        <f>ROUNDDOWN((M16+K20-+C20)*$O$4,0)</f>
        <v>7</v>
      </c>
    </row>
    <row r="21" spans="1:15" ht="18" customHeight="1" thickTop="1" thickBot="1" x14ac:dyDescent="0.3">
      <c r="A21" s="193">
        <f>IF($M24&lt;IF($A$3="하",$S$8,$S$6),0,IF($M24&gt;IF($A$3="하",$S$7,$S$5),"",MAX(A17+1)))</f>
        <v>0</v>
      </c>
      <c r="B21" s="141" t="str">
        <f>IF(O22-C20&lt;$A$1," ","MAX to "&amp;MROUND(IF(IF(O22-C20&gt;$A$1,$A$1,O22-C20)&lt;2,I17,I17*(37-IF(O22-C20&gt;$A$1,$A$1,O22-C20))/36),D24))</f>
        <v xml:space="preserve"> </v>
      </c>
      <c r="C21" s="90" t="str">
        <f>IF(O22&lt;=C20,"X",IF(N22&gt;C20,"must ME","can ME"))</f>
        <v>can ME</v>
      </c>
      <c r="D21" s="75" t="s">
        <v>31</v>
      </c>
      <c r="E21" s="23">
        <v>4</v>
      </c>
      <c r="F21" s="2">
        <v>1</v>
      </c>
      <c r="G21" s="23">
        <f>IF(F22&gt;=90%,2,IF(F22&gt;=80%,4,IF(F22&gt;=70%,6,6)))</f>
        <v>6</v>
      </c>
      <c r="H21" s="3" t="s">
        <v>2</v>
      </c>
      <c r="I21" s="91">
        <f>K22/(100%-IF($A$3="하",$P$8,$P$6)*K24)/K24</f>
        <v>131.07266435986162</v>
      </c>
      <c r="J21" s="92">
        <f>IF("하"=$A$3,$Q$7,$Q$5)</f>
        <v>25</v>
      </c>
      <c r="K21" s="107" t="s">
        <v>33</v>
      </c>
      <c r="L21" s="75" t="s">
        <v>25</v>
      </c>
      <c r="M21" s="76">
        <f>K22</f>
        <v>2367.5</v>
      </c>
      <c r="N21" s="93" t="s">
        <v>34</v>
      </c>
      <c r="O21" s="93" t="s">
        <v>35</v>
      </c>
    </row>
    <row r="22" spans="1:15" ht="18" customHeight="1" thickTop="1" thickBot="1" x14ac:dyDescent="0.3">
      <c r="A22" s="194"/>
      <c r="B22" s="143"/>
      <c r="C22" s="142" t="str">
        <f>IF(B24="","",IF(B22*36/(37-B24)=0,"",B22*36/(37-B24)))</f>
        <v/>
      </c>
      <c r="D22" s="109" t="str">
        <f>D18</f>
        <v>CU</v>
      </c>
      <c r="E22" s="18">
        <f>IF(C22="",I17,C22)</f>
        <v>131.02147417295416</v>
      </c>
      <c r="F22" s="94">
        <f>100%-J21*IF($A$3="하",$P$8,$P$6)</f>
        <v>0.72249999999999992</v>
      </c>
      <c r="G22" s="7">
        <f t="shared" ref="G22:I23" si="6">F22</f>
        <v>0.72249999999999992</v>
      </c>
      <c r="H22" s="7">
        <f t="shared" si="6"/>
        <v>0.72249999999999992</v>
      </c>
      <c r="I22" s="7">
        <f t="shared" si="6"/>
        <v>0.72249999999999992</v>
      </c>
      <c r="J22" s="8">
        <f>I22</f>
        <v>0.72249999999999992</v>
      </c>
      <c r="K22" s="95">
        <f>F23*F24+G23*G24+H23*H24+I23*I24+J23*J24</f>
        <v>2367.5</v>
      </c>
      <c r="L22" s="86" t="s">
        <v>27</v>
      </c>
      <c r="M22" s="81">
        <f>M21+M18</f>
        <v>12106.4</v>
      </c>
      <c r="N22" s="90">
        <f>ROUNDDOWN(M20*$N$4,0)</f>
        <v>1</v>
      </c>
      <c r="O22" s="90">
        <f>ROUNDDOWN(M20*$O$4,0)</f>
        <v>7</v>
      </c>
    </row>
    <row r="23" spans="1:15" ht="18" customHeight="1" thickTop="1" thickBot="1" x14ac:dyDescent="0.3">
      <c r="A23" s="194"/>
      <c r="B23" s="141" t="str">
        <f>IF(O22-C20&lt;$A$1," ","1~ "&amp;IF(O22-C20&gt;$A$1,$A$1,O22-C20)&amp;" rep")</f>
        <v xml:space="preserve"> </v>
      </c>
      <c r="C23" s="97" t="s">
        <v>37</v>
      </c>
      <c r="D23" s="98" t="s">
        <v>5</v>
      </c>
      <c r="E23" s="5" t="s">
        <v>3</v>
      </c>
      <c r="F23" s="18">
        <f>MROUND(F22*E22,D24)</f>
        <v>94.7</v>
      </c>
      <c r="G23" s="18">
        <f t="shared" si="6"/>
        <v>94.7</v>
      </c>
      <c r="H23" s="18">
        <f t="shared" si="6"/>
        <v>94.7</v>
      </c>
      <c r="I23" s="18">
        <f t="shared" si="6"/>
        <v>94.7</v>
      </c>
      <c r="J23" s="19">
        <f>I23</f>
        <v>94.7</v>
      </c>
      <c r="K23" s="74" t="s">
        <v>10</v>
      </c>
      <c r="L23" s="86" t="s">
        <v>28</v>
      </c>
      <c r="M23" s="87">
        <f>K24</f>
        <v>25</v>
      </c>
      <c r="N23" s="93" t="s">
        <v>34</v>
      </c>
      <c r="O23" s="93" t="s">
        <v>35</v>
      </c>
    </row>
    <row r="24" spans="1:15" ht="18" customHeight="1" thickTop="1" thickBot="1" x14ac:dyDescent="0.3">
      <c r="A24" s="195"/>
      <c r="B24" s="144"/>
      <c r="C24" s="90">
        <f>IF(B22="",C20,IF(C22&lt;=0,C20,C20+B24))</f>
        <v>3</v>
      </c>
      <c r="D24" s="100">
        <f>D20</f>
        <v>0.1</v>
      </c>
      <c r="E24" s="13" t="s">
        <v>7</v>
      </c>
      <c r="F24" s="103">
        <f xml:space="preserve"> IF($A$3="하",0,IF(MROUND(J21/5,1)&lt;=G21,IF(MROUND(J21/5,1)&gt;=E21,MROUND(J21/5,1),E21),G21))</f>
        <v>5</v>
      </c>
      <c r="G24" s="104">
        <f>IF(MROUND((J21-F24)/4,1)&lt;=G21,IF(MROUND((J21-F24)/4,1)&gt;=E21,MROUND((J21-F24)/4,1),E21),G21)</f>
        <v>5</v>
      </c>
      <c r="H24" s="104">
        <f>IF(MROUND((J21-F24-G24)/3,1)&lt;=G21,IF(MROUND((J21-F24-G24)/3,1)&gt;=E21,MROUND((J21-F24-G24)/3,1),E21),G21)</f>
        <v>5</v>
      </c>
      <c r="I24" s="104">
        <f>IF(MROUND((J21-F24-G24-H24)/2,1)&lt;=G21,IF((J21-F24-G24-H24)/2&gt;=E21,MROUND((J21-F24-G24-H24)/2,1),J21-F24-G24-H24),G21)</f>
        <v>5</v>
      </c>
      <c r="J24" s="105">
        <f>IF((J21-(F24+G24+H24+I24))&gt;0,(J21-(F24+G24+H24+I24)),0)</f>
        <v>5</v>
      </c>
      <c r="K24" s="101">
        <f>SUM(F24:J24)</f>
        <v>25</v>
      </c>
      <c r="L24" s="88" t="s">
        <v>30</v>
      </c>
      <c r="M24" s="89">
        <f>M23+M20</f>
        <v>133</v>
      </c>
      <c r="N24" s="90">
        <f>ROUNDDOWN((M20-C20+C24+K24)*$N$4,0)</f>
        <v>1</v>
      </c>
      <c r="O24" s="90">
        <f>ROUNDDOWN((M20+K24-+C24)*$O$4,0)</f>
        <v>9</v>
      </c>
    </row>
    <row r="25" spans="1:15" ht="18" customHeight="1" thickTop="1" thickBot="1" x14ac:dyDescent="0.3">
      <c r="A25" s="193">
        <f>IF($M28&lt;IF($A$3="하",$S$8,$S$6),0,IF($M28&gt;IF($A$3="하",$S$7,$S$5),"",MAX(A21+1)))</f>
        <v>1</v>
      </c>
      <c r="B25" s="141" t="str">
        <f>IF(O26-C24&lt;$A$1," ","MAX to "&amp;MROUND(IF(IF(O26-C24&gt;$A$1,$A$1,O26-C24)&lt;2,I21,I21*(37-IF(O26-C24&gt;$A$1,$A$1,O26-C24))/36),D28))</f>
        <v>MAX to 116.5</v>
      </c>
      <c r="C25" s="90" t="str">
        <f>IF(O26&lt;=C24,"X",IF(N26&gt;C24,"must ME","can ME"))</f>
        <v>can ME</v>
      </c>
      <c r="D25" s="75" t="s">
        <v>31</v>
      </c>
      <c r="E25" s="23">
        <v>4</v>
      </c>
      <c r="F25" s="2">
        <v>1</v>
      </c>
      <c r="G25" s="23">
        <f>IF(F26&gt;=90%,2,IF(F26&gt;=80%,4,IF(F26&gt;=70%,6,6)))</f>
        <v>6</v>
      </c>
      <c r="H25" s="3" t="s">
        <v>2</v>
      </c>
      <c r="I25" s="91">
        <f>K26/(100%-IF($A$3="하",$P$8,$P$6)*K28)/K28</f>
        <v>131.07266435986162</v>
      </c>
      <c r="J25" s="92">
        <f>IF("하"=$A$3,$Q$7,$Q$5)</f>
        <v>25</v>
      </c>
      <c r="K25" s="107" t="s">
        <v>33</v>
      </c>
      <c r="L25" s="75" t="s">
        <v>25</v>
      </c>
      <c r="M25" s="76">
        <f>K26</f>
        <v>2367.5</v>
      </c>
      <c r="N25" s="93" t="s">
        <v>34</v>
      </c>
      <c r="O25" s="93" t="s">
        <v>35</v>
      </c>
    </row>
    <row r="26" spans="1:15" ht="18" customHeight="1" thickTop="1" thickBot="1" x14ac:dyDescent="0.3">
      <c r="A26" s="194"/>
      <c r="B26" s="143"/>
      <c r="C26" s="142" t="str">
        <f>IF(B28="","",IF(B26*36/(37-B28)=0,"",B26*36/(37-B28)))</f>
        <v/>
      </c>
      <c r="D26" s="109" t="str">
        <f>D22</f>
        <v>CU</v>
      </c>
      <c r="E26" s="18">
        <f>IF(C26="",I21,C26)</f>
        <v>131.07266435986162</v>
      </c>
      <c r="F26" s="94">
        <f>100%-J25*IF($A$3="하",$P$8,$P$6)</f>
        <v>0.72249999999999992</v>
      </c>
      <c r="G26" s="7">
        <f t="shared" ref="G26:I27" si="7">F26</f>
        <v>0.72249999999999992</v>
      </c>
      <c r="H26" s="7">
        <f t="shared" si="7"/>
        <v>0.72249999999999992</v>
      </c>
      <c r="I26" s="7">
        <f t="shared" si="7"/>
        <v>0.72249999999999992</v>
      </c>
      <c r="J26" s="8">
        <f>I26</f>
        <v>0.72249999999999992</v>
      </c>
      <c r="K26" s="95">
        <f>F27*F28+G27*G28+H27*H28+I27*I28+J27*J28</f>
        <v>2367.5</v>
      </c>
      <c r="L26" s="86" t="s">
        <v>27</v>
      </c>
      <c r="M26" s="81">
        <f>M25+M22</f>
        <v>14473.9</v>
      </c>
      <c r="N26" s="90">
        <f>ROUNDDOWN(M24*$N$4,0)</f>
        <v>1</v>
      </c>
      <c r="O26" s="90">
        <f>ROUNDDOWN(M24*$O$4,0)</f>
        <v>9</v>
      </c>
    </row>
    <row r="27" spans="1:15" ht="18" customHeight="1" thickTop="1" thickBot="1" x14ac:dyDescent="0.3">
      <c r="A27" s="194"/>
      <c r="B27" s="141" t="str">
        <f>IF(O26-C24&lt;$A$1," ","1~ "&amp;IF(O26-C24&gt;$A$1,$A$1,O26-C24)&amp;" rep")</f>
        <v>1~ 5 rep</v>
      </c>
      <c r="C27" s="97" t="s">
        <v>37</v>
      </c>
      <c r="D27" s="98" t="s">
        <v>5</v>
      </c>
      <c r="E27" s="5" t="s">
        <v>3</v>
      </c>
      <c r="F27" s="18">
        <f>MROUND(F26*E26,D28)</f>
        <v>94.7</v>
      </c>
      <c r="G27" s="18">
        <f t="shared" si="7"/>
        <v>94.7</v>
      </c>
      <c r="H27" s="18">
        <f t="shared" si="7"/>
        <v>94.7</v>
      </c>
      <c r="I27" s="18">
        <f t="shared" si="7"/>
        <v>94.7</v>
      </c>
      <c r="J27" s="19">
        <f>I27</f>
        <v>94.7</v>
      </c>
      <c r="K27" s="74" t="s">
        <v>10</v>
      </c>
      <c r="L27" s="86" t="s">
        <v>28</v>
      </c>
      <c r="M27" s="87">
        <f>K28</f>
        <v>25</v>
      </c>
      <c r="N27" s="93" t="s">
        <v>34</v>
      </c>
      <c r="O27" s="93" t="s">
        <v>35</v>
      </c>
    </row>
    <row r="28" spans="1:15" ht="18" customHeight="1" thickTop="1" thickBot="1" x14ac:dyDescent="0.3">
      <c r="A28" s="195"/>
      <c r="B28" s="144"/>
      <c r="C28" s="90">
        <f>IF(B26="",C24,IF(C26&lt;=0,C24,C24+B28))</f>
        <v>3</v>
      </c>
      <c r="D28" s="100">
        <f>D24</f>
        <v>0.1</v>
      </c>
      <c r="E28" s="13" t="s">
        <v>7</v>
      </c>
      <c r="F28" s="103">
        <f xml:space="preserve"> IF($A$3="하",0,IF(MROUND(J25/5,1)&lt;=G25,IF(MROUND(J25/5,1)&gt;=E25,MROUND(J25/5,1),E25),G25))</f>
        <v>5</v>
      </c>
      <c r="G28" s="104">
        <f>IF(MROUND((J25-F28)/4,1)&lt;=G25,IF(MROUND((J25-F28)/4,1)&gt;=E25,MROUND((J25-F28)/4,1),E25),G25)</f>
        <v>5</v>
      </c>
      <c r="H28" s="104">
        <f>IF(MROUND((J25-F28-G28)/3,1)&lt;=G25,IF(MROUND((J25-F28-G28)/3,1)&gt;=E25,MROUND((J25-F28-G28)/3,1),E25),G25)</f>
        <v>5</v>
      </c>
      <c r="I28" s="104">
        <f>IF(MROUND((J25-F28-G28-H28)/2,1)&lt;=G25,IF((J25-F28-G28-H28)/2&gt;=E25,MROUND((J25-F28-G28-H28)/2,1),J25-F28-G28-H28),G25)</f>
        <v>5</v>
      </c>
      <c r="J28" s="105">
        <f>IF((J25-(F28+G28+H28+I28))&gt;0,(J25-(F28+G28+H28+I28)),0)</f>
        <v>5</v>
      </c>
      <c r="K28" s="101">
        <f>SUM(F28:J28)</f>
        <v>25</v>
      </c>
      <c r="L28" s="88" t="s">
        <v>30</v>
      </c>
      <c r="M28" s="89">
        <f>M27+M24</f>
        <v>158</v>
      </c>
      <c r="N28" s="90">
        <f>ROUNDDOWN((M24-C24+C28+K28)*$N$4,0)</f>
        <v>1</v>
      </c>
      <c r="O28" s="90">
        <f>ROUNDDOWN((M24+K28-+C28)*$O$4,0)</f>
        <v>10</v>
      </c>
    </row>
    <row r="29" spans="1:15" ht="18" customHeight="1" thickTop="1" thickBot="1" x14ac:dyDescent="0.3">
      <c r="A29" s="193">
        <f>IF($M32&lt;IF($A$3="하",$S$8,$S$6),0,IF($M32&gt;IF($A$3="하",$S$7,$S$5),"",MAX(A25+1)))</f>
        <v>2</v>
      </c>
      <c r="B29" s="141" t="str">
        <f>IF(O30-C28&lt;$A$1," ","MAX to "&amp;MROUND(IF(IF(O30-C28&gt;$A$1,$A$1,O30-C28)&lt;2,I25,I25*(37-IF(O30-C28&gt;$A$1,$A$1,O30-C28))/36),D32))</f>
        <v>MAX to 116.5</v>
      </c>
      <c r="C29" s="90" t="str">
        <f>IF(O30&lt;=C28,"X",IF(N30&gt;C28,"must ME","can ME"))</f>
        <v>can ME</v>
      </c>
      <c r="D29" s="75" t="s">
        <v>31</v>
      </c>
      <c r="E29" s="23">
        <v>4</v>
      </c>
      <c r="F29" s="2">
        <v>1</v>
      </c>
      <c r="G29" s="23">
        <f>IF(F30&gt;=90%,2,IF(F30&gt;=80%,4,IF(F30&gt;=70%,6,6)))</f>
        <v>6</v>
      </c>
      <c r="H29" s="3" t="s">
        <v>2</v>
      </c>
      <c r="I29" s="91">
        <f>K30/(100%-IF($A$3="하",$P$8,$P$6)*K32)/K32</f>
        <v>131.07266435986162</v>
      </c>
      <c r="J29" s="92">
        <f>IF("하"=$A$3,$Q$7,$Q$5)</f>
        <v>25</v>
      </c>
      <c r="K29" s="107" t="s">
        <v>33</v>
      </c>
      <c r="L29" s="75" t="s">
        <v>25</v>
      </c>
      <c r="M29" s="76">
        <f>K30</f>
        <v>2367.5</v>
      </c>
      <c r="N29" s="93" t="s">
        <v>34</v>
      </c>
      <c r="O29" s="93" t="s">
        <v>35</v>
      </c>
    </row>
    <row r="30" spans="1:15" ht="18" customHeight="1" thickTop="1" thickBot="1" x14ac:dyDescent="0.3">
      <c r="A30" s="194"/>
      <c r="B30" s="143"/>
      <c r="C30" s="142" t="str">
        <f>IF(B32="","",IF(B30*36/(37-B32)=0,"",B30*36/(37-B32)))</f>
        <v/>
      </c>
      <c r="D30" s="109" t="str">
        <f>D26</f>
        <v>CU</v>
      </c>
      <c r="E30" s="18">
        <f>IF(C30="",I25,C30)</f>
        <v>131.07266435986162</v>
      </c>
      <c r="F30" s="94">
        <f>100%-J29*IF($A$3="하",$P$8,$P$6)</f>
        <v>0.72249999999999992</v>
      </c>
      <c r="G30" s="7">
        <f t="shared" ref="G30:I31" si="8">F30</f>
        <v>0.72249999999999992</v>
      </c>
      <c r="H30" s="7">
        <f t="shared" si="8"/>
        <v>0.72249999999999992</v>
      </c>
      <c r="I30" s="7">
        <f t="shared" si="8"/>
        <v>0.72249999999999992</v>
      </c>
      <c r="J30" s="8">
        <f>I30</f>
        <v>0.72249999999999992</v>
      </c>
      <c r="K30" s="95">
        <f>F31*F32+G31*G32+H31*H32+I31*I32+J31*J32</f>
        <v>2367.5</v>
      </c>
      <c r="L30" s="86" t="s">
        <v>27</v>
      </c>
      <c r="M30" s="81">
        <f>M29+M26</f>
        <v>16841.400000000001</v>
      </c>
      <c r="N30" s="90">
        <f>ROUNDDOWN(M28*$N$4,0)</f>
        <v>1</v>
      </c>
      <c r="O30" s="90">
        <f>ROUNDDOWN(M28*$O$4,0)</f>
        <v>11</v>
      </c>
    </row>
    <row r="31" spans="1:15" ht="18" customHeight="1" thickTop="1" thickBot="1" x14ac:dyDescent="0.3">
      <c r="A31" s="194"/>
      <c r="B31" s="141" t="str">
        <f>IF(O30-C28&lt;$A$1," ","1~ "&amp;IF(O30-C28&gt;$A$1,$A$1,O30-C28)&amp;" rep")</f>
        <v>1~ 5 rep</v>
      </c>
      <c r="C31" s="97" t="s">
        <v>37</v>
      </c>
      <c r="D31" s="98" t="s">
        <v>5</v>
      </c>
      <c r="E31" s="5" t="s">
        <v>3</v>
      </c>
      <c r="F31" s="18">
        <f>MROUND(F30*E30,D32)</f>
        <v>94.7</v>
      </c>
      <c r="G31" s="18">
        <f t="shared" si="8"/>
        <v>94.7</v>
      </c>
      <c r="H31" s="18">
        <f t="shared" si="8"/>
        <v>94.7</v>
      </c>
      <c r="I31" s="18">
        <f t="shared" si="8"/>
        <v>94.7</v>
      </c>
      <c r="J31" s="19">
        <f>I31</f>
        <v>94.7</v>
      </c>
      <c r="K31" s="74" t="s">
        <v>10</v>
      </c>
      <c r="L31" s="86" t="s">
        <v>28</v>
      </c>
      <c r="M31" s="87">
        <f>K32</f>
        <v>25</v>
      </c>
      <c r="N31" s="93" t="s">
        <v>34</v>
      </c>
      <c r="O31" s="93" t="s">
        <v>35</v>
      </c>
    </row>
    <row r="32" spans="1:15" ht="18" customHeight="1" thickTop="1" thickBot="1" x14ac:dyDescent="0.3">
      <c r="A32" s="195"/>
      <c r="B32" s="144"/>
      <c r="C32" s="90">
        <f>IF(B30="",C28,IF(C30&lt;=0,C28,C28+B32))</f>
        <v>3</v>
      </c>
      <c r="D32" s="100">
        <f>D28</f>
        <v>0.1</v>
      </c>
      <c r="E32" s="13" t="s">
        <v>7</v>
      </c>
      <c r="F32" s="103">
        <f xml:space="preserve"> IF($A$3="하",0,IF(MROUND(J29/5,1)&lt;=G29,IF(MROUND(J29/5,1)&gt;=E29,MROUND(J29/5,1),E29),G29))</f>
        <v>5</v>
      </c>
      <c r="G32" s="104">
        <f>IF(MROUND((J29-F32)/4,1)&lt;=G29,IF(MROUND((J29-F32)/4,1)&gt;=E29,MROUND((J29-F32)/4,1),E29),G29)</f>
        <v>5</v>
      </c>
      <c r="H32" s="104">
        <f>IF(MROUND((J29-F32-G32)/3,1)&lt;=G29,IF(MROUND((J29-F32-G32)/3,1)&gt;=E29,MROUND((J29-F32-G32)/3,1),E29),G29)</f>
        <v>5</v>
      </c>
      <c r="I32" s="104">
        <f>IF(MROUND((J29-F32-G32-H32)/2,1)&lt;=G29,IF((J29-F32-G32-H32)/2&gt;=E29,MROUND((J29-F32-G32-H32)/2,1),J29-F32-G32-H32),G29)</f>
        <v>5</v>
      </c>
      <c r="J32" s="105">
        <f>IF((J29-(F32+G32+H32+I32))&gt;0,(J29-(F32+G32+H32+I32)),0)</f>
        <v>5</v>
      </c>
      <c r="K32" s="101">
        <f>SUM(F32:J32)</f>
        <v>25</v>
      </c>
      <c r="L32" s="88" t="s">
        <v>30</v>
      </c>
      <c r="M32" s="89">
        <f>M31+M28</f>
        <v>183</v>
      </c>
      <c r="N32" s="90">
        <f>ROUNDDOWN((M28-C28+C32+K32)*$N$4,0)</f>
        <v>1</v>
      </c>
      <c r="O32" s="90">
        <f>ROUNDDOWN((M28+K32-+C32)*$O$4,0)</f>
        <v>12</v>
      </c>
    </row>
    <row r="33" spans="1:15" ht="18" customHeight="1" thickTop="1" thickBot="1" x14ac:dyDescent="0.3">
      <c r="A33" s="193">
        <f>IF($M36&lt;IF($A$3="하",$S$8,$S$6),0,IF($M36&gt;IF($A$3="하",$S$7,$S$5),"",MAX(A29+1)))</f>
        <v>3</v>
      </c>
      <c r="B33" s="141" t="str">
        <f>IF(O34-C32&lt;$A$1," ","MAX to "&amp;MROUND(IF(IF(O34-C32&gt;$A$1,$A$1,O34-C32)&lt;2,I29,I29*(37-IF(O34-C32&gt;$A$1,$A$1,O34-C32))/36),D36))</f>
        <v>MAX to 116.5</v>
      </c>
      <c r="C33" s="90" t="str">
        <f>IF(O34&lt;=C32,"X",IF(N34&gt;C32,"must ME","can ME"))</f>
        <v>can ME</v>
      </c>
      <c r="D33" s="75" t="s">
        <v>31</v>
      </c>
      <c r="E33" s="23">
        <v>4</v>
      </c>
      <c r="F33" s="2">
        <v>1</v>
      </c>
      <c r="G33" s="23">
        <f>IF(F34&gt;=90%,2,IF(F34&gt;=80%,4,IF(F34&gt;=70%,6,6)))</f>
        <v>6</v>
      </c>
      <c r="H33" s="3" t="s">
        <v>2</v>
      </c>
      <c r="I33" s="91">
        <f>K34/(100%-IF($A$3="하",$P$8,$P$6)*K36)/K36</f>
        <v>131.07266435986162</v>
      </c>
      <c r="J33" s="92">
        <f>IF("하"=$A$3,$Q$7,$Q$5)</f>
        <v>25</v>
      </c>
      <c r="K33" s="107" t="s">
        <v>33</v>
      </c>
      <c r="L33" s="75" t="s">
        <v>25</v>
      </c>
      <c r="M33" s="76">
        <f>K34</f>
        <v>2367.5</v>
      </c>
      <c r="N33" s="93" t="s">
        <v>34</v>
      </c>
      <c r="O33" s="93" t="s">
        <v>35</v>
      </c>
    </row>
    <row r="34" spans="1:15" ht="18" customHeight="1" thickTop="1" thickBot="1" x14ac:dyDescent="0.3">
      <c r="A34" s="194"/>
      <c r="B34" s="143"/>
      <c r="C34" s="142" t="str">
        <f>IF(B36="","",IF(B34*36/(37-B36)=0,"",B34*36/(37-B36)))</f>
        <v/>
      </c>
      <c r="D34" s="109" t="str">
        <f>D30</f>
        <v>CU</v>
      </c>
      <c r="E34" s="18">
        <f>IF(C34="",I29,C34)</f>
        <v>131.07266435986162</v>
      </c>
      <c r="F34" s="94">
        <f>100%-J33*IF($A$3="하",$P$8,$P$6)</f>
        <v>0.72249999999999992</v>
      </c>
      <c r="G34" s="7">
        <f t="shared" ref="G34:I35" si="9">F34</f>
        <v>0.72249999999999992</v>
      </c>
      <c r="H34" s="7">
        <f t="shared" si="9"/>
        <v>0.72249999999999992</v>
      </c>
      <c r="I34" s="7">
        <f t="shared" si="9"/>
        <v>0.72249999999999992</v>
      </c>
      <c r="J34" s="8">
        <f>I34</f>
        <v>0.72249999999999992</v>
      </c>
      <c r="K34" s="95">
        <f>F35*F36+G35*G36+H35*H36+I35*I36+J35*J36</f>
        <v>2367.5</v>
      </c>
      <c r="L34" s="86" t="s">
        <v>27</v>
      </c>
      <c r="M34" s="81">
        <f>M33+M30</f>
        <v>19208.900000000001</v>
      </c>
      <c r="N34" s="90">
        <f>ROUNDDOWN(M32*$N$4,0)</f>
        <v>1</v>
      </c>
      <c r="O34" s="90">
        <f>ROUNDDOWN(M32*$O$4,0)</f>
        <v>12</v>
      </c>
    </row>
    <row r="35" spans="1:15" ht="18" customHeight="1" thickTop="1" thickBot="1" x14ac:dyDescent="0.3">
      <c r="A35" s="194"/>
      <c r="B35" s="141" t="str">
        <f>IF(O34-C32&lt;$A$1," ","1~ "&amp;IF(O34-C32&gt;$A$1,$A$1,O34-C32)&amp;" rep")</f>
        <v>1~ 5 rep</v>
      </c>
      <c r="C35" s="97" t="s">
        <v>37</v>
      </c>
      <c r="D35" s="98" t="s">
        <v>5</v>
      </c>
      <c r="E35" s="5" t="s">
        <v>3</v>
      </c>
      <c r="F35" s="18">
        <f>MROUND(F34*E34,D36)</f>
        <v>94.7</v>
      </c>
      <c r="G35" s="18">
        <f t="shared" si="9"/>
        <v>94.7</v>
      </c>
      <c r="H35" s="18">
        <f t="shared" si="9"/>
        <v>94.7</v>
      </c>
      <c r="I35" s="18">
        <f t="shared" si="9"/>
        <v>94.7</v>
      </c>
      <c r="J35" s="19">
        <f>I35</f>
        <v>94.7</v>
      </c>
      <c r="K35" s="74" t="s">
        <v>10</v>
      </c>
      <c r="L35" s="86" t="s">
        <v>28</v>
      </c>
      <c r="M35" s="87">
        <f>K36</f>
        <v>25</v>
      </c>
      <c r="N35" s="93" t="s">
        <v>34</v>
      </c>
      <c r="O35" s="93" t="s">
        <v>35</v>
      </c>
    </row>
    <row r="36" spans="1:15" ht="18" customHeight="1" thickTop="1" thickBot="1" x14ac:dyDescent="0.3">
      <c r="A36" s="195"/>
      <c r="B36" s="144"/>
      <c r="C36" s="90">
        <f>IF(B34="",C32,IF(C34&lt;=0,C32,C32+B36))</f>
        <v>3</v>
      </c>
      <c r="D36" s="100">
        <f>D32</f>
        <v>0.1</v>
      </c>
      <c r="E36" s="13" t="s">
        <v>7</v>
      </c>
      <c r="F36" s="103">
        <f xml:space="preserve"> IF($A$3="하",0,IF(MROUND(J33/5,1)&lt;=G33,IF(MROUND(J33/5,1)&gt;=E33,MROUND(J33/5,1),E33),G33))</f>
        <v>5</v>
      </c>
      <c r="G36" s="104">
        <f>IF(MROUND((J33-F36)/4,1)&lt;=G33,IF(MROUND((J33-F36)/4,1)&gt;=E33,MROUND((J33-F36)/4,1),E33),G33)</f>
        <v>5</v>
      </c>
      <c r="H36" s="104">
        <f>IF(MROUND((J33-F36-G36)/3,1)&lt;=G33,IF(MROUND((J33-F36-G36)/3,1)&gt;=E33,MROUND((J33-F36-G36)/3,1),E33),G33)</f>
        <v>5</v>
      </c>
      <c r="I36" s="104">
        <f>IF(MROUND((J33-F36-G36-H36)/2,1)&lt;=G33,IF((J33-F36-G36-H36)/2&gt;=E33,MROUND((J33-F36-G36-H36)/2,1),J33-F36-G36-H36),G33)</f>
        <v>5</v>
      </c>
      <c r="J36" s="105">
        <f>IF((J33-(F36+G36+H36+I36))&gt;0,(J33-(F36+G36+H36+I36)),0)</f>
        <v>5</v>
      </c>
      <c r="K36" s="101">
        <f>SUM(F36:J36)</f>
        <v>25</v>
      </c>
      <c r="L36" s="88" t="s">
        <v>30</v>
      </c>
      <c r="M36" s="89">
        <f>M35+M32</f>
        <v>208</v>
      </c>
      <c r="N36" s="90">
        <f>ROUNDDOWN((M32-C32+C36+K36)*$N$4,0)</f>
        <v>2</v>
      </c>
      <c r="O36" s="90">
        <f>ROUNDDOWN((M32+K36-+C36)*$O$4,0)</f>
        <v>14</v>
      </c>
    </row>
    <row r="37" spans="1:15" ht="18" customHeight="1" thickTop="1" thickBot="1" x14ac:dyDescent="0.3">
      <c r="A37" s="193" t="str">
        <f t="shared" ref="A37" si="10">IF($M40&lt;IF($A$3="하",$S$8,$S$6),0,IF($M40&gt;IF($A$3="하",$S$7,$S$5),"",MAX(A33+1)))</f>
        <v/>
      </c>
      <c r="B37" s="141" t="str">
        <f>IF(O38-C36&lt;$A$1," ","MAX to "&amp;MROUND(IF(IF(O38-C36&gt;$A$1,$A$1,O38-C36)&lt;2,I33,I33*(37-IF(O38-C36&gt;$A$1,$A$1,O38-C36))/36),D40))</f>
        <v>MAX to 116.5</v>
      </c>
      <c r="C37" s="90" t="str">
        <f>IF(O38&lt;=C36,"X",IF(N38&gt;C36,"must ME","can ME"))</f>
        <v>can ME</v>
      </c>
      <c r="D37" s="75" t="s">
        <v>31</v>
      </c>
      <c r="E37" s="23">
        <v>4</v>
      </c>
      <c r="F37" s="2">
        <v>1</v>
      </c>
      <c r="G37" s="23">
        <f>IF(F38&gt;=90%,2,IF(F38&gt;=80%,4,IF(F38&gt;=70%,6,6)))</f>
        <v>6</v>
      </c>
      <c r="H37" s="3" t="s">
        <v>2</v>
      </c>
      <c r="I37" s="91">
        <f>K38/(100%-IF($A$3="하",$P$8,$P$6)*K40)/K40</f>
        <v>131.07266435986162</v>
      </c>
      <c r="J37" s="92">
        <f>IF("하"=$A$3,$Q$7,$Q$5)</f>
        <v>25</v>
      </c>
      <c r="K37" s="107" t="s">
        <v>33</v>
      </c>
      <c r="L37" s="75" t="s">
        <v>25</v>
      </c>
      <c r="M37" s="76">
        <f>K38</f>
        <v>2367.5</v>
      </c>
      <c r="N37" s="93" t="s">
        <v>34</v>
      </c>
      <c r="O37" s="93" t="s">
        <v>35</v>
      </c>
    </row>
    <row r="38" spans="1:15" ht="18" customHeight="1" thickTop="1" thickBot="1" x14ac:dyDescent="0.3">
      <c r="A38" s="194"/>
      <c r="B38" s="143"/>
      <c r="C38" s="142" t="str">
        <f>IF(B40="","",IF(B38*36/(37-B40)=0,"",B38*36/(37-B40)))</f>
        <v/>
      </c>
      <c r="D38" s="109" t="str">
        <f>D34</f>
        <v>CU</v>
      </c>
      <c r="E38" s="18">
        <f>IF(C38="",I33,C38)</f>
        <v>131.07266435986162</v>
      </c>
      <c r="F38" s="94">
        <f>100%-J37*IF($A$3="하",$P$8,$P$6)</f>
        <v>0.72249999999999992</v>
      </c>
      <c r="G38" s="7">
        <f t="shared" ref="G38:I39" si="11">F38</f>
        <v>0.72249999999999992</v>
      </c>
      <c r="H38" s="7">
        <f t="shared" si="11"/>
        <v>0.72249999999999992</v>
      </c>
      <c r="I38" s="7">
        <f t="shared" si="11"/>
        <v>0.72249999999999992</v>
      </c>
      <c r="J38" s="8">
        <f>I38</f>
        <v>0.72249999999999992</v>
      </c>
      <c r="K38" s="95">
        <f>F39*F40+G39*G40+H39*H40+I39*I40+J39*J40</f>
        <v>2367.5</v>
      </c>
      <c r="L38" s="86" t="s">
        <v>27</v>
      </c>
      <c r="M38" s="81">
        <f>M37+M34</f>
        <v>21576.400000000001</v>
      </c>
      <c r="N38" s="90">
        <f>ROUNDDOWN(M36*$N$4,0)</f>
        <v>2</v>
      </c>
      <c r="O38" s="90">
        <f>ROUNDDOWN(M36*$O$4,0)</f>
        <v>14</v>
      </c>
    </row>
    <row r="39" spans="1:15" ht="18" customHeight="1" thickTop="1" thickBot="1" x14ac:dyDescent="0.3">
      <c r="A39" s="194"/>
      <c r="B39" s="141" t="str">
        <f>IF(O38-C36&lt;$A$1," ","1~ "&amp;IF(O38-C36&gt;$A$1,$A$1,O38-C36)&amp;" rep")</f>
        <v>1~ 5 rep</v>
      </c>
      <c r="C39" s="97" t="s">
        <v>37</v>
      </c>
      <c r="D39" s="98" t="s">
        <v>5</v>
      </c>
      <c r="E39" s="5" t="s">
        <v>3</v>
      </c>
      <c r="F39" s="18">
        <f>MROUND(F38*E38,D40)</f>
        <v>94.7</v>
      </c>
      <c r="G39" s="18">
        <f t="shared" si="11"/>
        <v>94.7</v>
      </c>
      <c r="H39" s="18">
        <f t="shared" si="11"/>
        <v>94.7</v>
      </c>
      <c r="I39" s="18">
        <f t="shared" si="11"/>
        <v>94.7</v>
      </c>
      <c r="J39" s="19">
        <f>I39</f>
        <v>94.7</v>
      </c>
      <c r="K39" s="74" t="s">
        <v>10</v>
      </c>
      <c r="L39" s="86" t="s">
        <v>28</v>
      </c>
      <c r="M39" s="87">
        <f>K40</f>
        <v>25</v>
      </c>
      <c r="N39" s="93" t="s">
        <v>34</v>
      </c>
      <c r="O39" s="93" t="s">
        <v>35</v>
      </c>
    </row>
    <row r="40" spans="1:15" ht="18" customHeight="1" thickTop="1" thickBot="1" x14ac:dyDescent="0.3">
      <c r="A40" s="195"/>
      <c r="B40" s="144"/>
      <c r="C40" s="90">
        <f>IF(B38="",C36,IF(C38&lt;=0,C36,C36+B40))</f>
        <v>3</v>
      </c>
      <c r="D40" s="100">
        <f>D36</f>
        <v>0.1</v>
      </c>
      <c r="E40" s="13" t="s">
        <v>7</v>
      </c>
      <c r="F40" s="103">
        <f xml:space="preserve"> IF($A$3="하",0,IF(MROUND(J37/5,1)&lt;=G37,IF(MROUND(J37/5,1)&gt;=E37,MROUND(J37/5,1),E37),G37))</f>
        <v>5</v>
      </c>
      <c r="G40" s="104">
        <f>IF(MROUND((J37-F40)/4,1)&lt;=G37,IF(MROUND((J37-F40)/4,1)&gt;=E37,MROUND((J37-F40)/4,1),E37),G37)</f>
        <v>5</v>
      </c>
      <c r="H40" s="104">
        <f>IF(MROUND((J37-F40-G40)/3,1)&lt;=G37,IF(MROUND((J37-F40-G40)/3,1)&gt;=E37,MROUND((J37-F40-G40)/3,1),E37),G37)</f>
        <v>5</v>
      </c>
      <c r="I40" s="104">
        <f>IF(MROUND((J37-F40-G40-H40)/2,1)&lt;=G37,IF((J37-F40-G40-H40)/2&gt;=E37,MROUND((J37-F40-G40-H40)/2,1),J37-F40-G40-H40),G37)</f>
        <v>5</v>
      </c>
      <c r="J40" s="105">
        <f>IF((J37-(F40+G40+H40+I40))&gt;0,(J37-(F40+G40+H40+I40)),0)</f>
        <v>5</v>
      </c>
      <c r="K40" s="101">
        <f>SUM(F40:J40)</f>
        <v>25</v>
      </c>
      <c r="L40" s="88" t="s">
        <v>30</v>
      </c>
      <c r="M40" s="89">
        <f>M39+M36</f>
        <v>233</v>
      </c>
      <c r="N40" s="90">
        <f>ROUNDDOWN((M36-C36+C40+K40)*$N$4,0)</f>
        <v>2</v>
      </c>
      <c r="O40" s="90">
        <f>ROUNDDOWN((M36+K40-+C40)*$O$4,0)</f>
        <v>16</v>
      </c>
    </row>
    <row r="41" spans="1:15" ht="18" customHeight="1" thickTop="1" thickBot="1" x14ac:dyDescent="0.3">
      <c r="A41" s="193" t="str">
        <f t="shared" ref="A41" si="12">IF($M44&lt;IF($A$3="하",$S$8,$S$6),0,IF($M44&gt;IF($A$3="하",$S$7,$S$5),"",MAX(A37+1)))</f>
        <v/>
      </c>
      <c r="B41" s="141" t="str">
        <f>IF(O42-C40&lt;$A$1," ","MAX to "&amp;MROUND(IF(IF(O42-C40&gt;$A$1,$A$1,O42-C40)&lt;2,I37,I37*(37-IF(O42-C40&gt;$A$1,$A$1,O42-C40))/36),D44))</f>
        <v>MAX to 116.5</v>
      </c>
      <c r="C41" s="90" t="str">
        <f>IF(O42&lt;=C40,"X",IF(N42&gt;C40,"must ME","can ME"))</f>
        <v>can ME</v>
      </c>
      <c r="D41" s="75" t="s">
        <v>31</v>
      </c>
      <c r="E41" s="23">
        <v>4</v>
      </c>
      <c r="F41" s="2">
        <v>1</v>
      </c>
      <c r="G41" s="23">
        <f>IF(F42&gt;=90%,2,IF(F42&gt;=80%,4,IF(F42&gt;=70%,6,6)))</f>
        <v>6</v>
      </c>
      <c r="H41" s="3" t="s">
        <v>2</v>
      </c>
      <c r="I41" s="91">
        <f>K42/(100%-IF($A$3="하",$P$8,$P$6)*K44)/K44</f>
        <v>131.07266435986162</v>
      </c>
      <c r="J41" s="92">
        <f>IF("하"=$A$3,$Q$7,$Q$5)</f>
        <v>25</v>
      </c>
      <c r="K41" s="107" t="s">
        <v>33</v>
      </c>
      <c r="L41" s="75" t="s">
        <v>25</v>
      </c>
      <c r="M41" s="76">
        <f>K42</f>
        <v>2367.5</v>
      </c>
      <c r="N41" s="93" t="s">
        <v>34</v>
      </c>
      <c r="O41" s="93" t="s">
        <v>35</v>
      </c>
    </row>
    <row r="42" spans="1:15" ht="18" customHeight="1" thickTop="1" thickBot="1" x14ac:dyDescent="0.3">
      <c r="A42" s="194"/>
      <c r="B42" s="143"/>
      <c r="C42" s="142" t="str">
        <f>IF(B44="","",IF(B42*36/(37-B44)=0,"",B42*36/(37-B44)))</f>
        <v/>
      </c>
      <c r="D42" s="109" t="str">
        <f>D38</f>
        <v>CU</v>
      </c>
      <c r="E42" s="18">
        <f>IF(C42="",I37,C42)</f>
        <v>131.07266435986162</v>
      </c>
      <c r="F42" s="94">
        <f>100%-J41*IF($A$3="하",$P$8,$P$6)</f>
        <v>0.72249999999999992</v>
      </c>
      <c r="G42" s="7">
        <f t="shared" ref="G42:I43" si="13">F42</f>
        <v>0.72249999999999992</v>
      </c>
      <c r="H42" s="7">
        <f t="shared" si="13"/>
        <v>0.72249999999999992</v>
      </c>
      <c r="I42" s="7">
        <f t="shared" si="13"/>
        <v>0.72249999999999992</v>
      </c>
      <c r="J42" s="8">
        <f>I42</f>
        <v>0.72249999999999992</v>
      </c>
      <c r="K42" s="95">
        <f>F43*F44+G43*G44+H43*H44+I43*I44+J43*J44</f>
        <v>2367.5</v>
      </c>
      <c r="L42" s="86" t="s">
        <v>27</v>
      </c>
      <c r="M42" s="81">
        <f>M41+M38</f>
        <v>23943.9</v>
      </c>
      <c r="N42" s="90">
        <f>ROUNDDOWN(M40*$N$4,0)</f>
        <v>2</v>
      </c>
      <c r="O42" s="90">
        <f>ROUNDDOWN(M40*$O$4,0)</f>
        <v>16</v>
      </c>
    </row>
    <row r="43" spans="1:15" ht="18" customHeight="1" thickTop="1" thickBot="1" x14ac:dyDescent="0.3">
      <c r="A43" s="194"/>
      <c r="B43" s="141" t="str">
        <f>IF(O42-C40&lt;$A$1," ","1~ "&amp;IF(O42-C40&gt;$A$1,$A$1,O42-C40)&amp;" rep")</f>
        <v>1~ 5 rep</v>
      </c>
      <c r="C43" s="97" t="s">
        <v>37</v>
      </c>
      <c r="D43" s="98" t="s">
        <v>5</v>
      </c>
      <c r="E43" s="5" t="s">
        <v>3</v>
      </c>
      <c r="F43" s="18">
        <f>MROUND(F42*E42,D44)</f>
        <v>94.7</v>
      </c>
      <c r="G43" s="18">
        <f t="shared" si="13"/>
        <v>94.7</v>
      </c>
      <c r="H43" s="18">
        <f t="shared" si="13"/>
        <v>94.7</v>
      </c>
      <c r="I43" s="18">
        <f t="shared" si="13"/>
        <v>94.7</v>
      </c>
      <c r="J43" s="19">
        <f>I43</f>
        <v>94.7</v>
      </c>
      <c r="K43" s="74" t="s">
        <v>10</v>
      </c>
      <c r="L43" s="86" t="s">
        <v>28</v>
      </c>
      <c r="M43" s="87">
        <f>K44</f>
        <v>25</v>
      </c>
      <c r="N43" s="93" t="s">
        <v>34</v>
      </c>
      <c r="O43" s="93" t="s">
        <v>35</v>
      </c>
    </row>
    <row r="44" spans="1:15" ht="18" customHeight="1" thickTop="1" thickBot="1" x14ac:dyDescent="0.3">
      <c r="A44" s="195"/>
      <c r="B44" s="144"/>
      <c r="C44" s="90">
        <f>IF(B42="",C40,IF(C42&lt;=0,C40,C40+B44))</f>
        <v>3</v>
      </c>
      <c r="D44" s="100">
        <f>D40</f>
        <v>0.1</v>
      </c>
      <c r="E44" s="13" t="s">
        <v>7</v>
      </c>
      <c r="F44" s="103">
        <f xml:space="preserve"> IF($A$3="하",0,IF(MROUND(J41/5,1)&lt;=G41,IF(MROUND(J41/5,1)&gt;=E41,MROUND(J41/5,1),E41),G41))</f>
        <v>5</v>
      </c>
      <c r="G44" s="104">
        <f>IF(MROUND((J41-F44)/4,1)&lt;=G41,IF(MROUND((J41-F44)/4,1)&gt;=E41,MROUND((J41-F44)/4,1),E41),G41)</f>
        <v>5</v>
      </c>
      <c r="H44" s="104">
        <f>IF(MROUND((J41-F44-G44)/3,1)&lt;=G41,IF(MROUND((J41-F44-G44)/3,1)&gt;=E41,MROUND((J41-F44-G44)/3,1),E41),G41)</f>
        <v>5</v>
      </c>
      <c r="I44" s="104">
        <f>IF(MROUND((J41-F44-G44-H44)/2,1)&lt;=G41,IF((J41-F44-G44-H44)/2&gt;=E41,MROUND((J41-F44-G44-H44)/2,1),J41-F44-G44-H44),G41)</f>
        <v>5</v>
      </c>
      <c r="J44" s="105">
        <f>IF((J41-(F44+G44+H44+I44))&gt;0,(J41-(F44+G44+H44+I44)),0)</f>
        <v>5</v>
      </c>
      <c r="K44" s="101">
        <f>SUM(F44:J44)</f>
        <v>25</v>
      </c>
      <c r="L44" s="88" t="s">
        <v>30</v>
      </c>
      <c r="M44" s="89">
        <f>M43+M40</f>
        <v>258</v>
      </c>
      <c r="N44" s="90">
        <f>ROUNDDOWN((M40-C40+C44+K44)*$N$4,0)</f>
        <v>2</v>
      </c>
      <c r="O44" s="90">
        <f>ROUNDDOWN((M40+K44-+C44)*$O$4,0)</f>
        <v>17</v>
      </c>
    </row>
    <row r="45" spans="1:15" ht="18" customHeight="1" thickTop="1" thickBot="1" x14ac:dyDescent="0.3">
      <c r="A45" s="193" t="str">
        <f t="shared" ref="A45" si="14">IF($M48&lt;IF($A$3="하",$S$8,$S$6),0,IF($M48&gt;IF($A$3="하",$S$7,$S$5),"",MAX(A41+1)))</f>
        <v/>
      </c>
      <c r="B45" s="141" t="str">
        <f>IF(O46-C44&lt;$A$1," ","MAX to "&amp;MROUND(IF(IF(O46-C44&gt;$A$1,$A$1,O46-C44)&lt;2,I41,I41*(37-IF(O46-C44&gt;$A$1,$A$1,O46-C44))/36),D48))</f>
        <v>MAX to 116.5</v>
      </c>
      <c r="C45" s="90" t="str">
        <f>IF(O46&lt;=C44,"X",IF(N46&gt;C44,"must ME","can ME"))</f>
        <v>can ME</v>
      </c>
      <c r="D45" s="75" t="s">
        <v>31</v>
      </c>
      <c r="E45" s="23">
        <v>4</v>
      </c>
      <c r="F45" s="2">
        <v>1</v>
      </c>
      <c r="G45" s="23">
        <f>IF(F46&gt;=90%,2,IF(F46&gt;=80%,4,IF(F46&gt;=70%,6,6)))</f>
        <v>6</v>
      </c>
      <c r="H45" s="3" t="s">
        <v>2</v>
      </c>
      <c r="I45" s="91">
        <f>K46/(100%-IF($A$3="하",$P$8,$P$6)*K48)/K48</f>
        <v>131.07266435986162</v>
      </c>
      <c r="J45" s="92">
        <f>IF("하"=$A$3,$Q$7,$Q$5)</f>
        <v>25</v>
      </c>
      <c r="K45" s="107" t="s">
        <v>33</v>
      </c>
      <c r="L45" s="75" t="s">
        <v>25</v>
      </c>
      <c r="M45" s="76">
        <f>K46</f>
        <v>2367.5</v>
      </c>
      <c r="N45" s="93" t="s">
        <v>34</v>
      </c>
      <c r="O45" s="93" t="s">
        <v>35</v>
      </c>
    </row>
    <row r="46" spans="1:15" ht="18" customHeight="1" thickTop="1" thickBot="1" x14ac:dyDescent="0.3">
      <c r="A46" s="194"/>
      <c r="B46" s="143"/>
      <c r="C46" s="142" t="str">
        <f>IF(B48="","",IF(B46*36/(37-B48)=0,"",B46*36/(37-B48)))</f>
        <v/>
      </c>
      <c r="D46" s="109" t="str">
        <f>D42</f>
        <v>CU</v>
      </c>
      <c r="E46" s="18">
        <f>IF(C46="",I41,C46)</f>
        <v>131.07266435986162</v>
      </c>
      <c r="F46" s="94">
        <f>100%-J45*IF($A$3="하",$P$8,$P$6)</f>
        <v>0.72249999999999992</v>
      </c>
      <c r="G46" s="7">
        <f t="shared" ref="G46:I47" si="15">F46</f>
        <v>0.72249999999999992</v>
      </c>
      <c r="H46" s="7">
        <f t="shared" si="15"/>
        <v>0.72249999999999992</v>
      </c>
      <c r="I46" s="7">
        <f t="shared" si="15"/>
        <v>0.72249999999999992</v>
      </c>
      <c r="J46" s="8">
        <f>I46</f>
        <v>0.72249999999999992</v>
      </c>
      <c r="K46" s="95">
        <f>F47*F48+G47*G48+H47*H48+I47*I48+J47*J48</f>
        <v>2367.5</v>
      </c>
      <c r="L46" s="86" t="s">
        <v>27</v>
      </c>
      <c r="M46" s="81">
        <f>M45+M42</f>
        <v>26311.4</v>
      </c>
      <c r="N46" s="90">
        <f>ROUNDDOWN(M44*$N$4,0)</f>
        <v>2</v>
      </c>
      <c r="O46" s="90">
        <f>ROUNDDOWN(M44*$O$4,0)</f>
        <v>18</v>
      </c>
    </row>
    <row r="47" spans="1:15" ht="18" customHeight="1" thickTop="1" thickBot="1" x14ac:dyDescent="0.3">
      <c r="A47" s="194"/>
      <c r="B47" s="141" t="str">
        <f>IF(O46-C44&lt;$A$1," ","1~ "&amp;IF(O46-C44&gt;$A$1,$A$1,O46-C44)&amp;" rep")</f>
        <v>1~ 5 rep</v>
      </c>
      <c r="C47" s="97" t="s">
        <v>37</v>
      </c>
      <c r="D47" s="98" t="s">
        <v>5</v>
      </c>
      <c r="E47" s="5" t="s">
        <v>3</v>
      </c>
      <c r="F47" s="18">
        <f>MROUND(F46*E46,D48)</f>
        <v>94.7</v>
      </c>
      <c r="G47" s="18">
        <f t="shared" si="15"/>
        <v>94.7</v>
      </c>
      <c r="H47" s="18">
        <f t="shared" si="15"/>
        <v>94.7</v>
      </c>
      <c r="I47" s="18">
        <f t="shared" si="15"/>
        <v>94.7</v>
      </c>
      <c r="J47" s="19">
        <f>I47</f>
        <v>94.7</v>
      </c>
      <c r="K47" s="74" t="s">
        <v>10</v>
      </c>
      <c r="L47" s="86" t="s">
        <v>28</v>
      </c>
      <c r="M47" s="87">
        <f>K48</f>
        <v>25</v>
      </c>
      <c r="N47" s="93" t="s">
        <v>34</v>
      </c>
      <c r="O47" s="93" t="s">
        <v>35</v>
      </c>
    </row>
    <row r="48" spans="1:15" ht="18" customHeight="1" thickTop="1" thickBot="1" x14ac:dyDescent="0.3">
      <c r="A48" s="195"/>
      <c r="B48" s="144"/>
      <c r="C48" s="90">
        <f>IF(B46="",C44,IF(C46&lt;=0,C44,C44+B48))</f>
        <v>3</v>
      </c>
      <c r="D48" s="100">
        <f>D44</f>
        <v>0.1</v>
      </c>
      <c r="E48" s="13" t="s">
        <v>7</v>
      </c>
      <c r="F48" s="103">
        <f xml:space="preserve"> IF($A$3="하",0,IF(MROUND(J45/5,1)&lt;=G45,IF(MROUND(J45/5,1)&gt;=E45,MROUND(J45/5,1),E45),G45))</f>
        <v>5</v>
      </c>
      <c r="G48" s="104">
        <f>IF(MROUND((J45-F48)/4,1)&lt;=G45,IF(MROUND((J45-F48)/4,1)&gt;=E45,MROUND((J45-F48)/4,1),E45),G45)</f>
        <v>5</v>
      </c>
      <c r="H48" s="104">
        <f>IF(MROUND((J45-F48-G48)/3,1)&lt;=G45,IF(MROUND((J45-F48-G48)/3,1)&gt;=E45,MROUND((J45-F48-G48)/3,1),E45),G45)</f>
        <v>5</v>
      </c>
      <c r="I48" s="104">
        <f>IF(MROUND((J45-F48-G48-H48)/2,1)&lt;=G45,IF((J45-F48-G48-H48)/2&gt;=E45,MROUND((J45-F48-G48-H48)/2,1),J45-F48-G48-H48),G45)</f>
        <v>5</v>
      </c>
      <c r="J48" s="105">
        <f>IF((J45-(F48+G48+H48+I48))&gt;0,(J45-(F48+G48+H48+I48)),0)</f>
        <v>5</v>
      </c>
      <c r="K48" s="101">
        <f>SUM(F48:J48)</f>
        <v>25</v>
      </c>
      <c r="L48" s="88" t="s">
        <v>30</v>
      </c>
      <c r="M48" s="89">
        <f>M47+M44</f>
        <v>283</v>
      </c>
      <c r="N48" s="90">
        <f>ROUNDDOWN((M44-C44+C48+K48)*$N$4,0)</f>
        <v>2</v>
      </c>
      <c r="O48" s="90">
        <f>ROUNDDOWN((M44+K48-+C48)*$O$4,0)</f>
        <v>19</v>
      </c>
    </row>
    <row r="49" spans="1:15" ht="18" customHeight="1" thickTop="1" thickBot="1" x14ac:dyDescent="0.3">
      <c r="A49" s="193" t="str">
        <f>IF($M52&lt;IF($A$3="하",$S$8,$S$6),0,IF($M52&gt;IF($A$3="하",$S$7,$S$5),"",MAX(A45+1)))</f>
        <v/>
      </c>
      <c r="B49" s="141" t="str">
        <f>IF(O50-C48&lt;$A$1," ","MAX to "&amp;MROUND(IF(IF(O50-C48&gt;$A$1,$A$1,O50-C48)&lt;2,I45,I45*(37-IF(O50-C48&gt;$A$1,$A$1,O50-C48))/36),D52))</f>
        <v>MAX to 116.5</v>
      </c>
      <c r="C49" s="90" t="str">
        <f>IF(O50&lt;=C48,"X",IF(N50&gt;C48,"must ME","can ME"))</f>
        <v>can ME</v>
      </c>
      <c r="D49" s="75" t="s">
        <v>31</v>
      </c>
      <c r="E49" s="23">
        <v>4</v>
      </c>
      <c r="F49" s="2">
        <v>1</v>
      </c>
      <c r="G49" s="23">
        <f>IF(F50&gt;=90%,2,IF(F50&gt;=80%,4,IF(F50&gt;=70%,6,6)))</f>
        <v>6</v>
      </c>
      <c r="H49" s="3" t="s">
        <v>2</v>
      </c>
      <c r="I49" s="91">
        <f>K50/(100%-IF($A$3="하",$P$8,$P$6)*K52)/K52</f>
        <v>131.07266435986162</v>
      </c>
      <c r="J49" s="92">
        <f>IF("하"=$A$3,$Q$7,$Q$5)</f>
        <v>25</v>
      </c>
      <c r="K49" s="107" t="s">
        <v>33</v>
      </c>
      <c r="L49" s="75" t="s">
        <v>25</v>
      </c>
      <c r="M49" s="76">
        <f>K50</f>
        <v>2367.5</v>
      </c>
      <c r="N49" s="93" t="s">
        <v>34</v>
      </c>
      <c r="O49" s="93" t="s">
        <v>35</v>
      </c>
    </row>
    <row r="50" spans="1:15" ht="18" customHeight="1" thickTop="1" thickBot="1" x14ac:dyDescent="0.3">
      <c r="A50" s="194"/>
      <c r="B50" s="143"/>
      <c r="C50" s="142" t="str">
        <f>IF(B52="","",IF(B50*36/(37-B52)=0,"",B50*36/(37-B52)))</f>
        <v/>
      </c>
      <c r="D50" s="109" t="str">
        <f>D46</f>
        <v>CU</v>
      </c>
      <c r="E50" s="18">
        <f>IF(C50="",I45,C50)</f>
        <v>131.07266435986162</v>
      </c>
      <c r="F50" s="94">
        <f>100%-J49*IF($A$3="하",$P$8,$P$6)</f>
        <v>0.72249999999999992</v>
      </c>
      <c r="G50" s="7">
        <f t="shared" ref="G50:I51" si="16">F50</f>
        <v>0.72249999999999992</v>
      </c>
      <c r="H50" s="7">
        <f t="shared" si="16"/>
        <v>0.72249999999999992</v>
      </c>
      <c r="I50" s="7">
        <f t="shared" si="16"/>
        <v>0.72249999999999992</v>
      </c>
      <c r="J50" s="8">
        <f>I50</f>
        <v>0.72249999999999992</v>
      </c>
      <c r="K50" s="95">
        <f>F51*F52+G51*G52+H51*H52+I51*I52+J51*J52</f>
        <v>2367.5</v>
      </c>
      <c r="L50" s="86" t="s">
        <v>27</v>
      </c>
      <c r="M50" s="81">
        <f>M49+M46</f>
        <v>28678.9</v>
      </c>
      <c r="N50" s="90">
        <f>ROUNDDOWN(M48*$N$4,0)</f>
        <v>2</v>
      </c>
      <c r="O50" s="90">
        <f>ROUNDDOWN(M48*$O$4,0)</f>
        <v>19</v>
      </c>
    </row>
    <row r="51" spans="1:15" ht="18" customHeight="1" thickTop="1" thickBot="1" x14ac:dyDescent="0.3">
      <c r="A51" s="194"/>
      <c r="B51" s="141" t="str">
        <f>IF(O50-C48&lt;$A$1," ","1~ "&amp;IF(O50-C48&gt;$A$1,$A$1,O50-C48)&amp;" rep")</f>
        <v>1~ 5 rep</v>
      </c>
      <c r="C51" s="97" t="s">
        <v>37</v>
      </c>
      <c r="D51" s="98" t="s">
        <v>5</v>
      </c>
      <c r="E51" s="5" t="s">
        <v>3</v>
      </c>
      <c r="F51" s="18">
        <f>MROUND(F50*E50,D52)</f>
        <v>94.7</v>
      </c>
      <c r="G51" s="18">
        <f t="shared" si="16"/>
        <v>94.7</v>
      </c>
      <c r="H51" s="18">
        <f t="shared" si="16"/>
        <v>94.7</v>
      </c>
      <c r="I51" s="18">
        <f t="shared" si="16"/>
        <v>94.7</v>
      </c>
      <c r="J51" s="19">
        <f>I51</f>
        <v>94.7</v>
      </c>
      <c r="K51" s="74" t="s">
        <v>10</v>
      </c>
      <c r="L51" s="86" t="s">
        <v>28</v>
      </c>
      <c r="M51" s="87">
        <f>K52</f>
        <v>25</v>
      </c>
      <c r="N51" s="93" t="s">
        <v>34</v>
      </c>
      <c r="O51" s="93" t="s">
        <v>35</v>
      </c>
    </row>
    <row r="52" spans="1:15" ht="18" customHeight="1" thickTop="1" thickBot="1" x14ac:dyDescent="0.3">
      <c r="A52" s="195"/>
      <c r="B52" s="144"/>
      <c r="C52" s="90">
        <f>IF(B50="",C48,IF(C50&lt;=0,C48,C48+B52))</f>
        <v>3</v>
      </c>
      <c r="D52" s="100">
        <f>D48</f>
        <v>0.1</v>
      </c>
      <c r="E52" s="13" t="s">
        <v>7</v>
      </c>
      <c r="F52" s="103">
        <f xml:space="preserve"> IF($A$3="하",0,IF(MROUND(J49/5,1)&lt;=G49,IF(MROUND(J49/5,1)&gt;=E49,MROUND(J49/5,1),E49),G49))</f>
        <v>5</v>
      </c>
      <c r="G52" s="104">
        <f>IF(MROUND((J49-F52)/4,1)&lt;=G49,IF(MROUND((J49-F52)/4,1)&gt;=E49,MROUND((J49-F52)/4,1),E49),G49)</f>
        <v>5</v>
      </c>
      <c r="H52" s="104">
        <f>IF(MROUND((J49-F52-G52)/3,1)&lt;=G49,IF(MROUND((J49-F52-G52)/3,1)&gt;=E49,MROUND((J49-F52-G52)/3,1),E49),G49)</f>
        <v>5</v>
      </c>
      <c r="I52" s="104">
        <f>IF(MROUND((J49-F52-G52-H52)/2,1)&lt;=G49,IF((J49-F52-G52-H52)/2&gt;=E49,MROUND((J49-F52-G52-H52)/2,1),J49-F52-G52-H52),G49)</f>
        <v>5</v>
      </c>
      <c r="J52" s="105">
        <f>IF((J49-(F52+G52+H52+I52))&gt;0,(J49-(F52+G52+H52+I52)),0)</f>
        <v>5</v>
      </c>
      <c r="K52" s="101">
        <f>SUM(F52:J52)</f>
        <v>25</v>
      </c>
      <c r="L52" s="88" t="s">
        <v>30</v>
      </c>
      <c r="M52" s="89">
        <f>M51+M48</f>
        <v>308</v>
      </c>
      <c r="N52" s="90">
        <f>ROUNDDOWN((M48-C48+C52+K52)*$N$4,0)</f>
        <v>3</v>
      </c>
      <c r="O52" s="90">
        <f>ROUNDDOWN((M48+K52-+C52)*$O$4,0)</f>
        <v>21</v>
      </c>
    </row>
    <row r="53" spans="1:15" ht="18" customHeight="1" thickTop="1" thickBot="1" x14ac:dyDescent="0.3">
      <c r="A53" s="193" t="str">
        <f t="shared" ref="A53" si="17">IF($M56&lt;IF($A$3="하",$S$8,$S$6),0,IF($M56&gt;IF($A$3="하",$S$7,$S$5),"",MAX(A49+1)))</f>
        <v/>
      </c>
      <c r="B53" s="141" t="str">
        <f>IF(O54-C52&lt;$A$1," ","MAX to "&amp;MROUND(IF(IF(O54-C52&gt;$A$1,$A$1,O54-C52)&lt;2,I49,I49*(37-IF(O54-C52&gt;$A$1,$A$1,O54-C52))/36),D56))</f>
        <v>MAX to 116.5</v>
      </c>
      <c r="C53" s="90" t="str">
        <f>IF(O54&lt;=C52,"X",IF(N54&gt;C52,"must ME","can ME"))</f>
        <v>can ME</v>
      </c>
      <c r="D53" s="75" t="s">
        <v>31</v>
      </c>
      <c r="E53" s="23">
        <v>4</v>
      </c>
      <c r="F53" s="2">
        <v>1</v>
      </c>
      <c r="G53" s="23">
        <f>IF(F54&gt;=90%,2,IF(F54&gt;=80%,4,IF(F54&gt;=70%,6,6)))</f>
        <v>6</v>
      </c>
      <c r="H53" s="3" t="s">
        <v>2</v>
      </c>
      <c r="I53" s="91">
        <f>K54/(100%-IF($A$3="하",$P$8,$P$6)*K56)/K56</f>
        <v>131.07266435986162</v>
      </c>
      <c r="J53" s="92">
        <f>IF("하"=$A$3,$Q$7,$Q$5)</f>
        <v>25</v>
      </c>
      <c r="K53" s="107" t="s">
        <v>33</v>
      </c>
      <c r="L53" s="75" t="s">
        <v>25</v>
      </c>
      <c r="M53" s="76">
        <f>K54</f>
        <v>2367.5</v>
      </c>
      <c r="N53" s="93" t="s">
        <v>34</v>
      </c>
      <c r="O53" s="93" t="s">
        <v>35</v>
      </c>
    </row>
    <row r="54" spans="1:15" ht="18" customHeight="1" thickTop="1" thickBot="1" x14ac:dyDescent="0.3">
      <c r="A54" s="194"/>
      <c r="B54" s="143"/>
      <c r="C54" s="142" t="str">
        <f>IF(B56="","",IF(B54*36/(37-B56)=0,"",B54*36/(37-B56)))</f>
        <v/>
      </c>
      <c r="D54" s="109" t="str">
        <f>D50</f>
        <v>CU</v>
      </c>
      <c r="E54" s="18">
        <f>IF(C54="",I49,C54)</f>
        <v>131.07266435986162</v>
      </c>
      <c r="F54" s="94">
        <f>100%-J53*IF($A$3="하",$P$8,$P$6)</f>
        <v>0.72249999999999992</v>
      </c>
      <c r="G54" s="7">
        <f t="shared" ref="G54:I55" si="18">F54</f>
        <v>0.72249999999999992</v>
      </c>
      <c r="H54" s="7">
        <f t="shared" si="18"/>
        <v>0.72249999999999992</v>
      </c>
      <c r="I54" s="7">
        <f t="shared" si="18"/>
        <v>0.72249999999999992</v>
      </c>
      <c r="J54" s="8">
        <f>I54</f>
        <v>0.72249999999999992</v>
      </c>
      <c r="K54" s="95">
        <f>F55*F56+G55*G56+H55*H56+I55*I56+J55*J56</f>
        <v>2367.5</v>
      </c>
      <c r="L54" s="86" t="s">
        <v>27</v>
      </c>
      <c r="M54" s="81">
        <f>M53+M50</f>
        <v>31046.400000000001</v>
      </c>
      <c r="N54" s="90">
        <f>ROUNDDOWN(M52*$N$4,0)</f>
        <v>3</v>
      </c>
      <c r="O54" s="90">
        <f>ROUNDDOWN(M52*$O$4,0)</f>
        <v>21</v>
      </c>
    </row>
    <row r="55" spans="1:15" ht="18" customHeight="1" thickTop="1" thickBot="1" x14ac:dyDescent="0.3">
      <c r="A55" s="194"/>
      <c r="B55" s="141" t="str">
        <f>IF(O54-C52&lt;$A$1," ","1~ "&amp;IF(O54-C52&gt;$A$1,$A$1,O54-C52)&amp;" rep")</f>
        <v>1~ 5 rep</v>
      </c>
      <c r="C55" s="97" t="s">
        <v>37</v>
      </c>
      <c r="D55" s="98" t="s">
        <v>5</v>
      </c>
      <c r="E55" s="5" t="s">
        <v>3</v>
      </c>
      <c r="F55" s="18">
        <f>MROUND(F54*E54,D56)</f>
        <v>94.7</v>
      </c>
      <c r="G55" s="18">
        <f t="shared" si="18"/>
        <v>94.7</v>
      </c>
      <c r="H55" s="18">
        <f t="shared" si="18"/>
        <v>94.7</v>
      </c>
      <c r="I55" s="18">
        <f t="shared" si="18"/>
        <v>94.7</v>
      </c>
      <c r="J55" s="19">
        <f>I55</f>
        <v>94.7</v>
      </c>
      <c r="K55" s="74" t="s">
        <v>10</v>
      </c>
      <c r="L55" s="86" t="s">
        <v>28</v>
      </c>
      <c r="M55" s="87">
        <f>K56</f>
        <v>25</v>
      </c>
      <c r="N55" s="93" t="s">
        <v>34</v>
      </c>
      <c r="O55" s="93" t="s">
        <v>35</v>
      </c>
    </row>
    <row r="56" spans="1:15" ht="18" customHeight="1" thickTop="1" thickBot="1" x14ac:dyDescent="0.3">
      <c r="A56" s="195"/>
      <c r="B56" s="144"/>
      <c r="C56" s="90">
        <f>IF(B54="",C52,IF(C54&lt;=0,C52,C52+B56))</f>
        <v>3</v>
      </c>
      <c r="D56" s="100">
        <f>D52</f>
        <v>0.1</v>
      </c>
      <c r="E56" s="13" t="s">
        <v>7</v>
      </c>
      <c r="F56" s="103">
        <f xml:space="preserve"> IF($A$3="하",0,IF(MROUND(J53/5,1)&lt;=G53,IF(MROUND(J53/5,1)&gt;=E53,MROUND(J53/5,1),E53),G53))</f>
        <v>5</v>
      </c>
      <c r="G56" s="104">
        <f>IF(MROUND((J53-F56)/4,1)&lt;=G53,IF(MROUND((J53-F56)/4,1)&gt;=E53,MROUND((J53-F56)/4,1),E53),G53)</f>
        <v>5</v>
      </c>
      <c r="H56" s="104">
        <f>IF(MROUND((J53-F56-G56)/3,1)&lt;=G53,IF(MROUND((J53-F56-G56)/3,1)&gt;=E53,MROUND((J53-F56-G56)/3,1),E53),G53)</f>
        <v>5</v>
      </c>
      <c r="I56" s="104">
        <f>IF(MROUND((J53-F56-G56-H56)/2,1)&lt;=G53,IF((J53-F56-G56-H56)/2&gt;=E53,MROUND((J53-F56-G56-H56)/2,1),J53-F56-G56-H56),G53)</f>
        <v>5</v>
      </c>
      <c r="J56" s="105">
        <f>IF((J53-(F56+G56+H56+I56))&gt;0,(J53-(F56+G56+H56+I56)),0)</f>
        <v>5</v>
      </c>
      <c r="K56" s="101">
        <f>SUM(F56:J56)</f>
        <v>25</v>
      </c>
      <c r="L56" s="88" t="s">
        <v>30</v>
      </c>
      <c r="M56" s="89">
        <f>M55+M52</f>
        <v>333</v>
      </c>
      <c r="N56" s="90">
        <f>ROUNDDOWN((M52-C52+C56+K56)*$N$4,0)</f>
        <v>3</v>
      </c>
      <c r="O56" s="90">
        <f>ROUNDDOWN((M52+K56-+C56)*$O$4,0)</f>
        <v>23</v>
      </c>
    </row>
    <row r="57" spans="1:15" ht="18" customHeight="1" thickTop="1" thickBot="1" x14ac:dyDescent="0.3">
      <c r="A57" s="193" t="str">
        <f t="shared" ref="A57" si="19">IF($M60&lt;IF($A$3="하",$S$8,$S$6),0,IF($M60&gt;IF($A$3="하",$S$7,$S$5),"",MAX(A53+1)))</f>
        <v/>
      </c>
      <c r="B57" s="141" t="str">
        <f>IF(O58-C56&lt;$A$1," ","MAX to "&amp;MROUND(IF(IF(O58-C56&gt;$A$1,$A$1,O58-C56)&lt;2,I53,I53*(37-IF(O58-C56&gt;$A$1,$A$1,O58-C56))/36),D60))</f>
        <v>MAX to 116.5</v>
      </c>
      <c r="C57" s="90" t="str">
        <f>IF(O58&lt;=C56,"X",IF(N58&gt;C56,"must ME","can ME"))</f>
        <v>can ME</v>
      </c>
      <c r="D57" s="75" t="s">
        <v>31</v>
      </c>
      <c r="E57" s="23">
        <v>4</v>
      </c>
      <c r="F57" s="2">
        <v>1</v>
      </c>
      <c r="G57" s="23">
        <f>IF(F58&gt;=90%,2,IF(F58&gt;=80%,4,IF(F58&gt;=70%,6,6)))</f>
        <v>6</v>
      </c>
      <c r="H57" s="3" t="s">
        <v>2</v>
      </c>
      <c r="I57" s="91">
        <f>K58/(100%-IF($A$3="하",$P$8,$P$6)*K60)/K60</f>
        <v>131.07266435986162</v>
      </c>
      <c r="J57" s="92">
        <f>IF("하"=$A$3,$Q$7,$Q$5)</f>
        <v>25</v>
      </c>
      <c r="K57" s="107" t="s">
        <v>33</v>
      </c>
      <c r="L57" s="75" t="s">
        <v>25</v>
      </c>
      <c r="M57" s="76">
        <f>K58</f>
        <v>2367.5</v>
      </c>
      <c r="N57" s="93" t="s">
        <v>34</v>
      </c>
      <c r="O57" s="93" t="s">
        <v>35</v>
      </c>
    </row>
    <row r="58" spans="1:15" ht="18" customHeight="1" thickTop="1" thickBot="1" x14ac:dyDescent="0.3">
      <c r="A58" s="194"/>
      <c r="B58" s="143"/>
      <c r="C58" s="142" t="str">
        <f>IF(B60="","",IF(B58*36/(37-B60)=0,"",B58*36/(37-B60)))</f>
        <v/>
      </c>
      <c r="D58" s="109" t="str">
        <f>D54</f>
        <v>CU</v>
      </c>
      <c r="E58" s="18">
        <f>IF(C58="",I53,C58)</f>
        <v>131.07266435986162</v>
      </c>
      <c r="F58" s="94">
        <f>100%-J57*IF($A$3="하",$P$8,$P$6)</f>
        <v>0.72249999999999992</v>
      </c>
      <c r="G58" s="7">
        <f t="shared" ref="G58:I59" si="20">F58</f>
        <v>0.72249999999999992</v>
      </c>
      <c r="H58" s="7">
        <f t="shared" si="20"/>
        <v>0.72249999999999992</v>
      </c>
      <c r="I58" s="7">
        <f t="shared" si="20"/>
        <v>0.72249999999999992</v>
      </c>
      <c r="J58" s="8">
        <f>I58</f>
        <v>0.72249999999999992</v>
      </c>
      <c r="K58" s="95">
        <f>F59*F60+G59*G60+H59*H60+I59*I60+J59*J60</f>
        <v>2367.5</v>
      </c>
      <c r="L58" s="86" t="s">
        <v>27</v>
      </c>
      <c r="M58" s="81">
        <f>M57+M54</f>
        <v>33413.9</v>
      </c>
      <c r="N58" s="90">
        <f>ROUNDDOWN(M56*$N$4,0)</f>
        <v>3</v>
      </c>
      <c r="O58" s="90">
        <f>ROUNDDOWN(M56*$O$4,0)</f>
        <v>23</v>
      </c>
    </row>
    <row r="59" spans="1:15" ht="18" customHeight="1" thickTop="1" thickBot="1" x14ac:dyDescent="0.3">
      <c r="A59" s="194"/>
      <c r="B59" s="141" t="str">
        <f>IF(O58-C56&lt;$A$1," ","1~ "&amp;IF(O58-C56&gt;$A$1,$A$1,O58-C56)&amp;" rep")</f>
        <v>1~ 5 rep</v>
      </c>
      <c r="C59" s="97" t="s">
        <v>37</v>
      </c>
      <c r="D59" s="98" t="s">
        <v>5</v>
      </c>
      <c r="E59" s="5" t="s">
        <v>3</v>
      </c>
      <c r="F59" s="18">
        <f>MROUND(F58*E58,D60)</f>
        <v>94.7</v>
      </c>
      <c r="G59" s="18">
        <f t="shared" si="20"/>
        <v>94.7</v>
      </c>
      <c r="H59" s="18">
        <f t="shared" si="20"/>
        <v>94.7</v>
      </c>
      <c r="I59" s="18">
        <f t="shared" si="20"/>
        <v>94.7</v>
      </c>
      <c r="J59" s="19">
        <f>I59</f>
        <v>94.7</v>
      </c>
      <c r="K59" s="74" t="s">
        <v>10</v>
      </c>
      <c r="L59" s="86" t="s">
        <v>28</v>
      </c>
      <c r="M59" s="87">
        <f>K60</f>
        <v>25</v>
      </c>
      <c r="N59" s="93" t="s">
        <v>34</v>
      </c>
      <c r="O59" s="93" t="s">
        <v>35</v>
      </c>
    </row>
    <row r="60" spans="1:15" ht="18" customHeight="1" thickTop="1" thickBot="1" x14ac:dyDescent="0.3">
      <c r="A60" s="195"/>
      <c r="B60" s="144"/>
      <c r="C60" s="90">
        <f>IF(B58="",C56,IF(C58&lt;=0,C56,C56+B60))</f>
        <v>3</v>
      </c>
      <c r="D60" s="100">
        <f>D56</f>
        <v>0.1</v>
      </c>
      <c r="E60" s="13" t="s">
        <v>7</v>
      </c>
      <c r="F60" s="103">
        <f xml:space="preserve"> IF($A$3="하",0,IF(MROUND(J57/5,1)&lt;=G57,IF(MROUND(J57/5,1)&gt;=E57,MROUND(J57/5,1),E57),G57))</f>
        <v>5</v>
      </c>
      <c r="G60" s="104">
        <f>IF(MROUND((J57-F60)/4,1)&lt;=G57,IF(MROUND((J57-F60)/4,1)&gt;=E57,MROUND((J57-F60)/4,1),E57),G57)</f>
        <v>5</v>
      </c>
      <c r="H60" s="104">
        <f>IF(MROUND((J57-F60-G60)/3,1)&lt;=G57,IF(MROUND((J57-F60-G60)/3,1)&gt;=E57,MROUND((J57-F60-G60)/3,1),E57),G57)</f>
        <v>5</v>
      </c>
      <c r="I60" s="104">
        <f>IF(MROUND((J57-F60-G60-H60)/2,1)&lt;=G57,IF((J57-F60-G60-H60)/2&gt;=E57,MROUND((J57-F60-G60-H60)/2,1),J57-F60-G60-H60),G57)</f>
        <v>5</v>
      </c>
      <c r="J60" s="105">
        <f>IF((J57-(F60+G60+H60+I60))&gt;0,(J57-(F60+G60+H60+I60)),0)</f>
        <v>5</v>
      </c>
      <c r="K60" s="101">
        <f>SUM(F60:J60)</f>
        <v>25</v>
      </c>
      <c r="L60" s="88" t="s">
        <v>30</v>
      </c>
      <c r="M60" s="89">
        <f>M59+M56</f>
        <v>358</v>
      </c>
      <c r="N60" s="90">
        <f>ROUNDDOWN((M56-C56+C60+K60)*$N$4,0)</f>
        <v>3</v>
      </c>
      <c r="O60" s="90">
        <f>ROUNDDOWN((M56+K60-+C60)*$O$4,0)</f>
        <v>24</v>
      </c>
    </row>
    <row r="61" spans="1:15" ht="18" customHeight="1" thickTop="1" thickBot="1" x14ac:dyDescent="0.3">
      <c r="A61" s="193" t="str">
        <f t="shared" ref="A61" si="21">IF($M64&lt;IF($A$3="하",$S$8,$S$6),0,IF($M64&gt;IF($A$3="하",$S$7,$S$5),"",MAX(A57+1)))</f>
        <v/>
      </c>
      <c r="B61" s="141" t="str">
        <f>IF(O62-C60&lt;$A$1," ","MAX to "&amp;MROUND(IF(IF(O62-C60&gt;$A$1,$A$1,O62-C60)&lt;2,I57,I57*(37-IF(O62-C60&gt;$A$1,$A$1,O62-C60))/36),D64))</f>
        <v>MAX to 116.5</v>
      </c>
      <c r="C61" s="90" t="str">
        <f>IF(O62&lt;=C60,"X",IF(N62&gt;C60,"must ME","can ME"))</f>
        <v>can ME</v>
      </c>
      <c r="D61" s="75" t="s">
        <v>31</v>
      </c>
      <c r="E61" s="23">
        <v>4</v>
      </c>
      <c r="F61" s="2">
        <v>1</v>
      </c>
      <c r="G61" s="23">
        <f>IF(F62&gt;=90%,2,IF(F62&gt;=80%,4,IF(F62&gt;=70%,6,6)))</f>
        <v>6</v>
      </c>
      <c r="H61" s="3" t="s">
        <v>2</v>
      </c>
      <c r="I61" s="91">
        <f>K62/(100%-IF($A$3="하",$P$8,$P$6)*K64)/K64</f>
        <v>131.07266435986162</v>
      </c>
      <c r="J61" s="92">
        <f>IF("하"=$A$3,$Q$7,$Q$5)</f>
        <v>25</v>
      </c>
      <c r="K61" s="107" t="s">
        <v>33</v>
      </c>
      <c r="L61" s="75" t="s">
        <v>25</v>
      </c>
      <c r="M61" s="76">
        <f>K62</f>
        <v>2367.5</v>
      </c>
      <c r="N61" s="93" t="s">
        <v>34</v>
      </c>
      <c r="O61" s="93" t="s">
        <v>35</v>
      </c>
    </row>
    <row r="62" spans="1:15" ht="18" customHeight="1" thickTop="1" thickBot="1" x14ac:dyDescent="0.3">
      <c r="A62" s="194"/>
      <c r="B62" s="143"/>
      <c r="C62" s="142" t="str">
        <f>IF(B64="","",IF(B62*36/(37-B64)=0,"",B62*36/(37-B64)))</f>
        <v/>
      </c>
      <c r="D62" s="109" t="str">
        <f>D58</f>
        <v>CU</v>
      </c>
      <c r="E62" s="18">
        <f>IF(C62="",I57,C62)</f>
        <v>131.07266435986162</v>
      </c>
      <c r="F62" s="94">
        <f>100%-J61*IF($A$3="하",$P$8,$P$6)</f>
        <v>0.72249999999999992</v>
      </c>
      <c r="G62" s="7">
        <f t="shared" ref="G62:I63" si="22">F62</f>
        <v>0.72249999999999992</v>
      </c>
      <c r="H62" s="7">
        <f t="shared" si="22"/>
        <v>0.72249999999999992</v>
      </c>
      <c r="I62" s="7">
        <f t="shared" si="22"/>
        <v>0.72249999999999992</v>
      </c>
      <c r="J62" s="8">
        <f>I62</f>
        <v>0.72249999999999992</v>
      </c>
      <c r="K62" s="95">
        <f>F63*F64+G63*G64+H63*H64+I63*I64+J63*J64</f>
        <v>2367.5</v>
      </c>
      <c r="L62" s="86" t="s">
        <v>27</v>
      </c>
      <c r="M62" s="81">
        <f>M61+M58</f>
        <v>35781.4</v>
      </c>
      <c r="N62" s="90">
        <f>ROUNDDOWN(M60*$N$4,0)</f>
        <v>3</v>
      </c>
      <c r="O62" s="90">
        <f>ROUNDDOWN(M60*$O$4,0)</f>
        <v>25</v>
      </c>
    </row>
    <row r="63" spans="1:15" ht="18" customHeight="1" thickTop="1" thickBot="1" x14ac:dyDescent="0.3">
      <c r="A63" s="194"/>
      <c r="B63" s="141" t="str">
        <f>IF(O62-C60&lt;$A$1," ","1~ "&amp;IF(O62-C60&gt;$A$1,$A$1,O62-C60)&amp;" rep")</f>
        <v>1~ 5 rep</v>
      </c>
      <c r="C63" s="97" t="s">
        <v>37</v>
      </c>
      <c r="D63" s="98" t="s">
        <v>5</v>
      </c>
      <c r="E63" s="5" t="s">
        <v>3</v>
      </c>
      <c r="F63" s="18">
        <f>MROUND(F62*E62,D64)</f>
        <v>94.7</v>
      </c>
      <c r="G63" s="18">
        <f t="shared" si="22"/>
        <v>94.7</v>
      </c>
      <c r="H63" s="18">
        <f t="shared" si="22"/>
        <v>94.7</v>
      </c>
      <c r="I63" s="18">
        <f t="shared" si="22"/>
        <v>94.7</v>
      </c>
      <c r="J63" s="19">
        <f>I63</f>
        <v>94.7</v>
      </c>
      <c r="K63" s="74" t="s">
        <v>10</v>
      </c>
      <c r="L63" s="86" t="s">
        <v>28</v>
      </c>
      <c r="M63" s="87">
        <f>K64</f>
        <v>25</v>
      </c>
      <c r="N63" s="93" t="s">
        <v>34</v>
      </c>
      <c r="O63" s="93" t="s">
        <v>35</v>
      </c>
    </row>
    <row r="64" spans="1:15" ht="18" customHeight="1" thickTop="1" thickBot="1" x14ac:dyDescent="0.3">
      <c r="A64" s="195"/>
      <c r="B64" s="144"/>
      <c r="C64" s="90">
        <f>IF(B62="",C60,IF(C62&lt;=0,C60,C60+B64))</f>
        <v>3</v>
      </c>
      <c r="D64" s="100">
        <f>D60</f>
        <v>0.1</v>
      </c>
      <c r="E64" s="13" t="s">
        <v>7</v>
      </c>
      <c r="F64" s="103">
        <f xml:space="preserve"> IF($A$3="하",0,IF(MROUND(J61/5,1)&lt;=G61,IF(MROUND(J61/5,1)&gt;=E61,MROUND(J61/5,1),E61),G61))</f>
        <v>5</v>
      </c>
      <c r="G64" s="104">
        <f>IF(MROUND((J61-F64)/4,1)&lt;=G61,IF(MROUND((J61-F64)/4,1)&gt;=E61,MROUND((J61-F64)/4,1),E61),G61)</f>
        <v>5</v>
      </c>
      <c r="H64" s="104">
        <f>IF(MROUND((J61-F64-G64)/3,1)&lt;=G61,IF(MROUND((J61-F64-G64)/3,1)&gt;=E61,MROUND((J61-F64-G64)/3,1),E61),G61)</f>
        <v>5</v>
      </c>
      <c r="I64" s="104">
        <f>IF(MROUND((J61-F64-G64-H64)/2,1)&lt;=G61,IF((J61-F64-G64-H64)/2&gt;=E61,MROUND((J61-F64-G64-H64)/2,1),J61-F64-G64-H64),G61)</f>
        <v>5</v>
      </c>
      <c r="J64" s="105">
        <f>IF((J61-(F64+G64+H64+I64))&gt;0,(J61-(F64+G64+H64+I64)),0)</f>
        <v>5</v>
      </c>
      <c r="K64" s="101">
        <f>SUM(F64:J64)</f>
        <v>25</v>
      </c>
      <c r="L64" s="88" t="s">
        <v>30</v>
      </c>
      <c r="M64" s="89">
        <f>M63+M60</f>
        <v>383</v>
      </c>
      <c r="N64" s="90">
        <f>ROUNDDOWN((M60-C60+C64+K64)*$N$4,0)</f>
        <v>3</v>
      </c>
      <c r="O64" s="90">
        <f>ROUNDDOWN((M60+K64-+C64)*$O$4,0)</f>
        <v>26</v>
      </c>
    </row>
    <row r="65" ht="17.25" thickTop="1" x14ac:dyDescent="0.25"/>
  </sheetData>
  <mergeCells count="18">
    <mergeCell ref="A13:A16"/>
    <mergeCell ref="E1:F1"/>
    <mergeCell ref="G1:H1"/>
    <mergeCell ref="A4:K4"/>
    <mergeCell ref="A5:A8"/>
    <mergeCell ref="A9:A12"/>
    <mergeCell ref="A61:A64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</mergeCells>
  <phoneticPr fontId="1" type="noConversion"/>
  <conditionalFormatting sqref="A5 A9 A13 A17 A21 A25 A29 A33 A37 A41 A45 A49 A53 A57 A61">
    <cfRule type="containsText" dxfId="597" priority="2" operator="containsText" text="0">
      <formula>NOT(ISERROR(SEARCH("0",A5)))</formula>
    </cfRule>
  </conditionalFormatting>
  <conditionalFormatting sqref="C2:C3">
    <cfRule type="cellIs" dxfId="596" priority="61" operator="equal">
      <formula>"ME"</formula>
    </cfRule>
  </conditionalFormatting>
  <conditionalFormatting sqref="C5">
    <cfRule type="containsText" dxfId="595" priority="60" operator="containsText" text="must">
      <formula>NOT(ISERROR(SEARCH("must",C5)))</formula>
    </cfRule>
    <cfRule type="containsText" dxfId="594" priority="59" operator="containsText" text="can">
      <formula>NOT(ISERROR(SEARCH("can",C5)))</formula>
    </cfRule>
  </conditionalFormatting>
  <conditionalFormatting sqref="C6:C8">
    <cfRule type="containsText" dxfId="593" priority="1" operator="containsText" text="ME">
      <formula>NOT(ISERROR(SEARCH("ME",C6)))</formula>
    </cfRule>
  </conditionalFormatting>
  <conditionalFormatting sqref="C9">
    <cfRule type="containsText" dxfId="592" priority="57" operator="containsText" text="must">
      <formula>NOT(ISERROR(SEARCH("must",C9)))</formula>
    </cfRule>
    <cfRule type="containsText" dxfId="591" priority="56" operator="containsText" text="can">
      <formula>NOT(ISERROR(SEARCH("can",C9)))</formula>
    </cfRule>
  </conditionalFormatting>
  <conditionalFormatting sqref="C10:C12">
    <cfRule type="containsText" dxfId="590" priority="55" operator="containsText" text="ME">
      <formula>NOT(ISERROR(SEARCH("ME",C10)))</formula>
    </cfRule>
  </conditionalFormatting>
  <conditionalFormatting sqref="C13">
    <cfRule type="containsText" dxfId="589" priority="53" operator="containsText" text="must">
      <formula>NOT(ISERROR(SEARCH("must",C13)))</formula>
    </cfRule>
    <cfRule type="containsText" dxfId="588" priority="52" operator="containsText" text="can">
      <formula>NOT(ISERROR(SEARCH("can",C13)))</formula>
    </cfRule>
  </conditionalFormatting>
  <conditionalFormatting sqref="C14:C16">
    <cfRule type="containsText" dxfId="587" priority="51" operator="containsText" text="ME">
      <formula>NOT(ISERROR(SEARCH("ME",C14)))</formula>
    </cfRule>
  </conditionalFormatting>
  <conditionalFormatting sqref="C17">
    <cfRule type="containsText" dxfId="586" priority="49" operator="containsText" text="must">
      <formula>NOT(ISERROR(SEARCH("must",C17)))</formula>
    </cfRule>
    <cfRule type="containsText" dxfId="585" priority="48" operator="containsText" text="can">
      <formula>NOT(ISERROR(SEARCH("can",C17)))</formula>
    </cfRule>
  </conditionalFormatting>
  <conditionalFormatting sqref="C18:C20">
    <cfRule type="containsText" dxfId="584" priority="47" operator="containsText" text="ME">
      <formula>NOT(ISERROR(SEARCH("ME",C18)))</formula>
    </cfRule>
  </conditionalFormatting>
  <conditionalFormatting sqref="C21">
    <cfRule type="containsText" dxfId="583" priority="45" operator="containsText" text="must">
      <formula>NOT(ISERROR(SEARCH("must",C21)))</formula>
    </cfRule>
    <cfRule type="containsText" dxfId="582" priority="44" operator="containsText" text="can">
      <formula>NOT(ISERROR(SEARCH("can",C21)))</formula>
    </cfRule>
  </conditionalFormatting>
  <conditionalFormatting sqref="C22:C24">
    <cfRule type="containsText" dxfId="581" priority="43" operator="containsText" text="ME">
      <formula>NOT(ISERROR(SEARCH("ME",C22)))</formula>
    </cfRule>
  </conditionalFormatting>
  <conditionalFormatting sqref="C25">
    <cfRule type="containsText" dxfId="580" priority="41" operator="containsText" text="must">
      <formula>NOT(ISERROR(SEARCH("must",C25)))</formula>
    </cfRule>
    <cfRule type="containsText" dxfId="579" priority="40" operator="containsText" text="can">
      <formula>NOT(ISERROR(SEARCH("can",C25)))</formula>
    </cfRule>
  </conditionalFormatting>
  <conditionalFormatting sqref="C26:C28">
    <cfRule type="containsText" dxfId="578" priority="39" operator="containsText" text="ME">
      <formula>NOT(ISERROR(SEARCH("ME",C26)))</formula>
    </cfRule>
  </conditionalFormatting>
  <conditionalFormatting sqref="C29">
    <cfRule type="containsText" dxfId="577" priority="37" operator="containsText" text="must">
      <formula>NOT(ISERROR(SEARCH("must",C29)))</formula>
    </cfRule>
    <cfRule type="containsText" dxfId="576" priority="36" operator="containsText" text="can">
      <formula>NOT(ISERROR(SEARCH("can",C29)))</formula>
    </cfRule>
  </conditionalFormatting>
  <conditionalFormatting sqref="C30:C32">
    <cfRule type="containsText" dxfId="575" priority="35" operator="containsText" text="ME">
      <formula>NOT(ISERROR(SEARCH("ME",C30)))</formula>
    </cfRule>
  </conditionalFormatting>
  <conditionalFormatting sqref="C33">
    <cfRule type="containsText" dxfId="574" priority="32" operator="containsText" text="can">
      <formula>NOT(ISERROR(SEARCH("can",C33)))</formula>
    </cfRule>
    <cfRule type="containsText" dxfId="573" priority="33" operator="containsText" text="must">
      <formula>NOT(ISERROR(SEARCH("must",C33)))</formula>
    </cfRule>
  </conditionalFormatting>
  <conditionalFormatting sqref="C34:C36">
    <cfRule type="containsText" dxfId="572" priority="31" operator="containsText" text="ME">
      <formula>NOT(ISERROR(SEARCH("ME",C34)))</formula>
    </cfRule>
  </conditionalFormatting>
  <conditionalFormatting sqref="C37">
    <cfRule type="containsText" dxfId="571" priority="28" operator="containsText" text="can">
      <formula>NOT(ISERROR(SEARCH("can",C37)))</formula>
    </cfRule>
    <cfRule type="containsText" dxfId="570" priority="29" operator="containsText" text="must">
      <formula>NOT(ISERROR(SEARCH("must",C37)))</formula>
    </cfRule>
  </conditionalFormatting>
  <conditionalFormatting sqref="C38:C40">
    <cfRule type="containsText" dxfId="569" priority="27" operator="containsText" text="ME">
      <formula>NOT(ISERROR(SEARCH("ME",C38)))</formula>
    </cfRule>
  </conditionalFormatting>
  <conditionalFormatting sqref="C41">
    <cfRule type="containsText" dxfId="568" priority="25" operator="containsText" text="must">
      <formula>NOT(ISERROR(SEARCH("must",C41)))</formula>
    </cfRule>
    <cfRule type="containsText" dxfId="567" priority="24" operator="containsText" text="can">
      <formula>NOT(ISERROR(SEARCH("can",C41)))</formula>
    </cfRule>
  </conditionalFormatting>
  <conditionalFormatting sqref="C42:C44">
    <cfRule type="containsText" dxfId="566" priority="23" operator="containsText" text="ME">
      <formula>NOT(ISERROR(SEARCH("ME",C42)))</formula>
    </cfRule>
  </conditionalFormatting>
  <conditionalFormatting sqref="C45">
    <cfRule type="containsText" dxfId="565" priority="21" operator="containsText" text="must">
      <formula>NOT(ISERROR(SEARCH("must",C45)))</formula>
    </cfRule>
    <cfRule type="containsText" dxfId="564" priority="20" operator="containsText" text="can">
      <formula>NOT(ISERROR(SEARCH("can",C45)))</formula>
    </cfRule>
  </conditionalFormatting>
  <conditionalFormatting sqref="C46:C48">
    <cfRule type="containsText" dxfId="563" priority="19" operator="containsText" text="ME">
      <formula>NOT(ISERROR(SEARCH("ME",C46)))</formula>
    </cfRule>
  </conditionalFormatting>
  <conditionalFormatting sqref="C49">
    <cfRule type="containsText" dxfId="562" priority="16" operator="containsText" text="can">
      <formula>NOT(ISERROR(SEARCH("can",C49)))</formula>
    </cfRule>
    <cfRule type="containsText" dxfId="561" priority="17" operator="containsText" text="must">
      <formula>NOT(ISERROR(SEARCH("must",C49)))</formula>
    </cfRule>
  </conditionalFormatting>
  <conditionalFormatting sqref="C50:C52">
    <cfRule type="containsText" dxfId="560" priority="15" operator="containsText" text="ME">
      <formula>NOT(ISERROR(SEARCH("ME",C50)))</formula>
    </cfRule>
  </conditionalFormatting>
  <conditionalFormatting sqref="C53">
    <cfRule type="containsText" dxfId="559" priority="13" operator="containsText" text="must">
      <formula>NOT(ISERROR(SEARCH("must",C53)))</formula>
    </cfRule>
    <cfRule type="containsText" dxfId="558" priority="12" operator="containsText" text="can">
      <formula>NOT(ISERROR(SEARCH("can",C53)))</formula>
    </cfRule>
  </conditionalFormatting>
  <conditionalFormatting sqref="C54:C56">
    <cfRule type="containsText" dxfId="557" priority="11" operator="containsText" text="ME">
      <formula>NOT(ISERROR(SEARCH("ME",C54)))</formula>
    </cfRule>
  </conditionalFormatting>
  <conditionalFormatting sqref="C57">
    <cfRule type="containsText" dxfId="556" priority="8" operator="containsText" text="can">
      <formula>NOT(ISERROR(SEARCH("can",C57)))</formula>
    </cfRule>
    <cfRule type="containsText" dxfId="555" priority="9" operator="containsText" text="must">
      <formula>NOT(ISERROR(SEARCH("must",C57)))</formula>
    </cfRule>
  </conditionalFormatting>
  <conditionalFormatting sqref="C58:C60">
    <cfRule type="containsText" dxfId="554" priority="7" operator="containsText" text="ME">
      <formula>NOT(ISERROR(SEARCH("ME",C58)))</formula>
    </cfRule>
  </conditionalFormatting>
  <conditionalFormatting sqref="C61">
    <cfRule type="containsText" dxfId="553" priority="4" operator="containsText" text="can">
      <formula>NOT(ISERROR(SEARCH("can",C61)))</formula>
    </cfRule>
    <cfRule type="containsText" dxfId="552" priority="5" operator="containsText" text="must">
      <formula>NOT(ISERROR(SEARCH("must",C61)))</formula>
    </cfRule>
  </conditionalFormatting>
  <conditionalFormatting sqref="C62:C64">
    <cfRule type="containsText" dxfId="551" priority="3" operator="containsText" text="ME">
      <formula>NOT(ISERROR(SEARCH("ME",C62)))</formula>
    </cfRule>
  </conditionalFormatting>
  <conditionalFormatting sqref="J5">
    <cfRule type="cellIs" dxfId="550" priority="62" operator="equal">
      <formula>"ME"</formula>
    </cfRule>
  </conditionalFormatting>
  <conditionalFormatting sqref="J9">
    <cfRule type="cellIs" dxfId="549" priority="58" operator="equal">
      <formula>"ME"</formula>
    </cfRule>
  </conditionalFormatting>
  <conditionalFormatting sqref="J13">
    <cfRule type="cellIs" dxfId="548" priority="54" operator="equal">
      <formula>"ME"</formula>
    </cfRule>
  </conditionalFormatting>
  <conditionalFormatting sqref="J17">
    <cfRule type="cellIs" dxfId="547" priority="50" operator="equal">
      <formula>"ME"</formula>
    </cfRule>
  </conditionalFormatting>
  <conditionalFormatting sqref="J21">
    <cfRule type="cellIs" dxfId="546" priority="46" operator="equal">
      <formula>"ME"</formula>
    </cfRule>
  </conditionalFormatting>
  <conditionalFormatting sqref="J25">
    <cfRule type="cellIs" dxfId="545" priority="42" operator="equal">
      <formula>"ME"</formula>
    </cfRule>
  </conditionalFormatting>
  <conditionalFormatting sqref="J29">
    <cfRule type="cellIs" dxfId="544" priority="38" operator="equal">
      <formula>"ME"</formula>
    </cfRule>
  </conditionalFormatting>
  <conditionalFormatting sqref="J33">
    <cfRule type="cellIs" dxfId="543" priority="34" operator="equal">
      <formula>"ME"</formula>
    </cfRule>
  </conditionalFormatting>
  <conditionalFormatting sqref="J37">
    <cfRule type="cellIs" dxfId="542" priority="30" operator="equal">
      <formula>"ME"</formula>
    </cfRule>
  </conditionalFormatting>
  <conditionalFormatting sqref="J41">
    <cfRule type="cellIs" dxfId="541" priority="26" operator="equal">
      <formula>"ME"</formula>
    </cfRule>
  </conditionalFormatting>
  <conditionalFormatting sqref="J45">
    <cfRule type="cellIs" dxfId="540" priority="22" operator="equal">
      <formula>"ME"</formula>
    </cfRule>
  </conditionalFormatting>
  <conditionalFormatting sqref="J49">
    <cfRule type="cellIs" dxfId="539" priority="18" operator="equal">
      <formula>"ME"</formula>
    </cfRule>
  </conditionalFormatting>
  <conditionalFormatting sqref="J53">
    <cfRule type="cellIs" dxfId="538" priority="14" operator="equal">
      <formula>"ME"</formula>
    </cfRule>
  </conditionalFormatting>
  <conditionalFormatting sqref="J57">
    <cfRule type="cellIs" dxfId="537" priority="10" operator="equal">
      <formula>"ME"</formula>
    </cfRule>
  </conditionalFormatting>
  <conditionalFormatting sqref="J61">
    <cfRule type="cellIs" dxfId="536" priority="6" operator="equal">
      <formula>"ME"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8B20-2C96-CD40-9EA0-EE00284A5C5D}">
  <sheetPr>
    <tabColor theme="0"/>
  </sheetPr>
  <dimension ref="A1:S65"/>
  <sheetViews>
    <sheetView zoomScale="85" zoomScaleNormal="85" workbookViewId="0">
      <pane xSplit="1" ySplit="4" topLeftCell="B5" activePane="bottomRight" state="frozen"/>
      <selection pane="bottomLeft" activeCell="A5" sqref="A5"/>
      <selection pane="topRight" activeCell="B1" sqref="B1"/>
      <selection pane="bottomRight" activeCell="I5" sqref="I5"/>
    </sheetView>
  </sheetViews>
  <sheetFormatPr defaultColWidth="8.91015625" defaultRowHeight="16.5" x14ac:dyDescent="0.25"/>
  <cols>
    <col min="1" max="1" width="3.7109375" customWidth="1"/>
    <col min="2" max="2" width="12.87109375" style="140" bestFit="1" customWidth="1"/>
    <col min="3" max="3" width="10.0234375" bestFit="1" customWidth="1"/>
    <col min="4" max="4" width="8.7890625" bestFit="1" customWidth="1"/>
    <col min="5" max="5" width="10.76953125" bestFit="1" customWidth="1"/>
    <col min="6" max="6" width="6.0625" bestFit="1" customWidth="1"/>
    <col min="7" max="7" width="10.76953125" bestFit="1" customWidth="1"/>
    <col min="8" max="10" width="5.4453125" bestFit="1" customWidth="1"/>
    <col min="11" max="11" width="5.07421875" hidden="1" customWidth="1"/>
    <col min="12" max="12" width="7.55078125" hidden="1" customWidth="1"/>
    <col min="13" max="13" width="6.1875" hidden="1" customWidth="1"/>
    <col min="14" max="15" width="7.42578125" hidden="1" customWidth="1"/>
    <col min="16" max="16" width="6.0625" hidden="1" customWidth="1"/>
    <col min="17" max="17" width="3.21484375" hidden="1" customWidth="1"/>
    <col min="18" max="19" width="4.20703125" hidden="1" customWidth="1"/>
  </cols>
  <sheetData>
    <row r="1" spans="1:19" ht="63" customHeight="1" thickTop="1" thickBot="1" x14ac:dyDescent="0.3">
      <c r="A1">
        <v>5</v>
      </c>
      <c r="B1" s="124" t="s">
        <v>40</v>
      </c>
      <c r="C1" s="125">
        <f ca="1">ROUNDDOWN((G1-E1)/7,0)+1</f>
        <v>13</v>
      </c>
      <c r="D1" s="146"/>
      <c r="E1" s="196">
        <v>45753</v>
      </c>
      <c r="F1" s="196"/>
      <c r="G1" s="197">
        <f ca="1">TODAY()</f>
        <v>45838</v>
      </c>
      <c r="H1" s="197"/>
      <c r="L1" s="75" t="s">
        <v>25</v>
      </c>
      <c r="M1" s="76"/>
    </row>
    <row r="2" spans="1:19" ht="18" thickTop="1" thickBot="1" x14ac:dyDescent="0.3">
      <c r="A2" s="126">
        <f ca="1">C1</f>
        <v>13</v>
      </c>
      <c r="B2" s="112" t="s">
        <v>58</v>
      </c>
      <c r="C2" s="80" t="s">
        <v>5</v>
      </c>
      <c r="D2" s="78" t="s">
        <v>11</v>
      </c>
      <c r="E2" s="78" t="s">
        <v>12</v>
      </c>
      <c r="F2" s="79" t="s">
        <v>13</v>
      </c>
      <c r="G2" s="147" t="s">
        <v>5</v>
      </c>
      <c r="H2" s="148" t="s">
        <v>11</v>
      </c>
      <c r="I2" s="148" t="s">
        <v>13</v>
      </c>
      <c r="J2" s="149" t="s">
        <v>14</v>
      </c>
      <c r="L2" s="86" t="s">
        <v>27</v>
      </c>
      <c r="M2" s="81"/>
    </row>
    <row r="3" spans="1:19" ht="18" thickTop="1" thickBot="1" x14ac:dyDescent="0.3">
      <c r="A3" s="129" t="s">
        <v>16</v>
      </c>
      <c r="B3" s="119">
        <v>123</v>
      </c>
      <c r="C3" s="85">
        <v>2.5</v>
      </c>
      <c r="D3" s="83">
        <v>100</v>
      </c>
      <c r="E3" s="83">
        <v>100</v>
      </c>
      <c r="F3" s="84">
        <f>MROUND(E3-D3*0.85,C3)</f>
        <v>15</v>
      </c>
      <c r="G3" s="150">
        <v>0.1</v>
      </c>
      <c r="H3" s="151">
        <v>100</v>
      </c>
      <c r="I3" s="151">
        <v>25</v>
      </c>
      <c r="J3" s="152">
        <f>MROUND(H3*0.85+I3,G3)</f>
        <v>110</v>
      </c>
      <c r="L3" s="86" t="s">
        <v>28</v>
      </c>
      <c r="M3" s="87"/>
      <c r="N3" s="120" t="s">
        <v>34</v>
      </c>
      <c r="O3" s="93" t="s">
        <v>35</v>
      </c>
    </row>
    <row r="4" spans="1:19" ht="33.75" thickTop="1" thickBot="1" x14ac:dyDescent="0.3">
      <c r="A4" s="198" t="str">
        <f>A3&amp;" 운동"</f>
        <v>상 운동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28" t="s">
        <v>30</v>
      </c>
      <c r="M4" s="115"/>
      <c r="N4" s="116">
        <v>0.01</v>
      </c>
      <c r="O4" s="122">
        <v>7.0000000000000007E-2</v>
      </c>
    </row>
    <row r="5" spans="1:19" ht="18" customHeight="1" thickTop="1" thickBot="1" x14ac:dyDescent="0.3">
      <c r="A5" s="193">
        <f ca="1">IF($M8&lt;IF($A$3="하",$S$8,$S$6),0,IF($M8&gt;IF($A$3="하",$S$7,$S$5),"",A1+1))</f>
        <v>0</v>
      </c>
      <c r="B5" s="141" t="str">
        <f>IF(O6-C8&lt;$A$1," ","MAX to "&amp;MROUND(IF(IF(O6-C8&gt;$A$1,$A$1,O6-C8)&lt;2,I1,I1*(37-IF(O6-C8&gt;$A$1,$A$1,O6-C8))/36),D8))</f>
        <v xml:space="preserve"> </v>
      </c>
      <c r="C5" s="90" t="str">
        <f>IF(O6&lt;=C8,"X",IF(N6&gt;C8,"must ME","can ME"))</f>
        <v>X</v>
      </c>
      <c r="D5" s="131" t="s">
        <v>31</v>
      </c>
      <c r="E5" s="132">
        <v>4</v>
      </c>
      <c r="F5" s="133" t="s">
        <v>32</v>
      </c>
      <c r="G5" s="132">
        <f>IF(F6&gt;=90%,2,IF(F6&gt;=80%,4,IF(F6&gt;=70%,6,6)))</f>
        <v>6</v>
      </c>
      <c r="H5" s="134" t="s">
        <v>2</v>
      </c>
      <c r="I5" s="135">
        <f>K6/(100%-IF($A$3="하",$P$8,$P$6)*K8)/K8</f>
        <v>121.10726643598616</v>
      </c>
      <c r="J5" s="136">
        <f>IF("하"=$A$3,$Q$7,$Q$5)</f>
        <v>25</v>
      </c>
      <c r="K5" s="137" t="s">
        <v>33</v>
      </c>
      <c r="L5" s="75" t="s">
        <v>25</v>
      </c>
      <c r="M5" s="76">
        <f>K6</f>
        <v>2187.5</v>
      </c>
      <c r="N5" s="74" t="s">
        <v>34</v>
      </c>
      <c r="O5" s="74" t="s">
        <v>35</v>
      </c>
      <c r="P5" s="77" t="s">
        <v>26</v>
      </c>
      <c r="Q5" s="77">
        <v>25</v>
      </c>
      <c r="R5" s="77">
        <v>300</v>
      </c>
      <c r="S5" s="77">
        <f ca="1">$A$2*R5/4</f>
        <v>975</v>
      </c>
    </row>
    <row r="6" spans="1:19" ht="18" customHeight="1" thickTop="1" thickBot="1" x14ac:dyDescent="0.3">
      <c r="A6" s="194"/>
      <c r="B6" s="143">
        <v>120</v>
      </c>
      <c r="C6" s="142">
        <f>IF(B8="","",IF(B6*36/(37-B8)=0,"",B6*36/(37-B8)))</f>
        <v>120</v>
      </c>
      <c r="D6" s="109" t="str">
        <f>B2</f>
        <v>INSPP</v>
      </c>
      <c r="E6" s="18">
        <f>IF(C6="",B3,C6)</f>
        <v>120</v>
      </c>
      <c r="F6" s="94">
        <f>100%-J5*IF($A$3="하",$P$8,$P$6)</f>
        <v>0.72249999999999992</v>
      </c>
      <c r="G6" s="7">
        <f t="shared" ref="G6:I7" si="0">F6</f>
        <v>0.72249999999999992</v>
      </c>
      <c r="H6" s="7">
        <f t="shared" si="0"/>
        <v>0.72249999999999992</v>
      </c>
      <c r="I6" s="7">
        <f t="shared" si="0"/>
        <v>0.72249999999999992</v>
      </c>
      <c r="J6" s="8">
        <f>I6</f>
        <v>0.72249999999999992</v>
      </c>
      <c r="K6" s="95">
        <f>F7*F8+G7*G8+H7*H8+I7*I8+J7*J8</f>
        <v>2187.5</v>
      </c>
      <c r="L6" s="86" t="s">
        <v>27</v>
      </c>
      <c r="M6" s="81">
        <f>M5+M2</f>
        <v>2187.5</v>
      </c>
      <c r="N6" s="90">
        <f>ROUNDDOWN(M4*$N$4,0)</f>
        <v>0</v>
      </c>
      <c r="O6" s="90">
        <f>ROUNDDOWN(M4*$O$4,0)</f>
        <v>0</v>
      </c>
      <c r="P6" s="82">
        <v>1.11E-2</v>
      </c>
      <c r="Q6" s="77">
        <v>25</v>
      </c>
      <c r="R6" s="77">
        <v>200</v>
      </c>
      <c r="S6" s="77">
        <f ca="1">$A$2*R6/4</f>
        <v>650</v>
      </c>
    </row>
    <row r="7" spans="1:19" ht="18" customHeight="1" thickTop="1" thickBot="1" x14ac:dyDescent="0.3">
      <c r="A7" s="194"/>
      <c r="B7" s="141" t="str">
        <f>IF(O6-C8&lt;$A$1," ","1~ "&amp;IF(O6-C8&gt;$A$1,$A$1,O6-C8)&amp;" rep")</f>
        <v xml:space="preserve"> </v>
      </c>
      <c r="C7" s="97" t="s">
        <v>37</v>
      </c>
      <c r="D7" s="98" t="s">
        <v>5</v>
      </c>
      <c r="E7" s="5" t="s">
        <v>3</v>
      </c>
      <c r="F7" s="18">
        <f>MROUND(F6*E6,D8)</f>
        <v>87.5</v>
      </c>
      <c r="G7" s="18">
        <f t="shared" si="0"/>
        <v>87.5</v>
      </c>
      <c r="H7" s="18">
        <f t="shared" si="0"/>
        <v>87.5</v>
      </c>
      <c r="I7" s="18">
        <f t="shared" si="0"/>
        <v>87.5</v>
      </c>
      <c r="J7" s="19">
        <f>I7</f>
        <v>87.5</v>
      </c>
      <c r="K7" s="74" t="s">
        <v>10</v>
      </c>
      <c r="L7" s="86" t="s">
        <v>28</v>
      </c>
      <c r="M7" s="87">
        <f>K8</f>
        <v>25</v>
      </c>
      <c r="N7" s="93" t="s">
        <v>34</v>
      </c>
      <c r="O7" s="93" t="s">
        <v>35</v>
      </c>
      <c r="P7" s="121" t="s">
        <v>29</v>
      </c>
      <c r="Q7" s="77">
        <v>20</v>
      </c>
      <c r="R7" s="77">
        <v>240</v>
      </c>
      <c r="S7" s="77">
        <f ca="1">$A$2*R7/4</f>
        <v>780</v>
      </c>
    </row>
    <row r="8" spans="1:19" ht="18" customHeight="1" thickTop="1" thickBot="1" x14ac:dyDescent="0.3">
      <c r="A8" s="195"/>
      <c r="B8" s="143">
        <v>1</v>
      </c>
      <c r="C8" s="90">
        <f>B8</f>
        <v>1</v>
      </c>
      <c r="D8" s="113">
        <v>2.5</v>
      </c>
      <c r="E8" s="13" t="s">
        <v>7</v>
      </c>
      <c r="F8" s="153">
        <v>6</v>
      </c>
      <c r="G8" s="153">
        <v>6</v>
      </c>
      <c r="H8" s="154">
        <v>5</v>
      </c>
      <c r="I8" s="154">
        <v>5</v>
      </c>
      <c r="J8" s="155">
        <f>IF((J5-(F8+G8+H8+I8))&gt;0,(J5-(F8+G8+H8+I8)),0)</f>
        <v>3</v>
      </c>
      <c r="K8" s="101">
        <f>SUM(F8:J8)</f>
        <v>25</v>
      </c>
      <c r="L8" s="88" t="s">
        <v>30</v>
      </c>
      <c r="M8" s="89">
        <f>M7+M4</f>
        <v>25</v>
      </c>
      <c r="N8" s="90">
        <f>ROUNDDOWN((M4+C8+K8)*$N$4,0)</f>
        <v>0</v>
      </c>
      <c r="O8" s="90">
        <f>ROUNDDOWN((M4+K8+C8)*$O$4,0)</f>
        <v>1</v>
      </c>
      <c r="P8" s="117">
        <v>1.3899999999999999E-2</v>
      </c>
      <c r="Q8" s="77">
        <v>20</v>
      </c>
      <c r="R8" s="77">
        <v>160</v>
      </c>
      <c r="S8" s="77">
        <f ca="1">$A$2*R8/4</f>
        <v>520</v>
      </c>
    </row>
    <row r="9" spans="1:19" ht="18" customHeight="1" thickTop="1" thickBot="1" x14ac:dyDescent="0.3">
      <c r="A9" s="193">
        <f ca="1">IF($M12&lt;IF($A$3="하",$S$8,$S$6),0,IF($M12&gt;IF($A$3="하",$S$7,$S$5),"",MAX(A5+1)))</f>
        <v>0</v>
      </c>
      <c r="B9" s="141" t="str">
        <f>IF(O10-C8&lt;$A$1," ","MAX to "&amp;MROUND(IF(IF(O10-C8&gt;$A$1,$A$1,O10-C8)&lt;2,I5,I5*(37-IF(O10-C8&gt;$A$1,$A$1,O10-C8))/36),D12))</f>
        <v xml:space="preserve"> </v>
      </c>
      <c r="C9" s="90" t="str">
        <f>IF(O10&lt;=C8,"X",IF(N10&gt;C8,"must ME","can ME"))</f>
        <v>X</v>
      </c>
      <c r="D9" s="75" t="s">
        <v>31</v>
      </c>
      <c r="E9" s="23">
        <v>4</v>
      </c>
      <c r="F9" s="2">
        <v>1</v>
      </c>
      <c r="G9" s="23">
        <f>IF(F10&gt;=90%,2,IF(F10&gt;=80%,4,IF(F10&gt;=70%,6,6)))</f>
        <v>6</v>
      </c>
      <c r="H9" s="3" t="s">
        <v>2</v>
      </c>
      <c r="I9" s="91">
        <f>K10/(100%-IF($A$3="하",$P$8,$P$6)*K12)/K12</f>
        <v>90.684852002321534</v>
      </c>
      <c r="J9" s="92">
        <f>IF("하"=$A$3,$Q$7,$Q$5)</f>
        <v>25</v>
      </c>
      <c r="K9" s="107" t="s">
        <v>33</v>
      </c>
      <c r="L9" s="75" t="s">
        <v>25</v>
      </c>
      <c r="M9" s="76">
        <f>K10</f>
        <v>1750</v>
      </c>
      <c r="N9" s="93" t="s">
        <v>34</v>
      </c>
      <c r="O9" s="93" t="s">
        <v>35</v>
      </c>
    </row>
    <row r="10" spans="1:19" ht="18" customHeight="1" thickTop="1" thickBot="1" x14ac:dyDescent="0.3">
      <c r="A10" s="194"/>
      <c r="B10" s="143">
        <v>85</v>
      </c>
      <c r="C10" s="142">
        <f>IF(B12="","",IF(B10*36/(37-B12)=0,"",B10*36/(37-B12)))</f>
        <v>85</v>
      </c>
      <c r="D10" s="109" t="s">
        <v>15</v>
      </c>
      <c r="E10" s="18">
        <f>IF(C10="",I5,C10)</f>
        <v>85</v>
      </c>
      <c r="F10" s="94">
        <f>100%-J9*IF($A$3="하",$P$8,$P$6)</f>
        <v>0.72249999999999992</v>
      </c>
      <c r="G10" s="7">
        <f t="shared" ref="G10:I11" si="1">F10</f>
        <v>0.72249999999999992</v>
      </c>
      <c r="H10" s="7">
        <f t="shared" si="1"/>
        <v>0.72249999999999992</v>
      </c>
      <c r="I10" s="7">
        <f t="shared" si="1"/>
        <v>0.72249999999999992</v>
      </c>
      <c r="J10" s="8">
        <f>I10</f>
        <v>0.72249999999999992</v>
      </c>
      <c r="K10" s="95">
        <f>F11*F12+G11*G12+H11*H12+I11*I12+J11*J12</f>
        <v>1750</v>
      </c>
      <c r="L10" s="86" t="s">
        <v>27</v>
      </c>
      <c r="M10" s="81">
        <f>M9+M6</f>
        <v>3937.5</v>
      </c>
      <c r="N10" s="90">
        <f>ROUNDDOWN(M8*$N$4,0)</f>
        <v>0</v>
      </c>
      <c r="O10" s="90">
        <f>ROUNDDOWN(M8*$O$4,0)</f>
        <v>1</v>
      </c>
    </row>
    <row r="11" spans="1:19" ht="18" customHeight="1" thickTop="1" thickBot="1" x14ac:dyDescent="0.3">
      <c r="A11" s="194"/>
      <c r="B11" s="141" t="str">
        <f>IF(O10-C8&lt;$A$1," ","1~ "&amp;IF(O10-C8&gt;$A$1,$A$1,O10-C8)&amp;" rep")</f>
        <v xml:space="preserve"> </v>
      </c>
      <c r="C11" s="97" t="s">
        <v>37</v>
      </c>
      <c r="D11" s="98" t="s">
        <v>5</v>
      </c>
      <c r="E11" s="5" t="s">
        <v>3</v>
      </c>
      <c r="F11" s="18">
        <f>MROUND(F10*E10,D12)</f>
        <v>62.5</v>
      </c>
      <c r="G11" s="18">
        <f t="shared" si="1"/>
        <v>62.5</v>
      </c>
      <c r="H11" s="18">
        <f t="shared" si="1"/>
        <v>62.5</v>
      </c>
      <c r="I11" s="18">
        <f t="shared" si="1"/>
        <v>62.5</v>
      </c>
      <c r="J11" s="19">
        <f>I11</f>
        <v>62.5</v>
      </c>
      <c r="K11" s="74" t="s">
        <v>10</v>
      </c>
      <c r="L11" s="86" t="s">
        <v>28</v>
      </c>
      <c r="M11" s="87">
        <f>K12</f>
        <v>28</v>
      </c>
      <c r="N11" s="93" t="s">
        <v>34</v>
      </c>
      <c r="O11" s="93" t="s">
        <v>35</v>
      </c>
    </row>
    <row r="12" spans="1:19" ht="18" customHeight="1" thickTop="1" thickBot="1" x14ac:dyDescent="0.3">
      <c r="A12" s="195"/>
      <c r="B12" s="144">
        <v>1</v>
      </c>
      <c r="C12" s="90">
        <f>IF(B10="",C8,IF(C10&lt;=0,C8,C8+B12))</f>
        <v>2</v>
      </c>
      <c r="D12" s="100">
        <f>D8</f>
        <v>2.5</v>
      </c>
      <c r="E12" s="13" t="s">
        <v>7</v>
      </c>
      <c r="F12" s="153">
        <v>6</v>
      </c>
      <c r="G12" s="153">
        <v>6</v>
      </c>
      <c r="H12" s="153">
        <v>6</v>
      </c>
      <c r="I12" s="154">
        <v>5</v>
      </c>
      <c r="J12" s="155">
        <v>5</v>
      </c>
      <c r="K12" s="101">
        <f>SUM(F12:J12)</f>
        <v>28</v>
      </c>
      <c r="L12" s="88" t="s">
        <v>30</v>
      </c>
      <c r="M12" s="89">
        <f>M11+M8</f>
        <v>53</v>
      </c>
      <c r="N12" s="90">
        <f>ROUNDDOWN((M8-C8+C12+K12)*$N$4,0)</f>
        <v>0</v>
      </c>
      <c r="O12" s="90">
        <f>ROUNDDOWN((M8+K12-+C12)*$O$4,0)</f>
        <v>3</v>
      </c>
    </row>
    <row r="13" spans="1:19" ht="18" customHeight="1" thickTop="1" thickBot="1" x14ac:dyDescent="0.3">
      <c r="A13" s="193">
        <f t="shared" ref="A13" ca="1" si="2">IF($M16&lt;IF($A$3="하",$S$8,$S$6),0,IF($M16&gt;IF($A$3="하",$S$7,$S$5),"",MAX(A9+1)))</f>
        <v>0</v>
      </c>
      <c r="B13" s="141" t="str">
        <f>IF(O14-C12&lt;$A$1," ","MAX to "&amp;MROUND(IF(IF(O14-C12&gt;$A$1,$A$1,O14-C12)&lt;2,I9,I9*(37-IF(O14-C12&gt;$A$1,$A$1,O14-C12))/36),D16))</f>
        <v xml:space="preserve"> </v>
      </c>
      <c r="C13" s="90" t="str">
        <f>IF(O14&lt;=C12,"X",IF(N14&gt;C12,"must ME","can ME"))</f>
        <v>can ME</v>
      </c>
      <c r="D13" s="75" t="s">
        <v>31</v>
      </c>
      <c r="E13" s="23">
        <v>4</v>
      </c>
      <c r="F13" s="2">
        <v>1</v>
      </c>
      <c r="G13" s="23">
        <f>IF(F14&gt;=90%,2,IF(F14&gt;=80%,4,IF(F14&gt;=70%,6,6)))</f>
        <v>6</v>
      </c>
      <c r="H13" s="3" t="s">
        <v>2</v>
      </c>
      <c r="I13" s="91">
        <f>K14/(100%-IF($A$3="하",$P$8,$P$6)*K16)/K16</f>
        <v>89.965397923875443</v>
      </c>
      <c r="J13" s="92">
        <f>IF("하"=$A$3,$Q$7,$Q$5)</f>
        <v>25</v>
      </c>
      <c r="K13" s="107" t="s">
        <v>33</v>
      </c>
      <c r="L13" s="75" t="s">
        <v>25</v>
      </c>
      <c r="M13" s="76">
        <f>K14</f>
        <v>1625</v>
      </c>
      <c r="N13" s="93" t="s">
        <v>34</v>
      </c>
      <c r="O13" s="93" t="s">
        <v>35</v>
      </c>
    </row>
    <row r="14" spans="1:19" ht="18" customHeight="1" thickTop="1" thickBot="1" x14ac:dyDescent="0.3">
      <c r="A14" s="194"/>
      <c r="B14" s="143"/>
      <c r="C14" s="142" t="str">
        <f>IF(B16="","",IF(B14*36/(37-B16)=0,"",B14*36/(37-B16)))</f>
        <v/>
      </c>
      <c r="D14" s="109" t="str">
        <f>D10</f>
        <v>MP</v>
      </c>
      <c r="E14" s="18">
        <f>IF(C14="",I9,C14)</f>
        <v>90.684852002321534</v>
      </c>
      <c r="F14" s="94">
        <f>100%-J13*IF($A$3="하",$P$8,$P$6)</f>
        <v>0.72249999999999992</v>
      </c>
      <c r="G14" s="7">
        <f t="shared" ref="G14:I15" si="3">F14</f>
        <v>0.72249999999999992</v>
      </c>
      <c r="H14" s="7">
        <f t="shared" si="3"/>
        <v>0.72249999999999992</v>
      </c>
      <c r="I14" s="7">
        <f t="shared" si="3"/>
        <v>0.72249999999999992</v>
      </c>
      <c r="J14" s="8">
        <f>I14</f>
        <v>0.72249999999999992</v>
      </c>
      <c r="K14" s="95">
        <f>F15*F16+G15*G16+H15*H16+I15*I16+J15*J16</f>
        <v>1625</v>
      </c>
      <c r="L14" s="86" t="s">
        <v>27</v>
      </c>
      <c r="M14" s="81">
        <f>M13+M10</f>
        <v>5562.5</v>
      </c>
      <c r="N14" s="90">
        <f>ROUNDDOWN(M12*$N$4,0)</f>
        <v>0</v>
      </c>
      <c r="O14" s="90">
        <f>ROUNDDOWN(M12*$O$4,0)</f>
        <v>3</v>
      </c>
    </row>
    <row r="15" spans="1:19" ht="18" customHeight="1" thickTop="1" thickBot="1" x14ac:dyDescent="0.3">
      <c r="A15" s="194"/>
      <c r="B15" s="141" t="str">
        <f>IF(O14-C12&lt;$A$1," ","1~ "&amp;IF(O14-C12&gt;$A$1,$A$1,O14-C12)&amp;" rep")</f>
        <v xml:space="preserve"> </v>
      </c>
      <c r="C15" s="97" t="s">
        <v>37</v>
      </c>
      <c r="D15" s="98" t="s">
        <v>5</v>
      </c>
      <c r="E15" s="5" t="s">
        <v>3</v>
      </c>
      <c r="F15" s="18">
        <f>MROUND(F14*E14,D16)</f>
        <v>65</v>
      </c>
      <c r="G15" s="18">
        <f t="shared" si="3"/>
        <v>65</v>
      </c>
      <c r="H15" s="18">
        <f t="shared" si="3"/>
        <v>65</v>
      </c>
      <c r="I15" s="18">
        <f t="shared" si="3"/>
        <v>65</v>
      </c>
      <c r="J15" s="19">
        <f>I15</f>
        <v>65</v>
      </c>
      <c r="K15" s="74" t="s">
        <v>10</v>
      </c>
      <c r="L15" s="86" t="s">
        <v>28</v>
      </c>
      <c r="M15" s="87">
        <f>K16</f>
        <v>25</v>
      </c>
      <c r="N15" s="93" t="s">
        <v>34</v>
      </c>
      <c r="O15" s="93" t="s">
        <v>35</v>
      </c>
    </row>
    <row r="16" spans="1:19" ht="18" customHeight="1" thickTop="1" thickBot="1" x14ac:dyDescent="0.3">
      <c r="A16" s="195"/>
      <c r="B16" s="144"/>
      <c r="C16" s="90">
        <f>IF(B14="",C12,IF(C14&lt;=0,C12,C12+B16))</f>
        <v>2</v>
      </c>
      <c r="D16" s="100">
        <f>D12</f>
        <v>2.5</v>
      </c>
      <c r="E16" s="13" t="s">
        <v>7</v>
      </c>
      <c r="F16" s="103">
        <f xml:space="preserve"> IF($A$3="하",0,IF(MROUND(J13/5,1)&lt;=G13,IF(MROUND(J13/5,1)&gt;=E13,MROUND(J13/5,1),E13),G13))</f>
        <v>5</v>
      </c>
      <c r="G16" s="104">
        <f>IF(MROUND((J13-F16)/4,1)&lt;=G13,IF(MROUND((J13-F16)/4,1)&gt;=E13,MROUND((J13-F16)/4,1),E13),G13)</f>
        <v>5</v>
      </c>
      <c r="H16" s="104">
        <f>IF(MROUND((J13-F16-G16)/3,1)&lt;=G13,IF(MROUND((J13-F16-G16)/3,1)&gt;=E13,MROUND((J13-F16-G16)/3,1),E13),G13)</f>
        <v>5</v>
      </c>
      <c r="I16" s="104">
        <f>IF(MROUND((J13-F16-G16-H16)/2,1)&lt;=G13,IF((J13-F16-G16-H16)/2&gt;=E13,MROUND((J13-F16-G16-H16)/2,1),J13-F16-G16-H16),G13)</f>
        <v>5</v>
      </c>
      <c r="J16" s="105">
        <f>IF((J13-(F16+G16+H16+I16))&gt;0,(J13-(F16+G16+H16+I16)),0)</f>
        <v>5</v>
      </c>
      <c r="K16" s="101">
        <f>SUM(F16:J16)</f>
        <v>25</v>
      </c>
      <c r="L16" s="88" t="s">
        <v>30</v>
      </c>
      <c r="M16" s="89">
        <f>M15+M12</f>
        <v>78</v>
      </c>
      <c r="N16" s="90">
        <f>ROUNDDOWN((M12-C12+C16+K16)*$N$4,0)</f>
        <v>0</v>
      </c>
      <c r="O16" s="90">
        <f>ROUNDDOWN((M12+K16-+C16)*$O$4,0)</f>
        <v>5</v>
      </c>
    </row>
    <row r="17" spans="1:15" ht="18" customHeight="1" thickTop="1" thickBot="1" x14ac:dyDescent="0.3">
      <c r="A17" s="193">
        <f t="shared" ref="A17" ca="1" si="4">IF($M20&lt;IF($A$3="하",$S$8,$S$6),0,IF($M20&gt;IF($A$3="하",$S$7,$S$5),"",MAX(A13+1)))</f>
        <v>0</v>
      </c>
      <c r="B17" s="141" t="str">
        <f>IF(O18-C16&lt;$A$1," ","MAX to "&amp;MROUND(IF(IF(O18-C16&gt;$A$1,$A$1,O18-C16)&lt;2,I13,I13*(37-IF(O18-C16&gt;$A$1,$A$1,O18-C16))/36),D20))</f>
        <v xml:space="preserve"> </v>
      </c>
      <c r="C17" s="90" t="str">
        <f>IF(O18&lt;=C16,"X",IF(N18&gt;C16,"must ME","can ME"))</f>
        <v>can ME</v>
      </c>
      <c r="D17" s="75" t="s">
        <v>31</v>
      </c>
      <c r="E17" s="23">
        <v>4</v>
      </c>
      <c r="F17" s="2">
        <v>1</v>
      </c>
      <c r="G17" s="23">
        <f>IF(F18&gt;=90%,2,IF(F18&gt;=80%,4,IF(F18&gt;=70%,6,6)))</f>
        <v>6</v>
      </c>
      <c r="H17" s="3" t="s">
        <v>2</v>
      </c>
      <c r="I17" s="91">
        <f>K18/(100%-IF($A$3="하",$P$8,$P$6)*K20)/K20</f>
        <v>89.965397923875443</v>
      </c>
      <c r="J17" s="92">
        <f>IF("하"=$A$3,$Q$7,$Q$5)</f>
        <v>25</v>
      </c>
      <c r="K17" s="107" t="s">
        <v>33</v>
      </c>
      <c r="L17" s="75" t="s">
        <v>25</v>
      </c>
      <c r="M17" s="76">
        <f>K18</f>
        <v>1625</v>
      </c>
      <c r="N17" s="93" t="s">
        <v>34</v>
      </c>
      <c r="O17" s="93" t="s">
        <v>35</v>
      </c>
    </row>
    <row r="18" spans="1:15" ht="18" customHeight="1" thickTop="1" thickBot="1" x14ac:dyDescent="0.3">
      <c r="A18" s="194"/>
      <c r="B18" s="143"/>
      <c r="C18" s="142" t="str">
        <f>IF(B20="","",IF(B18*36/(37-B20)=0,"",B18*36/(37-B20)))</f>
        <v/>
      </c>
      <c r="D18" s="109" t="str">
        <f>D14</f>
        <v>MP</v>
      </c>
      <c r="E18" s="18">
        <f>IF(C18="",I13,C18)</f>
        <v>89.965397923875443</v>
      </c>
      <c r="F18" s="94">
        <f>100%-J17*IF($A$3="하",$P$8,$P$6)</f>
        <v>0.72249999999999992</v>
      </c>
      <c r="G18" s="7">
        <f t="shared" ref="G18:I19" si="5">F18</f>
        <v>0.72249999999999992</v>
      </c>
      <c r="H18" s="7">
        <f t="shared" si="5"/>
        <v>0.72249999999999992</v>
      </c>
      <c r="I18" s="7">
        <f t="shared" si="5"/>
        <v>0.72249999999999992</v>
      </c>
      <c r="J18" s="8">
        <f>I18</f>
        <v>0.72249999999999992</v>
      </c>
      <c r="K18" s="95">
        <f>F19*F20+G19*G20+H19*H20+I19*I20+J19*J20</f>
        <v>1625</v>
      </c>
      <c r="L18" s="86" t="s">
        <v>27</v>
      </c>
      <c r="M18" s="81">
        <f>M17+M14</f>
        <v>7187.5</v>
      </c>
      <c r="N18" s="90">
        <f>ROUNDDOWN(M16*$N$4,0)</f>
        <v>0</v>
      </c>
      <c r="O18" s="90">
        <f>ROUNDDOWN(M16*$O$4,0)</f>
        <v>5</v>
      </c>
    </row>
    <row r="19" spans="1:15" ht="18" customHeight="1" thickTop="1" thickBot="1" x14ac:dyDescent="0.3">
      <c r="A19" s="194"/>
      <c r="B19" s="141" t="str">
        <f>IF(O18-C16&lt;$A$1," ","1~ "&amp;IF(O18-C16&gt;$A$1,$A$1,O18-C16)&amp;" rep")</f>
        <v xml:space="preserve"> </v>
      </c>
      <c r="C19" s="97" t="s">
        <v>37</v>
      </c>
      <c r="D19" s="98" t="s">
        <v>5</v>
      </c>
      <c r="E19" s="5" t="s">
        <v>3</v>
      </c>
      <c r="F19" s="18">
        <f>MROUND(F18*E18,D20)</f>
        <v>65</v>
      </c>
      <c r="G19" s="18">
        <f t="shared" si="5"/>
        <v>65</v>
      </c>
      <c r="H19" s="18">
        <f t="shared" si="5"/>
        <v>65</v>
      </c>
      <c r="I19" s="18">
        <f t="shared" si="5"/>
        <v>65</v>
      </c>
      <c r="J19" s="19">
        <f>I19</f>
        <v>65</v>
      </c>
      <c r="K19" s="74" t="s">
        <v>10</v>
      </c>
      <c r="L19" s="86" t="s">
        <v>28</v>
      </c>
      <c r="M19" s="87">
        <f>K20</f>
        <v>25</v>
      </c>
      <c r="N19" s="93" t="s">
        <v>34</v>
      </c>
      <c r="O19" s="93" t="s">
        <v>35</v>
      </c>
    </row>
    <row r="20" spans="1:15" ht="18" customHeight="1" thickTop="1" thickBot="1" x14ac:dyDescent="0.3">
      <c r="A20" s="195"/>
      <c r="B20" s="144"/>
      <c r="C20" s="90">
        <f>IF(B18="",C16,IF(C18&lt;=0,C16,C16+B20))</f>
        <v>2</v>
      </c>
      <c r="D20" s="100">
        <f>D16</f>
        <v>2.5</v>
      </c>
      <c r="E20" s="13" t="s">
        <v>7</v>
      </c>
      <c r="F20" s="103">
        <f xml:space="preserve"> IF($A$3="하",0,IF(MROUND(J17/5,1)&lt;=G17,IF(MROUND(J17/5,1)&gt;=E17,MROUND(J17/5,1),E17),G17))</f>
        <v>5</v>
      </c>
      <c r="G20" s="104">
        <f>IF(MROUND((J17-F20)/4,1)&lt;=G17,IF(MROUND((J17-F20)/4,1)&gt;=E17,MROUND((J17-F20)/4,1),E17),G17)</f>
        <v>5</v>
      </c>
      <c r="H20" s="104">
        <f>IF(MROUND((J17-F20-G20)/3,1)&lt;=G17,IF(MROUND((J17-F20-G20)/3,1)&gt;=E17,MROUND((J17-F20-G20)/3,1),E17),G17)</f>
        <v>5</v>
      </c>
      <c r="I20" s="104">
        <f>IF(MROUND((J17-F20-G20-H20)/2,1)&lt;=G17,IF((J17-F20-G20-H20)/2&gt;=E17,MROUND((J17-F20-G20-H20)/2,1),J17-F20-G20-H20),G17)</f>
        <v>5</v>
      </c>
      <c r="J20" s="105">
        <f>IF((J17-(F20+G20+H20+I20))&gt;0,(J17-(F20+G20+H20+I20)),0)</f>
        <v>5</v>
      </c>
      <c r="K20" s="101">
        <f>SUM(F20:J20)</f>
        <v>25</v>
      </c>
      <c r="L20" s="88" t="s">
        <v>30</v>
      </c>
      <c r="M20" s="89">
        <f>M19+M16</f>
        <v>103</v>
      </c>
      <c r="N20" s="90">
        <f>ROUNDDOWN((M16-C16+C20+K20)*$N$4,0)</f>
        <v>1</v>
      </c>
      <c r="O20" s="90">
        <f>ROUNDDOWN((M16+K20-+C20)*$O$4,0)</f>
        <v>7</v>
      </c>
    </row>
    <row r="21" spans="1:15" ht="18" customHeight="1" thickTop="1" thickBot="1" x14ac:dyDescent="0.3">
      <c r="A21" s="193">
        <f ca="1">IF($M24&lt;IF($A$3="하",$S$8,$S$6),0,IF($M24&gt;IF($A$3="하",$S$7,$S$5),"",MAX(A17+1)))</f>
        <v>0</v>
      </c>
      <c r="B21" s="141" t="str">
        <f>IF(O22-C20&lt;$A$1," ","MAX to "&amp;MROUND(IF(IF(O22-C20&gt;$A$1,$A$1,O22-C20)&lt;2,I17,I17*(37-IF(O22-C20&gt;$A$1,$A$1,O22-C20))/36),D24))</f>
        <v>MAX to 80</v>
      </c>
      <c r="C21" s="90" t="str">
        <f>IF(O22&lt;=C20,"X",IF(N22&gt;C20,"must ME","can ME"))</f>
        <v>can ME</v>
      </c>
      <c r="D21" s="75" t="s">
        <v>31</v>
      </c>
      <c r="E21" s="23">
        <v>4</v>
      </c>
      <c r="F21" s="2">
        <v>1</v>
      </c>
      <c r="G21" s="23">
        <f>IF(F22&gt;=90%,2,IF(F22&gt;=80%,4,IF(F22&gt;=70%,6,6)))</f>
        <v>6</v>
      </c>
      <c r="H21" s="3" t="s">
        <v>2</v>
      </c>
      <c r="I21" s="91">
        <f>K22/(100%-IF($A$3="하",$P$8,$P$6)*K24)/K24</f>
        <v>89.965397923875443</v>
      </c>
      <c r="J21" s="92">
        <f>IF("하"=$A$3,$Q$7,$Q$5)</f>
        <v>25</v>
      </c>
      <c r="K21" s="107" t="s">
        <v>33</v>
      </c>
      <c r="L21" s="75" t="s">
        <v>25</v>
      </c>
      <c r="M21" s="76">
        <f>K22</f>
        <v>1625</v>
      </c>
      <c r="N21" s="93" t="s">
        <v>34</v>
      </c>
      <c r="O21" s="93" t="s">
        <v>35</v>
      </c>
    </row>
    <row r="22" spans="1:15" ht="18" customHeight="1" thickTop="1" thickBot="1" x14ac:dyDescent="0.3">
      <c r="A22" s="194"/>
      <c r="B22" s="143"/>
      <c r="C22" s="142" t="str">
        <f>IF(B24="","",IF(B22*36/(37-B24)=0,"",B22*36/(37-B24)))</f>
        <v/>
      </c>
      <c r="D22" s="109" t="str">
        <f>D18</f>
        <v>MP</v>
      </c>
      <c r="E22" s="18">
        <f>IF(C22="",I17,C22)</f>
        <v>89.965397923875443</v>
      </c>
      <c r="F22" s="94">
        <f>100%-J21*IF($A$3="하",$P$8,$P$6)</f>
        <v>0.72249999999999992</v>
      </c>
      <c r="G22" s="7">
        <f t="shared" ref="G22:I23" si="6">F22</f>
        <v>0.72249999999999992</v>
      </c>
      <c r="H22" s="7">
        <f t="shared" si="6"/>
        <v>0.72249999999999992</v>
      </c>
      <c r="I22" s="7">
        <f t="shared" si="6"/>
        <v>0.72249999999999992</v>
      </c>
      <c r="J22" s="8">
        <f>I22</f>
        <v>0.72249999999999992</v>
      </c>
      <c r="K22" s="95">
        <f>F23*F24+G23*G24+H23*H24+I23*I24+J23*J24</f>
        <v>1625</v>
      </c>
      <c r="L22" s="86" t="s">
        <v>27</v>
      </c>
      <c r="M22" s="81">
        <f>M21+M18</f>
        <v>8812.5</v>
      </c>
      <c r="N22" s="90">
        <f>ROUNDDOWN(M20*$N$4,0)</f>
        <v>1</v>
      </c>
      <c r="O22" s="90">
        <f>ROUNDDOWN(M20*$O$4,0)</f>
        <v>7</v>
      </c>
    </row>
    <row r="23" spans="1:15" ht="18" customHeight="1" thickTop="1" thickBot="1" x14ac:dyDescent="0.3">
      <c r="A23" s="194"/>
      <c r="B23" s="141" t="str">
        <f>IF(O22-C20&lt;$A$1," ","1~ "&amp;IF(O22-C20&gt;$A$1,$A$1,O22-C20)&amp;" rep")</f>
        <v>1~ 5 rep</v>
      </c>
      <c r="C23" s="97" t="s">
        <v>37</v>
      </c>
      <c r="D23" s="98" t="s">
        <v>5</v>
      </c>
      <c r="E23" s="5" t="s">
        <v>3</v>
      </c>
      <c r="F23" s="18">
        <f>MROUND(F22*E22,D24)</f>
        <v>65</v>
      </c>
      <c r="G23" s="18">
        <f t="shared" si="6"/>
        <v>65</v>
      </c>
      <c r="H23" s="18">
        <f t="shared" si="6"/>
        <v>65</v>
      </c>
      <c r="I23" s="18">
        <f t="shared" si="6"/>
        <v>65</v>
      </c>
      <c r="J23" s="19">
        <f>I23</f>
        <v>65</v>
      </c>
      <c r="K23" s="74" t="s">
        <v>10</v>
      </c>
      <c r="L23" s="86" t="s">
        <v>28</v>
      </c>
      <c r="M23" s="87">
        <f>K24</f>
        <v>25</v>
      </c>
      <c r="N23" s="93" t="s">
        <v>34</v>
      </c>
      <c r="O23" s="93" t="s">
        <v>35</v>
      </c>
    </row>
    <row r="24" spans="1:15" ht="18" customHeight="1" thickTop="1" thickBot="1" x14ac:dyDescent="0.3">
      <c r="A24" s="195"/>
      <c r="B24" s="144"/>
      <c r="C24" s="90">
        <f>IF(B22="",C20,IF(C22&lt;=0,C20,C20+B24))</f>
        <v>2</v>
      </c>
      <c r="D24" s="100">
        <f>D20</f>
        <v>2.5</v>
      </c>
      <c r="E24" s="13" t="s">
        <v>7</v>
      </c>
      <c r="F24" s="103">
        <f xml:space="preserve"> IF($A$3="하",0,IF(MROUND(J21/5,1)&lt;=G21,IF(MROUND(J21/5,1)&gt;=E21,MROUND(J21/5,1),E21),G21))</f>
        <v>5</v>
      </c>
      <c r="G24" s="104">
        <f>IF(MROUND((J21-F24)/4,1)&lt;=G21,IF(MROUND((J21-F24)/4,1)&gt;=E21,MROUND((J21-F24)/4,1),E21),G21)</f>
        <v>5</v>
      </c>
      <c r="H24" s="104">
        <f>IF(MROUND((J21-F24-G24)/3,1)&lt;=G21,IF(MROUND((J21-F24-G24)/3,1)&gt;=E21,MROUND((J21-F24-G24)/3,1),E21),G21)</f>
        <v>5</v>
      </c>
      <c r="I24" s="104">
        <f>IF(MROUND((J21-F24-G24-H24)/2,1)&lt;=G21,IF((J21-F24-G24-H24)/2&gt;=E21,MROUND((J21-F24-G24-H24)/2,1),J21-F24-G24-H24),G21)</f>
        <v>5</v>
      </c>
      <c r="J24" s="105">
        <f>IF((J21-(F24+G24+H24+I24))&gt;0,(J21-(F24+G24+H24+I24)),0)</f>
        <v>5</v>
      </c>
      <c r="K24" s="101">
        <f>SUM(F24:J24)</f>
        <v>25</v>
      </c>
      <c r="L24" s="88" t="s">
        <v>30</v>
      </c>
      <c r="M24" s="89">
        <f>M23+M20</f>
        <v>128</v>
      </c>
      <c r="N24" s="90">
        <f>ROUNDDOWN((M20-C20+C24+K24)*$N$4,0)</f>
        <v>1</v>
      </c>
      <c r="O24" s="90">
        <f>ROUNDDOWN((M20+K24-+C24)*$O$4,0)</f>
        <v>8</v>
      </c>
    </row>
    <row r="25" spans="1:15" ht="18" customHeight="1" thickTop="1" thickBot="1" x14ac:dyDescent="0.3">
      <c r="A25" s="193">
        <f ca="1">IF($M28&lt;IF($A$3="하",$S$8,$S$6),0,IF($M28&gt;IF($A$3="하",$S$7,$S$5),"",MAX(A21+1)))</f>
        <v>0</v>
      </c>
      <c r="B25" s="141" t="str">
        <f>IF(O26-C24&lt;$A$1," ","MAX to "&amp;MROUND(IF(IF(O26-C24&gt;$A$1,$A$1,O26-C24)&lt;2,I21,I21*(37-IF(O26-C24&gt;$A$1,$A$1,O26-C24))/36),D28))</f>
        <v>MAX to 80</v>
      </c>
      <c r="C25" s="90" t="str">
        <f>IF(O26&lt;=C24,"X",IF(N26&gt;C24,"must ME","can ME"))</f>
        <v>can ME</v>
      </c>
      <c r="D25" s="75" t="s">
        <v>31</v>
      </c>
      <c r="E25" s="23">
        <v>4</v>
      </c>
      <c r="F25" s="2">
        <v>1</v>
      </c>
      <c r="G25" s="23">
        <f>IF(F26&gt;=90%,2,IF(F26&gt;=80%,4,IF(F26&gt;=70%,6,6)))</f>
        <v>6</v>
      </c>
      <c r="H25" s="3" t="s">
        <v>2</v>
      </c>
      <c r="I25" s="91">
        <f>K26/(100%-IF($A$3="하",$P$8,$P$6)*K28)/K28</f>
        <v>89.965397923875443</v>
      </c>
      <c r="J25" s="92">
        <f>IF("하"=$A$3,$Q$7,$Q$5)</f>
        <v>25</v>
      </c>
      <c r="K25" s="107" t="s">
        <v>33</v>
      </c>
      <c r="L25" s="75" t="s">
        <v>25</v>
      </c>
      <c r="M25" s="76">
        <f>K26</f>
        <v>1625</v>
      </c>
      <c r="N25" s="93" t="s">
        <v>34</v>
      </c>
      <c r="O25" s="93" t="s">
        <v>35</v>
      </c>
    </row>
    <row r="26" spans="1:15" ht="18" customHeight="1" thickTop="1" thickBot="1" x14ac:dyDescent="0.3">
      <c r="A26" s="194"/>
      <c r="B26" s="143"/>
      <c r="C26" s="142" t="str">
        <f>IF(B28="","",IF(B26*36/(37-B28)=0,"",B26*36/(37-B28)))</f>
        <v/>
      </c>
      <c r="D26" s="109" t="str">
        <f>D22</f>
        <v>MP</v>
      </c>
      <c r="E26" s="18">
        <f>IF(C26="",I21,C26)</f>
        <v>89.965397923875443</v>
      </c>
      <c r="F26" s="94">
        <f>100%-J25*IF($A$3="하",$P$8,$P$6)</f>
        <v>0.72249999999999992</v>
      </c>
      <c r="G26" s="7">
        <f t="shared" ref="G26:I27" si="7">F26</f>
        <v>0.72249999999999992</v>
      </c>
      <c r="H26" s="7">
        <f t="shared" si="7"/>
        <v>0.72249999999999992</v>
      </c>
      <c r="I26" s="7">
        <f t="shared" si="7"/>
        <v>0.72249999999999992</v>
      </c>
      <c r="J26" s="8">
        <f>I26</f>
        <v>0.72249999999999992</v>
      </c>
      <c r="K26" s="95">
        <f>F27*F28+G27*G28+H27*H28+I27*I28+J27*J28</f>
        <v>1625</v>
      </c>
      <c r="L26" s="86" t="s">
        <v>27</v>
      </c>
      <c r="M26" s="81">
        <f>M25+M22</f>
        <v>10437.5</v>
      </c>
      <c r="N26" s="90">
        <f>ROUNDDOWN(M24*$N$4,0)</f>
        <v>1</v>
      </c>
      <c r="O26" s="90">
        <f>ROUNDDOWN(M24*$O$4,0)</f>
        <v>8</v>
      </c>
    </row>
    <row r="27" spans="1:15" ht="18" customHeight="1" thickTop="1" thickBot="1" x14ac:dyDescent="0.3">
      <c r="A27" s="194"/>
      <c r="B27" s="141" t="str">
        <f>IF(O26-C24&lt;$A$1," ","1~ "&amp;IF(O26-C24&gt;$A$1,$A$1,O26-C24)&amp;" rep")</f>
        <v>1~ 5 rep</v>
      </c>
      <c r="C27" s="97" t="s">
        <v>37</v>
      </c>
      <c r="D27" s="98" t="s">
        <v>5</v>
      </c>
      <c r="E27" s="5" t="s">
        <v>3</v>
      </c>
      <c r="F27" s="18">
        <f>MROUND(F26*E26,D28)</f>
        <v>65</v>
      </c>
      <c r="G27" s="18">
        <f t="shared" si="7"/>
        <v>65</v>
      </c>
      <c r="H27" s="18">
        <f t="shared" si="7"/>
        <v>65</v>
      </c>
      <c r="I27" s="18">
        <f t="shared" si="7"/>
        <v>65</v>
      </c>
      <c r="J27" s="19">
        <f>I27</f>
        <v>65</v>
      </c>
      <c r="K27" s="74" t="s">
        <v>10</v>
      </c>
      <c r="L27" s="86" t="s">
        <v>28</v>
      </c>
      <c r="M27" s="87">
        <f>K28</f>
        <v>25</v>
      </c>
      <c r="N27" s="93" t="s">
        <v>34</v>
      </c>
      <c r="O27" s="93" t="s">
        <v>35</v>
      </c>
    </row>
    <row r="28" spans="1:15" ht="18" customHeight="1" thickTop="1" thickBot="1" x14ac:dyDescent="0.3">
      <c r="A28" s="195"/>
      <c r="B28" s="144"/>
      <c r="C28" s="90">
        <f>IF(B26="",C24,IF(C26&lt;=0,C24,C24+B28))</f>
        <v>2</v>
      </c>
      <c r="D28" s="100">
        <f>D24</f>
        <v>2.5</v>
      </c>
      <c r="E28" s="13" t="s">
        <v>7</v>
      </c>
      <c r="F28" s="103">
        <f xml:space="preserve"> IF($A$3="하",0,IF(MROUND(J25/5,1)&lt;=G25,IF(MROUND(J25/5,1)&gt;=E25,MROUND(J25/5,1),E25),G25))</f>
        <v>5</v>
      </c>
      <c r="G28" s="104">
        <f>IF(MROUND((J25-F28)/4,1)&lt;=G25,IF(MROUND((J25-F28)/4,1)&gt;=E25,MROUND((J25-F28)/4,1),E25),G25)</f>
        <v>5</v>
      </c>
      <c r="H28" s="104">
        <f>IF(MROUND((J25-F28-G28)/3,1)&lt;=G25,IF(MROUND((J25-F28-G28)/3,1)&gt;=E25,MROUND((J25-F28-G28)/3,1),E25),G25)</f>
        <v>5</v>
      </c>
      <c r="I28" s="104">
        <f>IF(MROUND((J25-F28-G28-H28)/2,1)&lt;=G25,IF((J25-F28-G28-H28)/2&gt;=E25,MROUND((J25-F28-G28-H28)/2,1),J25-F28-G28-H28),G25)</f>
        <v>5</v>
      </c>
      <c r="J28" s="105">
        <f>IF((J25-(F28+G28+H28+I28))&gt;0,(J25-(F28+G28+H28+I28)),0)</f>
        <v>5</v>
      </c>
      <c r="K28" s="101">
        <f>SUM(F28:J28)</f>
        <v>25</v>
      </c>
      <c r="L28" s="88" t="s">
        <v>30</v>
      </c>
      <c r="M28" s="89">
        <f>M27+M24</f>
        <v>153</v>
      </c>
      <c r="N28" s="90">
        <f>ROUNDDOWN((M24-C24+C28+K28)*$N$4,0)</f>
        <v>1</v>
      </c>
      <c r="O28" s="90">
        <f>ROUNDDOWN((M24+K28-+C28)*$O$4,0)</f>
        <v>10</v>
      </c>
    </row>
    <row r="29" spans="1:15" ht="18" customHeight="1" thickTop="1" thickBot="1" x14ac:dyDescent="0.3">
      <c r="A29" s="193">
        <f ca="1">IF($M32&lt;IF($A$3="하",$S$8,$S$6),0,IF($M32&gt;IF($A$3="하",$S$7,$S$5),"",MAX(A25+1)))</f>
        <v>0</v>
      </c>
      <c r="B29" s="141" t="str">
        <f>IF(O30-C28&lt;$A$1," ","MAX to "&amp;MROUND(IF(IF(O30-C28&gt;$A$1,$A$1,O30-C28)&lt;2,I25,I25*(37-IF(O30-C28&gt;$A$1,$A$1,O30-C28))/36),D32))</f>
        <v>MAX to 80</v>
      </c>
      <c r="C29" s="90" t="str">
        <f>IF(O30&lt;=C28,"X",IF(N30&gt;C28,"must ME","can ME"))</f>
        <v>can ME</v>
      </c>
      <c r="D29" s="75" t="s">
        <v>31</v>
      </c>
      <c r="E29" s="23">
        <v>4</v>
      </c>
      <c r="F29" s="2">
        <v>1</v>
      </c>
      <c r="G29" s="23">
        <f>IF(F30&gt;=90%,2,IF(F30&gt;=80%,4,IF(F30&gt;=70%,6,6)))</f>
        <v>6</v>
      </c>
      <c r="H29" s="3" t="s">
        <v>2</v>
      </c>
      <c r="I29" s="91">
        <f>K30/(100%-IF($A$3="하",$P$8,$P$6)*K32)/K32</f>
        <v>89.965397923875443</v>
      </c>
      <c r="J29" s="92">
        <f>IF("하"=$A$3,$Q$7,$Q$5)</f>
        <v>25</v>
      </c>
      <c r="K29" s="107" t="s">
        <v>33</v>
      </c>
      <c r="L29" s="75" t="s">
        <v>25</v>
      </c>
      <c r="M29" s="76">
        <f>K30</f>
        <v>1625</v>
      </c>
      <c r="N29" s="93" t="s">
        <v>34</v>
      </c>
      <c r="O29" s="93" t="s">
        <v>35</v>
      </c>
    </row>
    <row r="30" spans="1:15" ht="18" customHeight="1" thickTop="1" thickBot="1" x14ac:dyDescent="0.3">
      <c r="A30" s="194"/>
      <c r="B30" s="143"/>
      <c r="C30" s="142" t="str">
        <f>IF(B32="","",IF(B30*36/(37-B32)=0,"",B30*36/(37-B32)))</f>
        <v/>
      </c>
      <c r="D30" s="109" t="str">
        <f>D26</f>
        <v>MP</v>
      </c>
      <c r="E30" s="18">
        <f>IF(C30="",I25,C30)</f>
        <v>89.965397923875443</v>
      </c>
      <c r="F30" s="94">
        <f>100%-J29*IF($A$3="하",$P$8,$P$6)</f>
        <v>0.72249999999999992</v>
      </c>
      <c r="G30" s="7">
        <f t="shared" ref="G30:I31" si="8">F30</f>
        <v>0.72249999999999992</v>
      </c>
      <c r="H30" s="7">
        <f t="shared" si="8"/>
        <v>0.72249999999999992</v>
      </c>
      <c r="I30" s="7">
        <f t="shared" si="8"/>
        <v>0.72249999999999992</v>
      </c>
      <c r="J30" s="8">
        <f>I30</f>
        <v>0.72249999999999992</v>
      </c>
      <c r="K30" s="95">
        <f>F31*F32+G31*G32+H31*H32+I31*I32+J31*J32</f>
        <v>1625</v>
      </c>
      <c r="L30" s="86" t="s">
        <v>27</v>
      </c>
      <c r="M30" s="81">
        <f>M29+M26</f>
        <v>12062.5</v>
      </c>
      <c r="N30" s="90">
        <f>ROUNDDOWN(M28*$N$4,0)</f>
        <v>1</v>
      </c>
      <c r="O30" s="90">
        <f>ROUNDDOWN(M28*$O$4,0)</f>
        <v>10</v>
      </c>
    </row>
    <row r="31" spans="1:15" ht="18" customHeight="1" thickTop="1" thickBot="1" x14ac:dyDescent="0.3">
      <c r="A31" s="194"/>
      <c r="B31" s="141" t="str">
        <f>IF(O30-C28&lt;$A$1," ","1~ "&amp;IF(O30-C28&gt;$A$1,$A$1,O30-C28)&amp;" rep")</f>
        <v>1~ 5 rep</v>
      </c>
      <c r="C31" s="97" t="s">
        <v>37</v>
      </c>
      <c r="D31" s="98" t="s">
        <v>5</v>
      </c>
      <c r="E31" s="5" t="s">
        <v>3</v>
      </c>
      <c r="F31" s="18">
        <f>MROUND(F30*E30,D32)</f>
        <v>65</v>
      </c>
      <c r="G31" s="18">
        <f t="shared" si="8"/>
        <v>65</v>
      </c>
      <c r="H31" s="18">
        <f t="shared" si="8"/>
        <v>65</v>
      </c>
      <c r="I31" s="18">
        <f t="shared" si="8"/>
        <v>65</v>
      </c>
      <c r="J31" s="19">
        <f>I31</f>
        <v>65</v>
      </c>
      <c r="K31" s="74" t="s">
        <v>10</v>
      </c>
      <c r="L31" s="86" t="s">
        <v>28</v>
      </c>
      <c r="M31" s="87">
        <f>K32</f>
        <v>25</v>
      </c>
      <c r="N31" s="93" t="s">
        <v>34</v>
      </c>
      <c r="O31" s="93" t="s">
        <v>35</v>
      </c>
    </row>
    <row r="32" spans="1:15" ht="18" customHeight="1" thickTop="1" thickBot="1" x14ac:dyDescent="0.3">
      <c r="A32" s="195"/>
      <c r="B32" s="144"/>
      <c r="C32" s="90">
        <f>IF(B30="",C28,IF(C30&lt;=0,C28,C28+B32))</f>
        <v>2</v>
      </c>
      <c r="D32" s="100">
        <f>D28</f>
        <v>2.5</v>
      </c>
      <c r="E32" s="13" t="s">
        <v>7</v>
      </c>
      <c r="F32" s="103">
        <f xml:space="preserve"> IF($A$3="하",0,IF(MROUND(J29/5,1)&lt;=G29,IF(MROUND(J29/5,1)&gt;=E29,MROUND(J29/5,1),E29),G29))</f>
        <v>5</v>
      </c>
      <c r="G32" s="104">
        <f>IF(MROUND((J29-F32)/4,1)&lt;=G29,IF(MROUND((J29-F32)/4,1)&gt;=E29,MROUND((J29-F32)/4,1),E29),G29)</f>
        <v>5</v>
      </c>
      <c r="H32" s="104">
        <f>IF(MROUND((J29-F32-G32)/3,1)&lt;=G29,IF(MROUND((J29-F32-G32)/3,1)&gt;=E29,MROUND((J29-F32-G32)/3,1),E29),G29)</f>
        <v>5</v>
      </c>
      <c r="I32" s="104">
        <f>IF(MROUND((J29-F32-G32-H32)/2,1)&lt;=G29,IF((J29-F32-G32-H32)/2&gt;=E29,MROUND((J29-F32-G32-H32)/2,1),J29-F32-G32-H32),G29)</f>
        <v>5</v>
      </c>
      <c r="J32" s="105">
        <f>IF((J29-(F32+G32+H32+I32))&gt;0,(J29-(F32+G32+H32+I32)),0)</f>
        <v>5</v>
      </c>
      <c r="K32" s="101">
        <f>SUM(F32:J32)</f>
        <v>25</v>
      </c>
      <c r="L32" s="88" t="s">
        <v>30</v>
      </c>
      <c r="M32" s="89">
        <f>M31+M28</f>
        <v>178</v>
      </c>
      <c r="N32" s="90">
        <f>ROUNDDOWN((M28-C28+C32+K32)*$N$4,0)</f>
        <v>1</v>
      </c>
      <c r="O32" s="90">
        <f>ROUNDDOWN((M28+K32-+C32)*$O$4,0)</f>
        <v>12</v>
      </c>
    </row>
    <row r="33" spans="1:15" ht="18" customHeight="1" thickTop="1" thickBot="1" x14ac:dyDescent="0.3">
      <c r="A33" s="193">
        <f ca="1">IF($M36&lt;IF($A$3="하",$S$8,$S$6),0,IF($M36&gt;IF($A$3="하",$S$7,$S$5),"",MAX(A29+1)))</f>
        <v>0</v>
      </c>
      <c r="B33" s="141" t="str">
        <f>IF(O34-C32&lt;$A$1," ","MAX to "&amp;MROUND(IF(IF(O34-C32&gt;$A$1,$A$1,O34-C32)&lt;2,I29,I29*(37-IF(O34-C32&gt;$A$1,$A$1,O34-C32))/36),D36))</f>
        <v>MAX to 80</v>
      </c>
      <c r="C33" s="90" t="str">
        <f>IF(O34&lt;=C32,"X",IF(N34&gt;C32,"must ME","can ME"))</f>
        <v>can ME</v>
      </c>
      <c r="D33" s="75" t="s">
        <v>31</v>
      </c>
      <c r="E33" s="23">
        <v>4</v>
      </c>
      <c r="F33" s="2">
        <v>1</v>
      </c>
      <c r="G33" s="23">
        <f>IF(F34&gt;=90%,2,IF(F34&gt;=80%,4,IF(F34&gt;=70%,6,6)))</f>
        <v>6</v>
      </c>
      <c r="H33" s="3" t="s">
        <v>2</v>
      </c>
      <c r="I33" s="91">
        <f>K34/(100%-IF($A$3="하",$P$8,$P$6)*K36)/K36</f>
        <v>89.965397923875443</v>
      </c>
      <c r="J33" s="92">
        <f>IF("하"=$A$3,$Q$7,$Q$5)</f>
        <v>25</v>
      </c>
      <c r="K33" s="107" t="s">
        <v>33</v>
      </c>
      <c r="L33" s="75" t="s">
        <v>25</v>
      </c>
      <c r="M33" s="76">
        <f>K34</f>
        <v>1625</v>
      </c>
      <c r="N33" s="93" t="s">
        <v>34</v>
      </c>
      <c r="O33" s="93" t="s">
        <v>35</v>
      </c>
    </row>
    <row r="34" spans="1:15" ht="18" customHeight="1" thickTop="1" thickBot="1" x14ac:dyDescent="0.3">
      <c r="A34" s="194"/>
      <c r="B34" s="143"/>
      <c r="C34" s="142" t="str">
        <f>IF(B36="","",IF(B34*36/(37-B36)=0,"",B34*36/(37-B36)))</f>
        <v/>
      </c>
      <c r="D34" s="109" t="str">
        <f>D30</f>
        <v>MP</v>
      </c>
      <c r="E34" s="18">
        <f>IF(C34="",I29,C34)</f>
        <v>89.965397923875443</v>
      </c>
      <c r="F34" s="94">
        <f>100%-J33*IF($A$3="하",$P$8,$P$6)</f>
        <v>0.72249999999999992</v>
      </c>
      <c r="G34" s="7">
        <f t="shared" ref="G34:I35" si="9">F34</f>
        <v>0.72249999999999992</v>
      </c>
      <c r="H34" s="7">
        <f t="shared" si="9"/>
        <v>0.72249999999999992</v>
      </c>
      <c r="I34" s="7">
        <f t="shared" si="9"/>
        <v>0.72249999999999992</v>
      </c>
      <c r="J34" s="8">
        <f>I34</f>
        <v>0.72249999999999992</v>
      </c>
      <c r="K34" s="95">
        <f>F35*F36+G35*G36+H35*H36+I35*I36+J35*J36</f>
        <v>1625</v>
      </c>
      <c r="L34" s="86" t="s">
        <v>27</v>
      </c>
      <c r="M34" s="81">
        <f>M33+M30</f>
        <v>13687.5</v>
      </c>
      <c r="N34" s="90">
        <f>ROUNDDOWN(M32*$N$4,0)</f>
        <v>1</v>
      </c>
      <c r="O34" s="90">
        <f>ROUNDDOWN(M32*$O$4,0)</f>
        <v>12</v>
      </c>
    </row>
    <row r="35" spans="1:15" ht="18" customHeight="1" thickTop="1" thickBot="1" x14ac:dyDescent="0.3">
      <c r="A35" s="194"/>
      <c r="B35" s="141" t="str">
        <f>IF(O34-C32&lt;$A$1," ","1~ "&amp;IF(O34-C32&gt;$A$1,$A$1,O34-C32)&amp;" rep")</f>
        <v>1~ 5 rep</v>
      </c>
      <c r="C35" s="97" t="s">
        <v>37</v>
      </c>
      <c r="D35" s="98" t="s">
        <v>5</v>
      </c>
      <c r="E35" s="5" t="s">
        <v>3</v>
      </c>
      <c r="F35" s="18">
        <f>MROUND(F34*E34,D36)</f>
        <v>65</v>
      </c>
      <c r="G35" s="18">
        <f t="shared" si="9"/>
        <v>65</v>
      </c>
      <c r="H35" s="18">
        <f t="shared" si="9"/>
        <v>65</v>
      </c>
      <c r="I35" s="18">
        <f t="shared" si="9"/>
        <v>65</v>
      </c>
      <c r="J35" s="19">
        <f>I35</f>
        <v>65</v>
      </c>
      <c r="K35" s="74" t="s">
        <v>10</v>
      </c>
      <c r="L35" s="86" t="s">
        <v>28</v>
      </c>
      <c r="M35" s="87">
        <f>K36</f>
        <v>25</v>
      </c>
      <c r="N35" s="93" t="s">
        <v>34</v>
      </c>
      <c r="O35" s="93" t="s">
        <v>35</v>
      </c>
    </row>
    <row r="36" spans="1:15" ht="18" customHeight="1" thickTop="1" thickBot="1" x14ac:dyDescent="0.3">
      <c r="A36" s="195"/>
      <c r="B36" s="144"/>
      <c r="C36" s="90">
        <f>IF(B34="",C32,IF(C34&lt;=0,C32,C32+B36))</f>
        <v>2</v>
      </c>
      <c r="D36" s="100">
        <f>D32</f>
        <v>2.5</v>
      </c>
      <c r="E36" s="13" t="s">
        <v>7</v>
      </c>
      <c r="F36" s="103">
        <f xml:space="preserve"> IF($A$3="하",0,IF(MROUND(J33/5,1)&lt;=G33,IF(MROUND(J33/5,1)&gt;=E33,MROUND(J33/5,1),E33),G33))</f>
        <v>5</v>
      </c>
      <c r="G36" s="104">
        <f>IF(MROUND((J33-F36)/4,1)&lt;=G33,IF(MROUND((J33-F36)/4,1)&gt;=E33,MROUND((J33-F36)/4,1),E33),G33)</f>
        <v>5</v>
      </c>
      <c r="H36" s="104">
        <f>IF(MROUND((J33-F36-G36)/3,1)&lt;=G33,IF(MROUND((J33-F36-G36)/3,1)&gt;=E33,MROUND((J33-F36-G36)/3,1),E33),G33)</f>
        <v>5</v>
      </c>
      <c r="I36" s="104">
        <f>IF(MROUND((J33-F36-G36-H36)/2,1)&lt;=G33,IF((J33-F36-G36-H36)/2&gt;=E33,MROUND((J33-F36-G36-H36)/2,1),J33-F36-G36-H36),G33)</f>
        <v>5</v>
      </c>
      <c r="J36" s="105">
        <f>IF((J33-(F36+G36+H36+I36))&gt;0,(J33-(F36+G36+H36+I36)),0)</f>
        <v>5</v>
      </c>
      <c r="K36" s="101">
        <f>SUM(F36:J36)</f>
        <v>25</v>
      </c>
      <c r="L36" s="88" t="s">
        <v>30</v>
      </c>
      <c r="M36" s="89">
        <f>M35+M32</f>
        <v>203</v>
      </c>
      <c r="N36" s="90">
        <f>ROUNDDOWN((M32-C32+C36+K36)*$N$4,0)</f>
        <v>2</v>
      </c>
      <c r="O36" s="90">
        <f>ROUNDDOWN((M32+K36-+C36)*$O$4,0)</f>
        <v>14</v>
      </c>
    </row>
    <row r="37" spans="1:15" ht="18" customHeight="1" thickTop="1" thickBot="1" x14ac:dyDescent="0.3">
      <c r="A37" s="193">
        <f t="shared" ref="A37" ca="1" si="10">IF($M40&lt;IF($A$3="하",$S$8,$S$6),0,IF($M40&gt;IF($A$3="하",$S$7,$S$5),"",MAX(A33+1)))</f>
        <v>0</v>
      </c>
      <c r="B37" s="141" t="str">
        <f>IF(O38-C36&lt;$A$1," ","MAX to "&amp;MROUND(IF(IF(O38-C36&gt;$A$1,$A$1,O38-C36)&lt;2,I33,I33*(37-IF(O38-C36&gt;$A$1,$A$1,O38-C36))/36),D40))</f>
        <v>MAX to 80</v>
      </c>
      <c r="C37" s="90" t="str">
        <f>IF(O38&lt;=C36,"X",IF(N38&gt;C36,"must ME","can ME"))</f>
        <v>can ME</v>
      </c>
      <c r="D37" s="75" t="s">
        <v>31</v>
      </c>
      <c r="E37" s="23">
        <v>4</v>
      </c>
      <c r="F37" s="2">
        <v>1</v>
      </c>
      <c r="G37" s="23">
        <f>IF(F38&gt;=90%,2,IF(F38&gt;=80%,4,IF(F38&gt;=70%,6,6)))</f>
        <v>6</v>
      </c>
      <c r="H37" s="3" t="s">
        <v>2</v>
      </c>
      <c r="I37" s="91">
        <f>K38/(100%-IF($A$3="하",$P$8,$P$6)*K40)/K40</f>
        <v>89.965397923875443</v>
      </c>
      <c r="J37" s="92">
        <f>IF("하"=$A$3,$Q$7,$Q$5)</f>
        <v>25</v>
      </c>
      <c r="K37" s="107" t="s">
        <v>33</v>
      </c>
      <c r="L37" s="75" t="s">
        <v>25</v>
      </c>
      <c r="M37" s="76">
        <f>K38</f>
        <v>1625</v>
      </c>
      <c r="N37" s="93" t="s">
        <v>34</v>
      </c>
      <c r="O37" s="93" t="s">
        <v>35</v>
      </c>
    </row>
    <row r="38" spans="1:15" ht="18" customHeight="1" thickTop="1" thickBot="1" x14ac:dyDescent="0.3">
      <c r="A38" s="194"/>
      <c r="B38" s="143"/>
      <c r="C38" s="142" t="str">
        <f>IF(B40="","",IF(B38*36/(37-B40)=0,"",B38*36/(37-B40)))</f>
        <v/>
      </c>
      <c r="D38" s="109" t="str">
        <f>D34</f>
        <v>MP</v>
      </c>
      <c r="E38" s="18">
        <f>IF(C38="",I33,C38)</f>
        <v>89.965397923875443</v>
      </c>
      <c r="F38" s="94">
        <f>100%-J37*IF($A$3="하",$P$8,$P$6)</f>
        <v>0.72249999999999992</v>
      </c>
      <c r="G38" s="7">
        <f t="shared" ref="G38:I39" si="11">F38</f>
        <v>0.72249999999999992</v>
      </c>
      <c r="H38" s="7">
        <f t="shared" si="11"/>
        <v>0.72249999999999992</v>
      </c>
      <c r="I38" s="7">
        <f t="shared" si="11"/>
        <v>0.72249999999999992</v>
      </c>
      <c r="J38" s="8">
        <f>I38</f>
        <v>0.72249999999999992</v>
      </c>
      <c r="K38" s="95">
        <f>F39*F40+G39*G40+H39*H40+I39*I40+J39*J40</f>
        <v>1625</v>
      </c>
      <c r="L38" s="86" t="s">
        <v>27</v>
      </c>
      <c r="M38" s="81">
        <f>M37+M34</f>
        <v>15312.5</v>
      </c>
      <c r="N38" s="90">
        <f>ROUNDDOWN(M36*$N$4,0)</f>
        <v>2</v>
      </c>
      <c r="O38" s="90">
        <f>ROUNDDOWN(M36*$O$4,0)</f>
        <v>14</v>
      </c>
    </row>
    <row r="39" spans="1:15" ht="18" customHeight="1" thickTop="1" thickBot="1" x14ac:dyDescent="0.3">
      <c r="A39" s="194"/>
      <c r="B39" s="141" t="str">
        <f>IF(O38-C36&lt;$A$1," ","1~ "&amp;IF(O38-C36&gt;$A$1,$A$1,O38-C36)&amp;" rep")</f>
        <v>1~ 5 rep</v>
      </c>
      <c r="C39" s="97" t="s">
        <v>37</v>
      </c>
      <c r="D39" s="98" t="s">
        <v>5</v>
      </c>
      <c r="E39" s="5" t="s">
        <v>3</v>
      </c>
      <c r="F39" s="18">
        <f>MROUND(F38*E38,D40)</f>
        <v>65</v>
      </c>
      <c r="G39" s="18">
        <f t="shared" si="11"/>
        <v>65</v>
      </c>
      <c r="H39" s="18">
        <f t="shared" si="11"/>
        <v>65</v>
      </c>
      <c r="I39" s="18">
        <f t="shared" si="11"/>
        <v>65</v>
      </c>
      <c r="J39" s="19">
        <f>I39</f>
        <v>65</v>
      </c>
      <c r="K39" s="74" t="s">
        <v>10</v>
      </c>
      <c r="L39" s="86" t="s">
        <v>28</v>
      </c>
      <c r="M39" s="87">
        <f>K40</f>
        <v>25</v>
      </c>
      <c r="N39" s="93" t="s">
        <v>34</v>
      </c>
      <c r="O39" s="93" t="s">
        <v>35</v>
      </c>
    </row>
    <row r="40" spans="1:15" ht="18" customHeight="1" thickTop="1" thickBot="1" x14ac:dyDescent="0.3">
      <c r="A40" s="195"/>
      <c r="B40" s="144"/>
      <c r="C40" s="90">
        <f>IF(B38="",C36,IF(C38&lt;=0,C36,C36+B40))</f>
        <v>2</v>
      </c>
      <c r="D40" s="100">
        <f>D36</f>
        <v>2.5</v>
      </c>
      <c r="E40" s="13" t="s">
        <v>7</v>
      </c>
      <c r="F40" s="103">
        <f xml:space="preserve"> IF($A$3="하",0,IF(MROUND(J37/5,1)&lt;=G37,IF(MROUND(J37/5,1)&gt;=E37,MROUND(J37/5,1),E37),G37))</f>
        <v>5</v>
      </c>
      <c r="G40" s="104">
        <f>IF(MROUND((J37-F40)/4,1)&lt;=G37,IF(MROUND((J37-F40)/4,1)&gt;=E37,MROUND((J37-F40)/4,1),E37),G37)</f>
        <v>5</v>
      </c>
      <c r="H40" s="104">
        <f>IF(MROUND((J37-F40-G40)/3,1)&lt;=G37,IF(MROUND((J37-F40-G40)/3,1)&gt;=E37,MROUND((J37-F40-G40)/3,1),E37),G37)</f>
        <v>5</v>
      </c>
      <c r="I40" s="104">
        <f>IF(MROUND((J37-F40-G40-H40)/2,1)&lt;=G37,IF((J37-F40-G40-H40)/2&gt;=E37,MROUND((J37-F40-G40-H40)/2,1),J37-F40-G40-H40),G37)</f>
        <v>5</v>
      </c>
      <c r="J40" s="105">
        <f>IF((J37-(F40+G40+H40+I40))&gt;0,(J37-(F40+G40+H40+I40)),0)</f>
        <v>5</v>
      </c>
      <c r="K40" s="101">
        <f>SUM(F40:J40)</f>
        <v>25</v>
      </c>
      <c r="L40" s="88" t="s">
        <v>30</v>
      </c>
      <c r="M40" s="89">
        <f>M39+M36</f>
        <v>228</v>
      </c>
      <c r="N40" s="90">
        <f>ROUNDDOWN((M36-C36+C40+K40)*$N$4,0)</f>
        <v>2</v>
      </c>
      <c r="O40" s="90">
        <f>ROUNDDOWN((M36+K40-+C40)*$O$4,0)</f>
        <v>15</v>
      </c>
    </row>
    <row r="41" spans="1:15" ht="18" customHeight="1" thickTop="1" thickBot="1" x14ac:dyDescent="0.3">
      <c r="A41" s="193">
        <f t="shared" ref="A41" ca="1" si="12">IF($M44&lt;IF($A$3="하",$S$8,$S$6),0,IF($M44&gt;IF($A$3="하",$S$7,$S$5),"",MAX(A37+1)))</f>
        <v>0</v>
      </c>
      <c r="B41" s="141" t="str">
        <f>IF(O42-C40&lt;$A$1," ","MAX to "&amp;MROUND(IF(IF(O42-C40&gt;$A$1,$A$1,O42-C40)&lt;2,I37,I37*(37-IF(O42-C40&gt;$A$1,$A$1,O42-C40))/36),D44))</f>
        <v>MAX to 80</v>
      </c>
      <c r="C41" s="90" t="str">
        <f>IF(O42&lt;=C40,"X",IF(N42&gt;C40,"must ME","can ME"))</f>
        <v>can ME</v>
      </c>
      <c r="D41" s="75" t="s">
        <v>31</v>
      </c>
      <c r="E41" s="23">
        <v>4</v>
      </c>
      <c r="F41" s="2">
        <v>1</v>
      </c>
      <c r="G41" s="23">
        <f>IF(F42&gt;=90%,2,IF(F42&gt;=80%,4,IF(F42&gt;=70%,6,6)))</f>
        <v>6</v>
      </c>
      <c r="H41" s="3" t="s">
        <v>2</v>
      </c>
      <c r="I41" s="91">
        <f>K42/(100%-IF($A$3="하",$P$8,$P$6)*K44)/K44</f>
        <v>89.965397923875443</v>
      </c>
      <c r="J41" s="92">
        <f>IF("하"=$A$3,$Q$7,$Q$5)</f>
        <v>25</v>
      </c>
      <c r="K41" s="107" t="s">
        <v>33</v>
      </c>
      <c r="L41" s="75" t="s">
        <v>25</v>
      </c>
      <c r="M41" s="76">
        <f>K42</f>
        <v>1625</v>
      </c>
      <c r="N41" s="93" t="s">
        <v>34</v>
      </c>
      <c r="O41" s="93" t="s">
        <v>35</v>
      </c>
    </row>
    <row r="42" spans="1:15" ht="18" customHeight="1" thickTop="1" thickBot="1" x14ac:dyDescent="0.3">
      <c r="A42" s="194"/>
      <c r="B42" s="143"/>
      <c r="C42" s="142" t="str">
        <f>IF(B44="","",IF(B42*36/(37-B44)=0,"",B42*36/(37-B44)))</f>
        <v/>
      </c>
      <c r="D42" s="109" t="str">
        <f>D38</f>
        <v>MP</v>
      </c>
      <c r="E42" s="18">
        <f>IF(C42="",I37,C42)</f>
        <v>89.965397923875443</v>
      </c>
      <c r="F42" s="94">
        <f>100%-J41*IF($A$3="하",$P$8,$P$6)</f>
        <v>0.72249999999999992</v>
      </c>
      <c r="G42" s="7">
        <f t="shared" ref="G42:I43" si="13">F42</f>
        <v>0.72249999999999992</v>
      </c>
      <c r="H42" s="7">
        <f t="shared" si="13"/>
        <v>0.72249999999999992</v>
      </c>
      <c r="I42" s="7">
        <f t="shared" si="13"/>
        <v>0.72249999999999992</v>
      </c>
      <c r="J42" s="8">
        <f>I42</f>
        <v>0.72249999999999992</v>
      </c>
      <c r="K42" s="95">
        <f>F43*F44+G43*G44+H43*H44+I43*I44+J43*J44</f>
        <v>1625</v>
      </c>
      <c r="L42" s="86" t="s">
        <v>27</v>
      </c>
      <c r="M42" s="81">
        <f>M41+M38</f>
        <v>16937.5</v>
      </c>
      <c r="N42" s="90">
        <f>ROUNDDOWN(M40*$N$4,0)</f>
        <v>2</v>
      </c>
      <c r="O42" s="90">
        <f>ROUNDDOWN(M40*$O$4,0)</f>
        <v>15</v>
      </c>
    </row>
    <row r="43" spans="1:15" ht="18" customHeight="1" thickTop="1" thickBot="1" x14ac:dyDescent="0.3">
      <c r="A43" s="194"/>
      <c r="B43" s="141" t="str">
        <f>IF(O42-C40&lt;$A$1," ","1~ "&amp;IF(O42-C40&gt;$A$1,$A$1,O42-C40)&amp;" rep")</f>
        <v>1~ 5 rep</v>
      </c>
      <c r="C43" s="97" t="s">
        <v>37</v>
      </c>
      <c r="D43" s="98" t="s">
        <v>5</v>
      </c>
      <c r="E43" s="5" t="s">
        <v>3</v>
      </c>
      <c r="F43" s="18">
        <f>MROUND(F42*E42,D44)</f>
        <v>65</v>
      </c>
      <c r="G43" s="18">
        <f t="shared" si="13"/>
        <v>65</v>
      </c>
      <c r="H43" s="18">
        <f t="shared" si="13"/>
        <v>65</v>
      </c>
      <c r="I43" s="18">
        <f t="shared" si="13"/>
        <v>65</v>
      </c>
      <c r="J43" s="19">
        <f>I43</f>
        <v>65</v>
      </c>
      <c r="K43" s="74" t="s">
        <v>10</v>
      </c>
      <c r="L43" s="86" t="s">
        <v>28</v>
      </c>
      <c r="M43" s="87">
        <f>K44</f>
        <v>25</v>
      </c>
      <c r="N43" s="93" t="s">
        <v>34</v>
      </c>
      <c r="O43" s="93" t="s">
        <v>35</v>
      </c>
    </row>
    <row r="44" spans="1:15" ht="18" customHeight="1" thickTop="1" thickBot="1" x14ac:dyDescent="0.3">
      <c r="A44" s="195"/>
      <c r="B44" s="144"/>
      <c r="C44" s="90">
        <f>IF(B42="",C40,IF(C42&lt;=0,C40,C40+B44))</f>
        <v>2</v>
      </c>
      <c r="D44" s="100">
        <f>D40</f>
        <v>2.5</v>
      </c>
      <c r="E44" s="13" t="s">
        <v>7</v>
      </c>
      <c r="F44" s="103">
        <f xml:space="preserve"> IF($A$3="하",0,IF(MROUND(J41/5,1)&lt;=G41,IF(MROUND(J41/5,1)&gt;=E41,MROUND(J41/5,1),E41),G41))</f>
        <v>5</v>
      </c>
      <c r="G44" s="104">
        <f>IF(MROUND((J41-F44)/4,1)&lt;=G41,IF(MROUND((J41-F44)/4,1)&gt;=E41,MROUND((J41-F44)/4,1),E41),G41)</f>
        <v>5</v>
      </c>
      <c r="H44" s="104">
        <f>IF(MROUND((J41-F44-G44)/3,1)&lt;=G41,IF(MROUND((J41-F44-G44)/3,1)&gt;=E41,MROUND((J41-F44-G44)/3,1),E41),G41)</f>
        <v>5</v>
      </c>
      <c r="I44" s="104">
        <f>IF(MROUND((J41-F44-G44-H44)/2,1)&lt;=G41,IF((J41-F44-G44-H44)/2&gt;=E41,MROUND((J41-F44-G44-H44)/2,1),J41-F44-G44-H44),G41)</f>
        <v>5</v>
      </c>
      <c r="J44" s="105">
        <f>IF((J41-(F44+G44+H44+I44))&gt;0,(J41-(F44+G44+H44+I44)),0)</f>
        <v>5</v>
      </c>
      <c r="K44" s="101">
        <f>SUM(F44:J44)</f>
        <v>25</v>
      </c>
      <c r="L44" s="88" t="s">
        <v>30</v>
      </c>
      <c r="M44" s="89">
        <f>M43+M40</f>
        <v>253</v>
      </c>
      <c r="N44" s="90">
        <f>ROUNDDOWN((M40-C40+C44+K44)*$N$4,0)</f>
        <v>2</v>
      </c>
      <c r="O44" s="90">
        <f>ROUNDDOWN((M40+K44-+C44)*$O$4,0)</f>
        <v>17</v>
      </c>
    </row>
    <row r="45" spans="1:15" ht="18" customHeight="1" thickTop="1" thickBot="1" x14ac:dyDescent="0.3">
      <c r="A45" s="193">
        <f t="shared" ref="A45" ca="1" si="14">IF($M48&lt;IF($A$3="하",$S$8,$S$6),0,IF($M48&gt;IF($A$3="하",$S$7,$S$5),"",MAX(A41+1)))</f>
        <v>0</v>
      </c>
      <c r="B45" s="141" t="str">
        <f>IF(O46-C44&lt;$A$1," ","MAX to "&amp;MROUND(IF(IF(O46-C44&gt;$A$1,$A$1,O46-C44)&lt;2,I41,I41*(37-IF(O46-C44&gt;$A$1,$A$1,O46-C44))/36),D48))</f>
        <v>MAX to 80</v>
      </c>
      <c r="C45" s="90" t="str">
        <f>IF(O46&lt;=C44,"X",IF(N46&gt;C44,"must ME","can ME"))</f>
        <v>can ME</v>
      </c>
      <c r="D45" s="75" t="s">
        <v>31</v>
      </c>
      <c r="E45" s="23">
        <v>4</v>
      </c>
      <c r="F45" s="2">
        <v>1</v>
      </c>
      <c r="G45" s="23">
        <f>IF(F46&gt;=90%,2,IF(F46&gt;=80%,4,IF(F46&gt;=70%,6,6)))</f>
        <v>6</v>
      </c>
      <c r="H45" s="3" t="s">
        <v>2</v>
      </c>
      <c r="I45" s="91">
        <f>K46/(100%-IF($A$3="하",$P$8,$P$6)*K48)/K48</f>
        <v>89.965397923875443</v>
      </c>
      <c r="J45" s="92">
        <f>IF("하"=$A$3,$Q$7,$Q$5)</f>
        <v>25</v>
      </c>
      <c r="K45" s="107" t="s">
        <v>33</v>
      </c>
      <c r="L45" s="75" t="s">
        <v>25</v>
      </c>
      <c r="M45" s="76">
        <f>K46</f>
        <v>1625</v>
      </c>
      <c r="N45" s="93" t="s">
        <v>34</v>
      </c>
      <c r="O45" s="93" t="s">
        <v>35</v>
      </c>
    </row>
    <row r="46" spans="1:15" ht="18" customHeight="1" thickTop="1" thickBot="1" x14ac:dyDescent="0.3">
      <c r="A46" s="194"/>
      <c r="B46" s="143"/>
      <c r="C46" s="142" t="str">
        <f>IF(B48="","",IF(B46*36/(37-B48)=0,"",B46*36/(37-B48)))</f>
        <v/>
      </c>
      <c r="D46" s="109" t="str">
        <f>D42</f>
        <v>MP</v>
      </c>
      <c r="E46" s="18">
        <f>IF(C46="",I41,C46)</f>
        <v>89.965397923875443</v>
      </c>
      <c r="F46" s="94">
        <f>100%-J45*IF($A$3="하",$P$8,$P$6)</f>
        <v>0.72249999999999992</v>
      </c>
      <c r="G46" s="7">
        <f t="shared" ref="G46:I47" si="15">F46</f>
        <v>0.72249999999999992</v>
      </c>
      <c r="H46" s="7">
        <f t="shared" si="15"/>
        <v>0.72249999999999992</v>
      </c>
      <c r="I46" s="7">
        <f t="shared" si="15"/>
        <v>0.72249999999999992</v>
      </c>
      <c r="J46" s="8">
        <f>I46</f>
        <v>0.72249999999999992</v>
      </c>
      <c r="K46" s="95">
        <f>F47*F48+G47*G48+H47*H48+I47*I48+J47*J48</f>
        <v>1625</v>
      </c>
      <c r="L46" s="86" t="s">
        <v>27</v>
      </c>
      <c r="M46" s="81">
        <f>M45+M42</f>
        <v>18562.5</v>
      </c>
      <c r="N46" s="90">
        <f>ROUNDDOWN(M44*$N$4,0)</f>
        <v>2</v>
      </c>
      <c r="O46" s="90">
        <f>ROUNDDOWN(M44*$O$4,0)</f>
        <v>17</v>
      </c>
    </row>
    <row r="47" spans="1:15" ht="18" customHeight="1" thickTop="1" thickBot="1" x14ac:dyDescent="0.3">
      <c r="A47" s="194"/>
      <c r="B47" s="141" t="str">
        <f>IF(O46-C44&lt;$A$1," ","1~ "&amp;IF(O46-C44&gt;$A$1,$A$1,O46-C44)&amp;" rep")</f>
        <v>1~ 5 rep</v>
      </c>
      <c r="C47" s="97" t="s">
        <v>37</v>
      </c>
      <c r="D47" s="98" t="s">
        <v>5</v>
      </c>
      <c r="E47" s="5" t="s">
        <v>3</v>
      </c>
      <c r="F47" s="18">
        <f>MROUND(F46*E46,D48)</f>
        <v>65</v>
      </c>
      <c r="G47" s="18">
        <f t="shared" si="15"/>
        <v>65</v>
      </c>
      <c r="H47" s="18">
        <f t="shared" si="15"/>
        <v>65</v>
      </c>
      <c r="I47" s="18">
        <f t="shared" si="15"/>
        <v>65</v>
      </c>
      <c r="J47" s="19">
        <f>I47</f>
        <v>65</v>
      </c>
      <c r="K47" s="74" t="s">
        <v>10</v>
      </c>
      <c r="L47" s="86" t="s">
        <v>28</v>
      </c>
      <c r="M47" s="87">
        <f>K48</f>
        <v>25</v>
      </c>
      <c r="N47" s="93" t="s">
        <v>34</v>
      </c>
      <c r="O47" s="93" t="s">
        <v>35</v>
      </c>
    </row>
    <row r="48" spans="1:15" ht="18" customHeight="1" thickTop="1" thickBot="1" x14ac:dyDescent="0.3">
      <c r="A48" s="195"/>
      <c r="B48" s="144"/>
      <c r="C48" s="90">
        <f>IF(B46="",C44,IF(C46&lt;=0,C44,C44+B48))</f>
        <v>2</v>
      </c>
      <c r="D48" s="100">
        <f>D44</f>
        <v>2.5</v>
      </c>
      <c r="E48" s="13" t="s">
        <v>7</v>
      </c>
      <c r="F48" s="103">
        <f xml:space="preserve"> IF($A$3="하",0,IF(MROUND(J45/5,1)&lt;=G45,IF(MROUND(J45/5,1)&gt;=E45,MROUND(J45/5,1),E45),G45))</f>
        <v>5</v>
      </c>
      <c r="G48" s="104">
        <f>IF(MROUND((J45-F48)/4,1)&lt;=G45,IF(MROUND((J45-F48)/4,1)&gt;=E45,MROUND((J45-F48)/4,1),E45),G45)</f>
        <v>5</v>
      </c>
      <c r="H48" s="104">
        <f>IF(MROUND((J45-F48-G48)/3,1)&lt;=G45,IF(MROUND((J45-F48-G48)/3,1)&gt;=E45,MROUND((J45-F48-G48)/3,1),E45),G45)</f>
        <v>5</v>
      </c>
      <c r="I48" s="104">
        <f>IF(MROUND((J45-F48-G48-H48)/2,1)&lt;=G45,IF((J45-F48-G48-H48)/2&gt;=E45,MROUND((J45-F48-G48-H48)/2,1),J45-F48-G48-H48),G45)</f>
        <v>5</v>
      </c>
      <c r="J48" s="105">
        <f>IF((J45-(F48+G48+H48+I48))&gt;0,(J45-(F48+G48+H48+I48)),0)</f>
        <v>5</v>
      </c>
      <c r="K48" s="101">
        <f>SUM(F48:J48)</f>
        <v>25</v>
      </c>
      <c r="L48" s="88" t="s">
        <v>30</v>
      </c>
      <c r="M48" s="89">
        <f>M47+M44</f>
        <v>278</v>
      </c>
      <c r="N48" s="90">
        <f>ROUNDDOWN((M44-C44+C48+K48)*$N$4,0)</f>
        <v>2</v>
      </c>
      <c r="O48" s="90">
        <f>ROUNDDOWN((M44+K48-+C48)*$O$4,0)</f>
        <v>19</v>
      </c>
    </row>
    <row r="49" spans="1:15" ht="18" customHeight="1" thickTop="1" thickBot="1" x14ac:dyDescent="0.3">
      <c r="A49" s="193">
        <f ca="1">IF($M52&lt;IF($A$3="하",$S$8,$S$6),0,IF($M52&gt;IF($A$3="하",$S$7,$S$5),"",MAX(A45+1)))</f>
        <v>0</v>
      </c>
      <c r="B49" s="141" t="str">
        <f>IF(O50-C48&lt;$A$1," ","MAX to "&amp;MROUND(IF(IF(O50-C48&gt;$A$1,$A$1,O50-C48)&lt;2,I45,I45*(37-IF(O50-C48&gt;$A$1,$A$1,O50-C48))/36),D52))</f>
        <v>MAX to 80</v>
      </c>
      <c r="C49" s="90" t="str">
        <f>IF(O50&lt;=C48,"X",IF(N50&gt;C48,"must ME","can ME"))</f>
        <v>can ME</v>
      </c>
      <c r="D49" s="75" t="s">
        <v>31</v>
      </c>
      <c r="E49" s="23">
        <v>4</v>
      </c>
      <c r="F49" s="2">
        <v>1</v>
      </c>
      <c r="G49" s="23">
        <f>IF(F50&gt;=90%,2,IF(F50&gt;=80%,4,IF(F50&gt;=70%,6,6)))</f>
        <v>6</v>
      </c>
      <c r="H49" s="3" t="s">
        <v>2</v>
      </c>
      <c r="I49" s="91">
        <f>K50/(100%-IF($A$3="하",$P$8,$P$6)*K52)/K52</f>
        <v>89.965397923875443</v>
      </c>
      <c r="J49" s="92">
        <f>IF("하"=$A$3,$Q$7,$Q$5)</f>
        <v>25</v>
      </c>
      <c r="K49" s="107" t="s">
        <v>33</v>
      </c>
      <c r="L49" s="75" t="s">
        <v>25</v>
      </c>
      <c r="M49" s="76">
        <f>K50</f>
        <v>1625</v>
      </c>
      <c r="N49" s="93" t="s">
        <v>34</v>
      </c>
      <c r="O49" s="93" t="s">
        <v>35</v>
      </c>
    </row>
    <row r="50" spans="1:15" ht="18" customHeight="1" thickTop="1" thickBot="1" x14ac:dyDescent="0.3">
      <c r="A50" s="194"/>
      <c r="B50" s="143"/>
      <c r="C50" s="142" t="str">
        <f>IF(B52="","",IF(B50*36/(37-B52)=0,"",B50*36/(37-B52)))</f>
        <v/>
      </c>
      <c r="D50" s="109" t="str">
        <f>D46</f>
        <v>MP</v>
      </c>
      <c r="E50" s="18">
        <f>IF(C50="",I45,C50)</f>
        <v>89.965397923875443</v>
      </c>
      <c r="F50" s="94">
        <f>100%-J49*IF($A$3="하",$P$8,$P$6)</f>
        <v>0.72249999999999992</v>
      </c>
      <c r="G50" s="7">
        <f t="shared" ref="G50:I51" si="16">F50</f>
        <v>0.72249999999999992</v>
      </c>
      <c r="H50" s="7">
        <f t="shared" si="16"/>
        <v>0.72249999999999992</v>
      </c>
      <c r="I50" s="7">
        <f t="shared" si="16"/>
        <v>0.72249999999999992</v>
      </c>
      <c r="J50" s="8">
        <f>I50</f>
        <v>0.72249999999999992</v>
      </c>
      <c r="K50" s="95">
        <f>F51*F52+G51*G52+H51*H52+I51*I52+J51*J52</f>
        <v>1625</v>
      </c>
      <c r="L50" s="86" t="s">
        <v>27</v>
      </c>
      <c r="M50" s="81">
        <f>M49+M46</f>
        <v>20187.5</v>
      </c>
      <c r="N50" s="90">
        <f>ROUNDDOWN(M48*$N$4,0)</f>
        <v>2</v>
      </c>
      <c r="O50" s="90">
        <f>ROUNDDOWN(M48*$O$4,0)</f>
        <v>19</v>
      </c>
    </row>
    <row r="51" spans="1:15" ht="18" customHeight="1" thickTop="1" thickBot="1" x14ac:dyDescent="0.3">
      <c r="A51" s="194"/>
      <c r="B51" s="141" t="str">
        <f>IF(O50-C48&lt;$A$1," ","1~ "&amp;IF(O50-C48&gt;$A$1,$A$1,O50-C48)&amp;" rep")</f>
        <v>1~ 5 rep</v>
      </c>
      <c r="C51" s="97" t="s">
        <v>37</v>
      </c>
      <c r="D51" s="98" t="s">
        <v>5</v>
      </c>
      <c r="E51" s="5" t="s">
        <v>3</v>
      </c>
      <c r="F51" s="18">
        <f>MROUND(F50*E50,D52)</f>
        <v>65</v>
      </c>
      <c r="G51" s="18">
        <f t="shared" si="16"/>
        <v>65</v>
      </c>
      <c r="H51" s="18">
        <f t="shared" si="16"/>
        <v>65</v>
      </c>
      <c r="I51" s="18">
        <f t="shared" si="16"/>
        <v>65</v>
      </c>
      <c r="J51" s="19">
        <f>I51</f>
        <v>65</v>
      </c>
      <c r="K51" s="74" t="s">
        <v>10</v>
      </c>
      <c r="L51" s="86" t="s">
        <v>28</v>
      </c>
      <c r="M51" s="87">
        <f>K52</f>
        <v>25</v>
      </c>
      <c r="N51" s="93" t="s">
        <v>34</v>
      </c>
      <c r="O51" s="93" t="s">
        <v>35</v>
      </c>
    </row>
    <row r="52" spans="1:15" ht="18" customHeight="1" thickTop="1" thickBot="1" x14ac:dyDescent="0.3">
      <c r="A52" s="195"/>
      <c r="B52" s="144"/>
      <c r="C52" s="90">
        <f>IF(B50="",C48,IF(C50&lt;=0,C48,C48+B52))</f>
        <v>2</v>
      </c>
      <c r="D52" s="100">
        <f>D48</f>
        <v>2.5</v>
      </c>
      <c r="E52" s="13" t="s">
        <v>7</v>
      </c>
      <c r="F52" s="103">
        <f xml:space="preserve"> IF($A$3="하",0,IF(MROUND(J49/5,1)&lt;=G49,IF(MROUND(J49/5,1)&gt;=E49,MROUND(J49/5,1),E49),G49))</f>
        <v>5</v>
      </c>
      <c r="G52" s="104">
        <f>IF(MROUND((J49-F52)/4,1)&lt;=G49,IF(MROUND((J49-F52)/4,1)&gt;=E49,MROUND((J49-F52)/4,1),E49),G49)</f>
        <v>5</v>
      </c>
      <c r="H52" s="104">
        <f>IF(MROUND((J49-F52-G52)/3,1)&lt;=G49,IF(MROUND((J49-F52-G52)/3,1)&gt;=E49,MROUND((J49-F52-G52)/3,1),E49),G49)</f>
        <v>5</v>
      </c>
      <c r="I52" s="104">
        <f>IF(MROUND((J49-F52-G52-H52)/2,1)&lt;=G49,IF((J49-F52-G52-H52)/2&gt;=E49,MROUND((J49-F52-G52-H52)/2,1),J49-F52-G52-H52),G49)</f>
        <v>5</v>
      </c>
      <c r="J52" s="105">
        <f>IF((J49-(F52+G52+H52+I52))&gt;0,(J49-(F52+G52+H52+I52)),0)</f>
        <v>5</v>
      </c>
      <c r="K52" s="101">
        <f>SUM(F52:J52)</f>
        <v>25</v>
      </c>
      <c r="L52" s="88" t="s">
        <v>30</v>
      </c>
      <c r="M52" s="89">
        <f>M51+M48</f>
        <v>303</v>
      </c>
      <c r="N52" s="90">
        <f>ROUNDDOWN((M48-C48+C52+K52)*$N$4,0)</f>
        <v>3</v>
      </c>
      <c r="O52" s="90">
        <f>ROUNDDOWN((M48+K52-+C52)*$O$4,0)</f>
        <v>21</v>
      </c>
    </row>
    <row r="53" spans="1:15" ht="18" customHeight="1" thickTop="1" thickBot="1" x14ac:dyDescent="0.3">
      <c r="A53" s="193">
        <f t="shared" ref="A53" ca="1" si="17">IF($M56&lt;IF($A$3="하",$S$8,$S$6),0,IF($M56&gt;IF($A$3="하",$S$7,$S$5),"",MAX(A49+1)))</f>
        <v>0</v>
      </c>
      <c r="B53" s="141" t="str">
        <f>IF(O54-C52&lt;$A$1," ","MAX to "&amp;MROUND(IF(IF(O54-C52&gt;$A$1,$A$1,O54-C52)&lt;2,I49,I49*(37-IF(O54-C52&gt;$A$1,$A$1,O54-C52))/36),D56))</f>
        <v>MAX to 80</v>
      </c>
      <c r="C53" s="90" t="str">
        <f>IF(O54&lt;=C52,"X",IF(N54&gt;C52,"must ME","can ME"))</f>
        <v>must ME</v>
      </c>
      <c r="D53" s="75" t="s">
        <v>31</v>
      </c>
      <c r="E53" s="23">
        <v>4</v>
      </c>
      <c r="F53" s="2">
        <v>1</v>
      </c>
      <c r="G53" s="23">
        <f>IF(F54&gt;=90%,2,IF(F54&gt;=80%,4,IF(F54&gt;=70%,6,6)))</f>
        <v>6</v>
      </c>
      <c r="H53" s="3" t="s">
        <v>2</v>
      </c>
      <c r="I53" s="91">
        <f>K54/(100%-IF($A$3="하",$P$8,$P$6)*K56)/K56</f>
        <v>89.965397923875443</v>
      </c>
      <c r="J53" s="92">
        <f>IF("하"=$A$3,$Q$7,$Q$5)</f>
        <v>25</v>
      </c>
      <c r="K53" s="107" t="s">
        <v>33</v>
      </c>
      <c r="L53" s="75" t="s">
        <v>25</v>
      </c>
      <c r="M53" s="76">
        <f>K54</f>
        <v>1625</v>
      </c>
      <c r="N53" s="93" t="s">
        <v>34</v>
      </c>
      <c r="O53" s="93" t="s">
        <v>35</v>
      </c>
    </row>
    <row r="54" spans="1:15" ht="18" customHeight="1" thickTop="1" thickBot="1" x14ac:dyDescent="0.3">
      <c r="A54" s="194"/>
      <c r="B54" s="143"/>
      <c r="C54" s="142" t="str">
        <f>IF(B56="","",IF(B54*36/(37-B56)=0,"",B54*36/(37-B56)))</f>
        <v/>
      </c>
      <c r="D54" s="109" t="str">
        <f>D50</f>
        <v>MP</v>
      </c>
      <c r="E54" s="18">
        <f>IF(C54="",I49,C54)</f>
        <v>89.965397923875443</v>
      </c>
      <c r="F54" s="94">
        <f>100%-J53*IF($A$3="하",$P$8,$P$6)</f>
        <v>0.72249999999999992</v>
      </c>
      <c r="G54" s="7">
        <f t="shared" ref="G54:I55" si="18">F54</f>
        <v>0.72249999999999992</v>
      </c>
      <c r="H54" s="7">
        <f t="shared" si="18"/>
        <v>0.72249999999999992</v>
      </c>
      <c r="I54" s="7">
        <f t="shared" si="18"/>
        <v>0.72249999999999992</v>
      </c>
      <c r="J54" s="8">
        <f>I54</f>
        <v>0.72249999999999992</v>
      </c>
      <c r="K54" s="95">
        <f>F55*F56+G55*G56+H55*H56+I55*I56+J55*J56</f>
        <v>1625</v>
      </c>
      <c r="L54" s="86" t="s">
        <v>27</v>
      </c>
      <c r="M54" s="81">
        <f>M53+M50</f>
        <v>21812.5</v>
      </c>
      <c r="N54" s="90">
        <f>ROUNDDOWN(M52*$N$4,0)</f>
        <v>3</v>
      </c>
      <c r="O54" s="90">
        <f>ROUNDDOWN(M52*$O$4,0)</f>
        <v>21</v>
      </c>
    </row>
    <row r="55" spans="1:15" ht="18" customHeight="1" thickTop="1" thickBot="1" x14ac:dyDescent="0.3">
      <c r="A55" s="194"/>
      <c r="B55" s="141" t="str">
        <f>IF(O54-C52&lt;$A$1," ","1~ "&amp;IF(O54-C52&gt;$A$1,$A$1,O54-C52)&amp;" rep")</f>
        <v>1~ 5 rep</v>
      </c>
      <c r="C55" s="97" t="s">
        <v>37</v>
      </c>
      <c r="D55" s="98" t="s">
        <v>5</v>
      </c>
      <c r="E55" s="5" t="s">
        <v>3</v>
      </c>
      <c r="F55" s="18">
        <f>MROUND(F54*E54,D56)</f>
        <v>65</v>
      </c>
      <c r="G55" s="18">
        <f t="shared" si="18"/>
        <v>65</v>
      </c>
      <c r="H55" s="18">
        <f t="shared" si="18"/>
        <v>65</v>
      </c>
      <c r="I55" s="18">
        <f t="shared" si="18"/>
        <v>65</v>
      </c>
      <c r="J55" s="19">
        <f>I55</f>
        <v>65</v>
      </c>
      <c r="K55" s="74" t="s">
        <v>10</v>
      </c>
      <c r="L55" s="86" t="s">
        <v>28</v>
      </c>
      <c r="M55" s="87">
        <f>K56</f>
        <v>25</v>
      </c>
      <c r="N55" s="93" t="s">
        <v>34</v>
      </c>
      <c r="O55" s="93" t="s">
        <v>35</v>
      </c>
    </row>
    <row r="56" spans="1:15" ht="18" customHeight="1" thickTop="1" thickBot="1" x14ac:dyDescent="0.3">
      <c r="A56" s="195"/>
      <c r="B56" s="144"/>
      <c r="C56" s="90">
        <f>IF(B54="",C52,IF(C54&lt;=0,C52,C52+B56))</f>
        <v>2</v>
      </c>
      <c r="D56" s="100">
        <f>D52</f>
        <v>2.5</v>
      </c>
      <c r="E56" s="13" t="s">
        <v>7</v>
      </c>
      <c r="F56" s="103">
        <f xml:space="preserve"> IF($A$3="하",0,IF(MROUND(J53/5,1)&lt;=G53,IF(MROUND(J53/5,1)&gt;=E53,MROUND(J53/5,1),E53),G53))</f>
        <v>5</v>
      </c>
      <c r="G56" s="104">
        <f>IF(MROUND((J53-F56)/4,1)&lt;=G53,IF(MROUND((J53-F56)/4,1)&gt;=E53,MROUND((J53-F56)/4,1),E53),G53)</f>
        <v>5</v>
      </c>
      <c r="H56" s="104">
        <f>IF(MROUND((J53-F56-G56)/3,1)&lt;=G53,IF(MROUND((J53-F56-G56)/3,1)&gt;=E53,MROUND((J53-F56-G56)/3,1),E53),G53)</f>
        <v>5</v>
      </c>
      <c r="I56" s="104">
        <f>IF(MROUND((J53-F56-G56-H56)/2,1)&lt;=G53,IF((J53-F56-G56-H56)/2&gt;=E53,MROUND((J53-F56-G56-H56)/2,1),J53-F56-G56-H56),G53)</f>
        <v>5</v>
      </c>
      <c r="J56" s="105">
        <f>IF((J53-(F56+G56+H56+I56))&gt;0,(J53-(F56+G56+H56+I56)),0)</f>
        <v>5</v>
      </c>
      <c r="K56" s="101">
        <f>SUM(F56:J56)</f>
        <v>25</v>
      </c>
      <c r="L56" s="88" t="s">
        <v>30</v>
      </c>
      <c r="M56" s="89">
        <f>M55+M52</f>
        <v>328</v>
      </c>
      <c r="N56" s="90">
        <f>ROUNDDOWN((M52-C52+C56+K56)*$N$4,0)</f>
        <v>3</v>
      </c>
      <c r="O56" s="90">
        <f>ROUNDDOWN((M52+K56-+C56)*$O$4,0)</f>
        <v>22</v>
      </c>
    </row>
    <row r="57" spans="1:15" ht="18" customHeight="1" thickTop="1" thickBot="1" x14ac:dyDescent="0.3">
      <c r="A57" s="193">
        <f t="shared" ref="A57" ca="1" si="19">IF($M60&lt;IF($A$3="하",$S$8,$S$6),0,IF($M60&gt;IF($A$3="하",$S$7,$S$5),"",MAX(A53+1)))</f>
        <v>0</v>
      </c>
      <c r="B57" s="141" t="str">
        <f>IF(O58-C56&lt;$A$1," ","MAX to "&amp;MROUND(IF(IF(O58-C56&gt;$A$1,$A$1,O58-C56)&lt;2,I53,I53*(37-IF(O58-C56&gt;$A$1,$A$1,O58-C56))/36),D60))</f>
        <v>MAX to 80</v>
      </c>
      <c r="C57" s="90" t="str">
        <f>IF(O58&lt;=C56,"X",IF(N58&gt;C56,"must ME","can ME"))</f>
        <v>must ME</v>
      </c>
      <c r="D57" s="75" t="s">
        <v>31</v>
      </c>
      <c r="E57" s="23">
        <v>4</v>
      </c>
      <c r="F57" s="2">
        <v>1</v>
      </c>
      <c r="G57" s="23">
        <f>IF(F58&gt;=90%,2,IF(F58&gt;=80%,4,IF(F58&gt;=70%,6,6)))</f>
        <v>6</v>
      </c>
      <c r="H57" s="3" t="s">
        <v>2</v>
      </c>
      <c r="I57" s="91">
        <f>K58/(100%-IF($A$3="하",$P$8,$P$6)*K60)/K60</f>
        <v>89.965397923875443</v>
      </c>
      <c r="J57" s="92">
        <f>IF("하"=$A$3,$Q$7,$Q$5)</f>
        <v>25</v>
      </c>
      <c r="K57" s="107" t="s">
        <v>33</v>
      </c>
      <c r="L57" s="75" t="s">
        <v>25</v>
      </c>
      <c r="M57" s="76">
        <f>K58</f>
        <v>1625</v>
      </c>
      <c r="N57" s="93" t="s">
        <v>34</v>
      </c>
      <c r="O57" s="93" t="s">
        <v>35</v>
      </c>
    </row>
    <row r="58" spans="1:15" ht="18" customHeight="1" thickTop="1" thickBot="1" x14ac:dyDescent="0.3">
      <c r="A58" s="194"/>
      <c r="B58" s="143"/>
      <c r="C58" s="142" t="str">
        <f>IF(B60="","",IF(B58*36/(37-B60)=0,"",B58*36/(37-B60)))</f>
        <v/>
      </c>
      <c r="D58" s="109" t="str">
        <f>D54</f>
        <v>MP</v>
      </c>
      <c r="E58" s="18">
        <f>IF(C58="",I53,C58)</f>
        <v>89.965397923875443</v>
      </c>
      <c r="F58" s="94">
        <f>100%-J57*IF($A$3="하",$P$8,$P$6)</f>
        <v>0.72249999999999992</v>
      </c>
      <c r="G58" s="7">
        <f t="shared" ref="G58:I59" si="20">F58</f>
        <v>0.72249999999999992</v>
      </c>
      <c r="H58" s="7">
        <f t="shared" si="20"/>
        <v>0.72249999999999992</v>
      </c>
      <c r="I58" s="7">
        <f t="shared" si="20"/>
        <v>0.72249999999999992</v>
      </c>
      <c r="J58" s="8">
        <f>I58</f>
        <v>0.72249999999999992</v>
      </c>
      <c r="K58" s="95">
        <f>F59*F60+G59*G60+H59*H60+I59*I60+J59*J60</f>
        <v>1625</v>
      </c>
      <c r="L58" s="86" t="s">
        <v>27</v>
      </c>
      <c r="M58" s="81">
        <f>M57+M54</f>
        <v>23437.5</v>
      </c>
      <c r="N58" s="90">
        <f>ROUNDDOWN(M56*$N$4,0)</f>
        <v>3</v>
      </c>
      <c r="O58" s="90">
        <f>ROUNDDOWN(M56*$O$4,0)</f>
        <v>22</v>
      </c>
    </row>
    <row r="59" spans="1:15" ht="18" customHeight="1" thickTop="1" thickBot="1" x14ac:dyDescent="0.3">
      <c r="A59" s="194"/>
      <c r="B59" s="141" t="str">
        <f>IF(O58-C56&lt;$A$1," ","1~ "&amp;IF(O58-C56&gt;$A$1,$A$1,O58-C56)&amp;" rep")</f>
        <v>1~ 5 rep</v>
      </c>
      <c r="C59" s="97" t="s">
        <v>37</v>
      </c>
      <c r="D59" s="98" t="s">
        <v>5</v>
      </c>
      <c r="E59" s="5" t="s">
        <v>3</v>
      </c>
      <c r="F59" s="18">
        <f>MROUND(F58*E58,D60)</f>
        <v>65</v>
      </c>
      <c r="G59" s="18">
        <f t="shared" si="20"/>
        <v>65</v>
      </c>
      <c r="H59" s="18">
        <f t="shared" si="20"/>
        <v>65</v>
      </c>
      <c r="I59" s="18">
        <f t="shared" si="20"/>
        <v>65</v>
      </c>
      <c r="J59" s="19">
        <f>I59</f>
        <v>65</v>
      </c>
      <c r="K59" s="74" t="s">
        <v>10</v>
      </c>
      <c r="L59" s="86" t="s">
        <v>28</v>
      </c>
      <c r="M59" s="87">
        <f>K60</f>
        <v>25</v>
      </c>
      <c r="N59" s="93" t="s">
        <v>34</v>
      </c>
      <c r="O59" s="93" t="s">
        <v>35</v>
      </c>
    </row>
    <row r="60" spans="1:15" ht="18" customHeight="1" thickTop="1" thickBot="1" x14ac:dyDescent="0.3">
      <c r="A60" s="195"/>
      <c r="B60" s="144"/>
      <c r="C60" s="90">
        <f>IF(B58="",C56,IF(C58&lt;=0,C56,C56+B60))</f>
        <v>2</v>
      </c>
      <c r="D60" s="100">
        <f>D56</f>
        <v>2.5</v>
      </c>
      <c r="E60" s="13" t="s">
        <v>7</v>
      </c>
      <c r="F60" s="103">
        <f xml:space="preserve"> IF($A$3="하",0,IF(MROUND(J57/5,1)&lt;=G57,IF(MROUND(J57/5,1)&gt;=E57,MROUND(J57/5,1),E57),G57))</f>
        <v>5</v>
      </c>
      <c r="G60" s="104">
        <f>IF(MROUND((J57-F60)/4,1)&lt;=G57,IF(MROUND((J57-F60)/4,1)&gt;=E57,MROUND((J57-F60)/4,1),E57),G57)</f>
        <v>5</v>
      </c>
      <c r="H60" s="104">
        <f>IF(MROUND((J57-F60-G60)/3,1)&lt;=G57,IF(MROUND((J57-F60-G60)/3,1)&gt;=E57,MROUND((J57-F60-G60)/3,1),E57),G57)</f>
        <v>5</v>
      </c>
      <c r="I60" s="104">
        <f>IF(MROUND((J57-F60-G60-H60)/2,1)&lt;=G57,IF((J57-F60-G60-H60)/2&gt;=E57,MROUND((J57-F60-G60-H60)/2,1),J57-F60-G60-H60),G57)</f>
        <v>5</v>
      </c>
      <c r="J60" s="105">
        <f>IF((J57-(F60+G60+H60+I60))&gt;0,(J57-(F60+G60+H60+I60)),0)</f>
        <v>5</v>
      </c>
      <c r="K60" s="101">
        <f>SUM(F60:J60)</f>
        <v>25</v>
      </c>
      <c r="L60" s="88" t="s">
        <v>30</v>
      </c>
      <c r="M60" s="89">
        <f>M59+M56</f>
        <v>353</v>
      </c>
      <c r="N60" s="90">
        <f>ROUNDDOWN((M56-C56+C60+K60)*$N$4,0)</f>
        <v>3</v>
      </c>
      <c r="O60" s="90">
        <f>ROUNDDOWN((M56+K60-+C60)*$O$4,0)</f>
        <v>24</v>
      </c>
    </row>
    <row r="61" spans="1:15" ht="18" customHeight="1" thickTop="1" thickBot="1" x14ac:dyDescent="0.3">
      <c r="A61" s="193">
        <f t="shared" ref="A61" ca="1" si="21">IF($M64&lt;IF($A$3="하",$S$8,$S$6),0,IF($M64&gt;IF($A$3="하",$S$7,$S$5),"",MAX(A57+1)))</f>
        <v>0</v>
      </c>
      <c r="B61" s="141" t="str">
        <f>IF(O62-C60&lt;$A$1," ","MAX to "&amp;MROUND(IF(IF(O62-C60&gt;$A$1,$A$1,O62-C60)&lt;2,I57,I57*(37-IF(O62-C60&gt;$A$1,$A$1,O62-C60))/36),D64))</f>
        <v>MAX to 80</v>
      </c>
      <c r="C61" s="90" t="str">
        <f>IF(O62&lt;=C60,"X",IF(N62&gt;C60,"must ME","can ME"))</f>
        <v>must ME</v>
      </c>
      <c r="D61" s="75" t="s">
        <v>31</v>
      </c>
      <c r="E61" s="23">
        <v>4</v>
      </c>
      <c r="F61" s="2">
        <v>1</v>
      </c>
      <c r="G61" s="23">
        <f>IF(F62&gt;=90%,2,IF(F62&gt;=80%,4,IF(F62&gt;=70%,6,6)))</f>
        <v>6</v>
      </c>
      <c r="H61" s="3" t="s">
        <v>2</v>
      </c>
      <c r="I61" s="91">
        <f>K62/(100%-IF($A$3="하",$P$8,$P$6)*K64)/K64</f>
        <v>89.965397923875443</v>
      </c>
      <c r="J61" s="92">
        <f>IF("하"=$A$3,$Q$7,$Q$5)</f>
        <v>25</v>
      </c>
      <c r="K61" s="107" t="s">
        <v>33</v>
      </c>
      <c r="L61" s="75" t="s">
        <v>25</v>
      </c>
      <c r="M61" s="76">
        <f>K62</f>
        <v>1625</v>
      </c>
      <c r="N61" s="93" t="s">
        <v>34</v>
      </c>
      <c r="O61" s="93" t="s">
        <v>35</v>
      </c>
    </row>
    <row r="62" spans="1:15" ht="18" customHeight="1" thickTop="1" thickBot="1" x14ac:dyDescent="0.3">
      <c r="A62" s="194"/>
      <c r="B62" s="143"/>
      <c r="C62" s="142" t="str">
        <f>IF(B64="","",IF(B62*36/(37-B64)=0,"",B62*36/(37-B64)))</f>
        <v/>
      </c>
      <c r="D62" s="109" t="str">
        <f>D58</f>
        <v>MP</v>
      </c>
      <c r="E62" s="18">
        <f>IF(C62="",I57,C62)</f>
        <v>89.965397923875443</v>
      </c>
      <c r="F62" s="94">
        <f>100%-J61*IF($A$3="하",$P$8,$P$6)</f>
        <v>0.72249999999999992</v>
      </c>
      <c r="G62" s="7">
        <f t="shared" ref="G62:I63" si="22">F62</f>
        <v>0.72249999999999992</v>
      </c>
      <c r="H62" s="7">
        <f t="shared" si="22"/>
        <v>0.72249999999999992</v>
      </c>
      <c r="I62" s="7">
        <f t="shared" si="22"/>
        <v>0.72249999999999992</v>
      </c>
      <c r="J62" s="8">
        <f>I62</f>
        <v>0.72249999999999992</v>
      </c>
      <c r="K62" s="95">
        <f>F63*F64+G63*G64+H63*H64+I63*I64+J63*J64</f>
        <v>1625</v>
      </c>
      <c r="L62" s="86" t="s">
        <v>27</v>
      </c>
      <c r="M62" s="81">
        <f>M61+M58</f>
        <v>25062.5</v>
      </c>
      <c r="N62" s="90">
        <f>ROUNDDOWN(M60*$N$4,0)</f>
        <v>3</v>
      </c>
      <c r="O62" s="90">
        <f>ROUNDDOWN(M60*$O$4,0)</f>
        <v>24</v>
      </c>
    </row>
    <row r="63" spans="1:15" ht="18" customHeight="1" thickTop="1" thickBot="1" x14ac:dyDescent="0.3">
      <c r="A63" s="194"/>
      <c r="B63" s="141" t="str">
        <f>IF(O62-C60&lt;$A$1," ","1~ "&amp;IF(O62-C60&gt;$A$1,$A$1,O62-C60)&amp;" rep")</f>
        <v>1~ 5 rep</v>
      </c>
      <c r="C63" s="97" t="s">
        <v>37</v>
      </c>
      <c r="D63" s="98" t="s">
        <v>5</v>
      </c>
      <c r="E63" s="5" t="s">
        <v>3</v>
      </c>
      <c r="F63" s="18">
        <f>MROUND(F62*E62,D64)</f>
        <v>65</v>
      </c>
      <c r="G63" s="18">
        <f t="shared" si="22"/>
        <v>65</v>
      </c>
      <c r="H63" s="18">
        <f t="shared" si="22"/>
        <v>65</v>
      </c>
      <c r="I63" s="18">
        <f t="shared" si="22"/>
        <v>65</v>
      </c>
      <c r="J63" s="19">
        <f>I63</f>
        <v>65</v>
      </c>
      <c r="K63" s="74" t="s">
        <v>10</v>
      </c>
      <c r="L63" s="86" t="s">
        <v>28</v>
      </c>
      <c r="M63" s="87">
        <f>K64</f>
        <v>25</v>
      </c>
      <c r="N63" s="93" t="s">
        <v>34</v>
      </c>
      <c r="O63" s="93" t="s">
        <v>35</v>
      </c>
    </row>
    <row r="64" spans="1:15" ht="18" customHeight="1" thickTop="1" thickBot="1" x14ac:dyDescent="0.3">
      <c r="A64" s="195"/>
      <c r="B64" s="144"/>
      <c r="C64" s="90">
        <f>IF(B62="",C60,IF(C62&lt;=0,C60,C60+B64))</f>
        <v>2</v>
      </c>
      <c r="D64" s="100">
        <f>D60</f>
        <v>2.5</v>
      </c>
      <c r="E64" s="13" t="s">
        <v>7</v>
      </c>
      <c r="F64" s="103">
        <f xml:space="preserve"> IF($A$3="하",0,IF(MROUND(J61/5,1)&lt;=G61,IF(MROUND(J61/5,1)&gt;=E61,MROUND(J61/5,1),E61),G61))</f>
        <v>5</v>
      </c>
      <c r="G64" s="104">
        <f>IF(MROUND((J61-F64)/4,1)&lt;=G61,IF(MROUND((J61-F64)/4,1)&gt;=E61,MROUND((J61-F64)/4,1),E61),G61)</f>
        <v>5</v>
      </c>
      <c r="H64" s="104">
        <f>IF(MROUND((J61-F64-G64)/3,1)&lt;=G61,IF(MROUND((J61-F64-G64)/3,1)&gt;=E61,MROUND((J61-F64-G64)/3,1),E61),G61)</f>
        <v>5</v>
      </c>
      <c r="I64" s="104">
        <f>IF(MROUND((J61-F64-G64-H64)/2,1)&lt;=G61,IF((J61-F64-G64-H64)/2&gt;=E61,MROUND((J61-F64-G64-H64)/2,1),J61-F64-G64-H64),G61)</f>
        <v>5</v>
      </c>
      <c r="J64" s="105">
        <f>IF((J61-(F64+G64+H64+I64))&gt;0,(J61-(F64+G64+H64+I64)),0)</f>
        <v>5</v>
      </c>
      <c r="K64" s="101">
        <f>SUM(F64:J64)</f>
        <v>25</v>
      </c>
      <c r="L64" s="88" t="s">
        <v>30</v>
      </c>
      <c r="M64" s="89">
        <f>M63+M60</f>
        <v>378</v>
      </c>
      <c r="N64" s="90">
        <f>ROUNDDOWN((M60-C60+C64+K64)*$N$4,0)</f>
        <v>3</v>
      </c>
      <c r="O64" s="90">
        <f>ROUNDDOWN((M60+K64-+C64)*$O$4,0)</f>
        <v>26</v>
      </c>
    </row>
    <row r="65" ht="17.25" thickTop="1" x14ac:dyDescent="0.25"/>
  </sheetData>
  <mergeCells count="18">
    <mergeCell ref="A13:A16"/>
    <mergeCell ref="E1:F1"/>
    <mergeCell ref="G1:H1"/>
    <mergeCell ref="A4:K4"/>
    <mergeCell ref="A5:A8"/>
    <mergeCell ref="A9:A12"/>
    <mergeCell ref="A61:A64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</mergeCells>
  <phoneticPr fontId="1" type="noConversion"/>
  <conditionalFormatting sqref="A5 A9 A13 A17 A21 A25 A29 A33 A37 A41 A45 A49 A53 A57 A61">
    <cfRule type="containsText" dxfId="535" priority="2" operator="containsText" text="0">
      <formula>NOT(ISERROR(SEARCH("0",A5)))</formula>
    </cfRule>
  </conditionalFormatting>
  <conditionalFormatting sqref="C2:C3">
    <cfRule type="cellIs" dxfId="534" priority="61" operator="equal">
      <formula>"ME"</formula>
    </cfRule>
  </conditionalFormatting>
  <conditionalFormatting sqref="C5">
    <cfRule type="containsText" dxfId="533" priority="60" operator="containsText" text="must">
      <formula>NOT(ISERROR(SEARCH("must",C5)))</formula>
    </cfRule>
    <cfRule type="containsText" dxfId="532" priority="59" operator="containsText" text="can">
      <formula>NOT(ISERROR(SEARCH("can",C5)))</formula>
    </cfRule>
  </conditionalFormatting>
  <conditionalFormatting sqref="C6:C8">
    <cfRule type="containsText" dxfId="531" priority="1" operator="containsText" text="ME">
      <formula>NOT(ISERROR(SEARCH("ME",C6)))</formula>
    </cfRule>
  </conditionalFormatting>
  <conditionalFormatting sqref="C9">
    <cfRule type="containsText" dxfId="530" priority="57" operator="containsText" text="must">
      <formula>NOT(ISERROR(SEARCH("must",C9)))</formula>
    </cfRule>
    <cfRule type="containsText" dxfId="529" priority="56" operator="containsText" text="can">
      <formula>NOT(ISERROR(SEARCH("can",C9)))</formula>
    </cfRule>
  </conditionalFormatting>
  <conditionalFormatting sqref="C10:C12">
    <cfRule type="containsText" dxfId="528" priority="55" operator="containsText" text="ME">
      <formula>NOT(ISERROR(SEARCH("ME",C10)))</formula>
    </cfRule>
  </conditionalFormatting>
  <conditionalFormatting sqref="C13">
    <cfRule type="containsText" dxfId="527" priority="53" operator="containsText" text="must">
      <formula>NOT(ISERROR(SEARCH("must",C13)))</formula>
    </cfRule>
    <cfRule type="containsText" dxfId="526" priority="52" operator="containsText" text="can">
      <formula>NOT(ISERROR(SEARCH("can",C13)))</formula>
    </cfRule>
  </conditionalFormatting>
  <conditionalFormatting sqref="C14:C16">
    <cfRule type="containsText" dxfId="525" priority="51" operator="containsText" text="ME">
      <formula>NOT(ISERROR(SEARCH("ME",C14)))</formula>
    </cfRule>
  </conditionalFormatting>
  <conditionalFormatting sqref="C17">
    <cfRule type="containsText" dxfId="524" priority="49" operator="containsText" text="must">
      <formula>NOT(ISERROR(SEARCH("must",C17)))</formula>
    </cfRule>
    <cfRule type="containsText" dxfId="523" priority="48" operator="containsText" text="can">
      <formula>NOT(ISERROR(SEARCH("can",C17)))</formula>
    </cfRule>
  </conditionalFormatting>
  <conditionalFormatting sqref="C18:C20">
    <cfRule type="containsText" dxfId="522" priority="47" operator="containsText" text="ME">
      <formula>NOT(ISERROR(SEARCH("ME",C18)))</formula>
    </cfRule>
  </conditionalFormatting>
  <conditionalFormatting sqref="C21">
    <cfRule type="containsText" dxfId="521" priority="45" operator="containsText" text="must">
      <formula>NOT(ISERROR(SEARCH("must",C21)))</formula>
    </cfRule>
    <cfRule type="containsText" dxfId="520" priority="44" operator="containsText" text="can">
      <formula>NOT(ISERROR(SEARCH("can",C21)))</formula>
    </cfRule>
  </conditionalFormatting>
  <conditionalFormatting sqref="C22:C24">
    <cfRule type="containsText" dxfId="519" priority="43" operator="containsText" text="ME">
      <formula>NOT(ISERROR(SEARCH("ME",C22)))</formula>
    </cfRule>
  </conditionalFormatting>
  <conditionalFormatting sqref="C25">
    <cfRule type="containsText" dxfId="518" priority="41" operator="containsText" text="must">
      <formula>NOT(ISERROR(SEARCH("must",C25)))</formula>
    </cfRule>
    <cfRule type="containsText" dxfId="517" priority="40" operator="containsText" text="can">
      <formula>NOT(ISERROR(SEARCH("can",C25)))</formula>
    </cfRule>
  </conditionalFormatting>
  <conditionalFormatting sqref="C26:C28">
    <cfRule type="containsText" dxfId="516" priority="39" operator="containsText" text="ME">
      <formula>NOT(ISERROR(SEARCH("ME",C26)))</formula>
    </cfRule>
  </conditionalFormatting>
  <conditionalFormatting sqref="C29">
    <cfRule type="containsText" dxfId="515" priority="37" operator="containsText" text="must">
      <formula>NOT(ISERROR(SEARCH("must",C29)))</formula>
    </cfRule>
    <cfRule type="containsText" dxfId="514" priority="36" operator="containsText" text="can">
      <formula>NOT(ISERROR(SEARCH("can",C29)))</formula>
    </cfRule>
  </conditionalFormatting>
  <conditionalFormatting sqref="C30:C32">
    <cfRule type="containsText" dxfId="513" priority="35" operator="containsText" text="ME">
      <formula>NOT(ISERROR(SEARCH("ME",C30)))</formula>
    </cfRule>
  </conditionalFormatting>
  <conditionalFormatting sqref="C33">
    <cfRule type="containsText" dxfId="512" priority="32" operator="containsText" text="can">
      <formula>NOT(ISERROR(SEARCH("can",C33)))</formula>
    </cfRule>
    <cfRule type="containsText" dxfId="511" priority="33" operator="containsText" text="must">
      <formula>NOT(ISERROR(SEARCH("must",C33)))</formula>
    </cfRule>
  </conditionalFormatting>
  <conditionalFormatting sqref="C34:C36">
    <cfRule type="containsText" dxfId="510" priority="31" operator="containsText" text="ME">
      <formula>NOT(ISERROR(SEARCH("ME",C34)))</formula>
    </cfRule>
  </conditionalFormatting>
  <conditionalFormatting sqref="C37">
    <cfRule type="containsText" dxfId="509" priority="28" operator="containsText" text="can">
      <formula>NOT(ISERROR(SEARCH("can",C37)))</formula>
    </cfRule>
    <cfRule type="containsText" dxfId="508" priority="29" operator="containsText" text="must">
      <formula>NOT(ISERROR(SEARCH("must",C37)))</formula>
    </cfRule>
  </conditionalFormatting>
  <conditionalFormatting sqref="C38:C40">
    <cfRule type="containsText" dxfId="507" priority="27" operator="containsText" text="ME">
      <formula>NOT(ISERROR(SEARCH("ME",C38)))</formula>
    </cfRule>
  </conditionalFormatting>
  <conditionalFormatting sqref="C41">
    <cfRule type="containsText" dxfId="506" priority="25" operator="containsText" text="must">
      <formula>NOT(ISERROR(SEARCH("must",C41)))</formula>
    </cfRule>
    <cfRule type="containsText" dxfId="505" priority="24" operator="containsText" text="can">
      <formula>NOT(ISERROR(SEARCH("can",C41)))</formula>
    </cfRule>
  </conditionalFormatting>
  <conditionalFormatting sqref="C42:C44">
    <cfRule type="containsText" dxfId="504" priority="23" operator="containsText" text="ME">
      <formula>NOT(ISERROR(SEARCH("ME",C42)))</formula>
    </cfRule>
  </conditionalFormatting>
  <conditionalFormatting sqref="C45">
    <cfRule type="containsText" dxfId="503" priority="21" operator="containsText" text="must">
      <formula>NOT(ISERROR(SEARCH("must",C45)))</formula>
    </cfRule>
    <cfRule type="containsText" dxfId="502" priority="20" operator="containsText" text="can">
      <formula>NOT(ISERROR(SEARCH("can",C45)))</formula>
    </cfRule>
  </conditionalFormatting>
  <conditionalFormatting sqref="C46:C48">
    <cfRule type="containsText" dxfId="501" priority="19" operator="containsText" text="ME">
      <formula>NOT(ISERROR(SEARCH("ME",C46)))</formula>
    </cfRule>
  </conditionalFormatting>
  <conditionalFormatting sqref="C49">
    <cfRule type="containsText" dxfId="500" priority="16" operator="containsText" text="can">
      <formula>NOT(ISERROR(SEARCH("can",C49)))</formula>
    </cfRule>
    <cfRule type="containsText" dxfId="499" priority="17" operator="containsText" text="must">
      <formula>NOT(ISERROR(SEARCH("must",C49)))</formula>
    </cfRule>
  </conditionalFormatting>
  <conditionalFormatting sqref="C50:C52">
    <cfRule type="containsText" dxfId="498" priority="15" operator="containsText" text="ME">
      <formula>NOT(ISERROR(SEARCH("ME",C50)))</formula>
    </cfRule>
  </conditionalFormatting>
  <conditionalFormatting sqref="C53">
    <cfRule type="containsText" dxfId="497" priority="13" operator="containsText" text="must">
      <formula>NOT(ISERROR(SEARCH("must",C53)))</formula>
    </cfRule>
    <cfRule type="containsText" dxfId="496" priority="12" operator="containsText" text="can">
      <formula>NOT(ISERROR(SEARCH("can",C53)))</formula>
    </cfRule>
  </conditionalFormatting>
  <conditionalFormatting sqref="C54:C56">
    <cfRule type="containsText" dxfId="495" priority="11" operator="containsText" text="ME">
      <formula>NOT(ISERROR(SEARCH("ME",C54)))</formula>
    </cfRule>
  </conditionalFormatting>
  <conditionalFormatting sqref="C57">
    <cfRule type="containsText" dxfId="494" priority="8" operator="containsText" text="can">
      <formula>NOT(ISERROR(SEARCH("can",C57)))</formula>
    </cfRule>
    <cfRule type="containsText" dxfId="493" priority="9" operator="containsText" text="must">
      <formula>NOT(ISERROR(SEARCH("must",C57)))</formula>
    </cfRule>
  </conditionalFormatting>
  <conditionalFormatting sqref="C58:C60">
    <cfRule type="containsText" dxfId="492" priority="7" operator="containsText" text="ME">
      <formula>NOT(ISERROR(SEARCH("ME",C58)))</formula>
    </cfRule>
  </conditionalFormatting>
  <conditionalFormatting sqref="C61">
    <cfRule type="containsText" dxfId="491" priority="4" operator="containsText" text="can">
      <formula>NOT(ISERROR(SEARCH("can",C61)))</formula>
    </cfRule>
    <cfRule type="containsText" dxfId="490" priority="5" operator="containsText" text="must">
      <formula>NOT(ISERROR(SEARCH("must",C61)))</formula>
    </cfRule>
  </conditionalFormatting>
  <conditionalFormatting sqref="C62:C64">
    <cfRule type="containsText" dxfId="489" priority="3" operator="containsText" text="ME">
      <formula>NOT(ISERROR(SEARCH("ME",C62)))</formula>
    </cfRule>
  </conditionalFormatting>
  <conditionalFormatting sqref="J5">
    <cfRule type="cellIs" dxfId="488" priority="62" operator="equal">
      <formula>"ME"</formula>
    </cfRule>
  </conditionalFormatting>
  <conditionalFormatting sqref="J9">
    <cfRule type="cellIs" dxfId="487" priority="58" operator="equal">
      <formula>"ME"</formula>
    </cfRule>
  </conditionalFormatting>
  <conditionalFormatting sqref="J13">
    <cfRule type="cellIs" dxfId="486" priority="54" operator="equal">
      <formula>"ME"</formula>
    </cfRule>
  </conditionalFormatting>
  <conditionalFormatting sqref="J17">
    <cfRule type="cellIs" dxfId="485" priority="50" operator="equal">
      <formula>"ME"</formula>
    </cfRule>
  </conditionalFormatting>
  <conditionalFormatting sqref="J21">
    <cfRule type="cellIs" dxfId="484" priority="46" operator="equal">
      <formula>"ME"</formula>
    </cfRule>
  </conditionalFormatting>
  <conditionalFormatting sqref="J25">
    <cfRule type="cellIs" dxfId="483" priority="42" operator="equal">
      <formula>"ME"</formula>
    </cfRule>
  </conditionalFormatting>
  <conditionalFormatting sqref="J29">
    <cfRule type="cellIs" dxfId="482" priority="38" operator="equal">
      <formula>"ME"</formula>
    </cfRule>
  </conditionalFormatting>
  <conditionalFormatting sqref="J33">
    <cfRule type="cellIs" dxfId="481" priority="34" operator="equal">
      <formula>"ME"</formula>
    </cfRule>
  </conditionalFormatting>
  <conditionalFormatting sqref="J37">
    <cfRule type="cellIs" dxfId="480" priority="30" operator="equal">
      <formula>"ME"</formula>
    </cfRule>
  </conditionalFormatting>
  <conditionalFormatting sqref="J41">
    <cfRule type="cellIs" dxfId="479" priority="26" operator="equal">
      <formula>"ME"</formula>
    </cfRule>
  </conditionalFormatting>
  <conditionalFormatting sqref="J45">
    <cfRule type="cellIs" dxfId="478" priority="22" operator="equal">
      <formula>"ME"</formula>
    </cfRule>
  </conditionalFormatting>
  <conditionalFormatting sqref="J49">
    <cfRule type="cellIs" dxfId="477" priority="18" operator="equal">
      <formula>"ME"</formula>
    </cfRule>
  </conditionalFormatting>
  <conditionalFormatting sqref="J53">
    <cfRule type="cellIs" dxfId="476" priority="14" operator="equal">
      <formula>"ME"</formula>
    </cfRule>
  </conditionalFormatting>
  <conditionalFormatting sqref="J57">
    <cfRule type="cellIs" dxfId="475" priority="10" operator="equal">
      <formula>"ME"</formula>
    </cfRule>
  </conditionalFormatting>
  <conditionalFormatting sqref="J61">
    <cfRule type="cellIs" dxfId="474" priority="6" operator="equal">
      <formula>"ME"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2840-C120-8A41-8DA1-3B8E9E1631F9}">
  <sheetPr>
    <tabColor theme="0"/>
  </sheetPr>
  <dimension ref="A1:S65"/>
  <sheetViews>
    <sheetView zoomScale="85" zoomScaleNormal="85" workbookViewId="0">
      <pane xSplit="1" ySplit="4" topLeftCell="B5" activePane="bottomRight" state="frozen"/>
      <selection pane="bottomLeft" activeCell="A5" sqref="A5"/>
      <selection pane="topRight" activeCell="B1" sqref="B1"/>
      <selection pane="bottomRight" activeCell="B14" sqref="B14"/>
    </sheetView>
  </sheetViews>
  <sheetFormatPr defaultColWidth="8.91015625" defaultRowHeight="16.5" x14ac:dyDescent="0.25"/>
  <cols>
    <col min="1" max="1" width="3.7109375" customWidth="1"/>
    <col min="2" max="2" width="12.87109375" style="140" bestFit="1" customWidth="1"/>
    <col min="3" max="3" width="10.0234375" bestFit="1" customWidth="1"/>
    <col min="4" max="4" width="8.7890625" bestFit="1" customWidth="1"/>
    <col min="5" max="5" width="10.76953125" bestFit="1" customWidth="1"/>
    <col min="6" max="6" width="6.0625" bestFit="1" customWidth="1"/>
    <col min="7" max="7" width="10.76953125" bestFit="1" customWidth="1"/>
    <col min="8" max="10" width="5.4453125" bestFit="1" customWidth="1"/>
    <col min="11" max="11" width="5.07421875" hidden="1" customWidth="1"/>
    <col min="12" max="12" width="7.55078125" hidden="1" customWidth="1"/>
    <col min="13" max="13" width="6.1875" hidden="1" customWidth="1"/>
    <col min="14" max="15" width="7.42578125" hidden="1" customWidth="1"/>
    <col min="16" max="16" width="6.0625" hidden="1" customWidth="1"/>
    <col min="17" max="17" width="3.21484375" hidden="1" customWidth="1"/>
    <col min="18" max="19" width="4.20703125" hidden="1" customWidth="1"/>
  </cols>
  <sheetData>
    <row r="1" spans="1:19" ht="63" customHeight="1" thickTop="1" thickBot="1" x14ac:dyDescent="0.3">
      <c r="A1">
        <v>5</v>
      </c>
      <c r="B1" s="124" t="s">
        <v>40</v>
      </c>
      <c r="C1" s="125">
        <f ca="1">ROUNDDOWN((G1-E1)/7,0)+1</f>
        <v>13</v>
      </c>
      <c r="D1" s="146"/>
      <c r="E1" s="196">
        <v>45753</v>
      </c>
      <c r="F1" s="196"/>
      <c r="G1" s="197">
        <f ca="1">TODAY()</f>
        <v>45838</v>
      </c>
      <c r="H1" s="197"/>
      <c r="L1" s="75" t="s">
        <v>25</v>
      </c>
      <c r="M1" s="76"/>
    </row>
    <row r="2" spans="1:19" ht="18" thickTop="1" thickBot="1" x14ac:dyDescent="0.3">
      <c r="A2" s="126">
        <f ca="1">C1</f>
        <v>13</v>
      </c>
      <c r="B2" s="112" t="s">
        <v>44</v>
      </c>
      <c r="C2" s="80" t="s">
        <v>5</v>
      </c>
      <c r="D2" s="78" t="s">
        <v>11</v>
      </c>
      <c r="E2" s="78" t="s">
        <v>12</v>
      </c>
      <c r="F2" s="79" t="s">
        <v>13</v>
      </c>
      <c r="G2" s="147" t="s">
        <v>5</v>
      </c>
      <c r="H2" s="148" t="s">
        <v>11</v>
      </c>
      <c r="I2" s="148" t="s">
        <v>13</v>
      </c>
      <c r="J2" s="149" t="s">
        <v>14</v>
      </c>
      <c r="L2" s="86" t="s">
        <v>27</v>
      </c>
      <c r="M2" s="81"/>
    </row>
    <row r="3" spans="1:19" ht="18" thickTop="1" thickBot="1" x14ac:dyDescent="0.3">
      <c r="A3" s="129" t="s">
        <v>8</v>
      </c>
      <c r="B3" s="119">
        <v>207.5</v>
      </c>
      <c r="C3" s="85">
        <v>2.5</v>
      </c>
      <c r="D3" s="83">
        <v>100</v>
      </c>
      <c r="E3" s="83">
        <v>100</v>
      </c>
      <c r="F3" s="84">
        <f>MROUND(E3-D3*0.85,C3)</f>
        <v>15</v>
      </c>
      <c r="G3" s="150">
        <v>0.1</v>
      </c>
      <c r="H3" s="151">
        <v>100</v>
      </c>
      <c r="I3" s="151">
        <v>25</v>
      </c>
      <c r="J3" s="152">
        <f>MROUND(H3*0.85+I3,G3)</f>
        <v>110</v>
      </c>
      <c r="L3" s="86" t="s">
        <v>28</v>
      </c>
      <c r="M3" s="87"/>
      <c r="N3" s="120" t="s">
        <v>34</v>
      </c>
      <c r="O3" s="93" t="s">
        <v>35</v>
      </c>
    </row>
    <row r="4" spans="1:19" ht="33.75" thickTop="1" thickBot="1" x14ac:dyDescent="0.3">
      <c r="A4" s="198" t="str">
        <f>A3&amp;" 운동"</f>
        <v>하 운동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28" t="s">
        <v>30</v>
      </c>
      <c r="M4" s="115"/>
      <c r="N4" s="116">
        <v>0.01</v>
      </c>
      <c r="O4" s="122">
        <v>7.0000000000000007E-2</v>
      </c>
    </row>
    <row r="5" spans="1:19" ht="18" customHeight="1" thickTop="1" thickBot="1" x14ac:dyDescent="0.3">
      <c r="A5" s="193">
        <f ca="1">IF($M8&lt;IF($A$3="하",$S$8,$S$6),0,IF($M8&gt;IF($A$3="하",$S$7,$S$5),"",A1+1))</f>
        <v>0</v>
      </c>
      <c r="B5" s="141" t="str">
        <f>IF(O6-C8&lt;$A$1," ","MAX to "&amp;MROUND(IF(IF(O6-C8&gt;$A$1,$A$1,O6-C8)&lt;2,I1,I1*(37-IF(O6-C8&gt;$A$1,$A$1,O6-C8))/36),D8))</f>
        <v xml:space="preserve"> </v>
      </c>
      <c r="C5" s="90" t="str">
        <f>IF(O6&lt;=C8,"X",IF(N6&gt;C8,"must ME","can ME"))</f>
        <v>X</v>
      </c>
      <c r="D5" s="131" t="s">
        <v>31</v>
      </c>
      <c r="E5" s="132">
        <v>4</v>
      </c>
      <c r="F5" s="133" t="s">
        <v>32</v>
      </c>
      <c r="G5" s="132">
        <f>IF(F6&gt;=90%,2,IF(F6&gt;=80%,4,IF(F6&gt;=70%,6,6)))</f>
        <v>6</v>
      </c>
      <c r="H5" s="134" t="s">
        <v>2</v>
      </c>
      <c r="I5" s="135">
        <f>K6/(100%-IF($A$3="하",$P$8,$P$6)*K8)/K8</f>
        <v>150.06002400960384</v>
      </c>
      <c r="J5" s="136">
        <f>IF("하"=$A$3,$Q$7,$Q$5)</f>
        <v>20</v>
      </c>
      <c r="K5" s="137" t="s">
        <v>33</v>
      </c>
      <c r="L5" s="75" t="s">
        <v>25</v>
      </c>
      <c r="M5" s="76">
        <f>K6</f>
        <v>2400</v>
      </c>
      <c r="N5" s="74" t="s">
        <v>34</v>
      </c>
      <c r="O5" s="74" t="s">
        <v>35</v>
      </c>
      <c r="P5" s="77" t="s">
        <v>26</v>
      </c>
      <c r="Q5" s="77">
        <v>25</v>
      </c>
      <c r="R5" s="77">
        <v>300</v>
      </c>
      <c r="S5" s="77">
        <f ca="1">$A$2*R5/4</f>
        <v>975</v>
      </c>
    </row>
    <row r="6" spans="1:19" ht="18" customHeight="1" thickTop="1" thickBot="1" x14ac:dyDescent="0.3">
      <c r="A6" s="194"/>
      <c r="B6" s="143">
        <v>140</v>
      </c>
      <c r="C6" s="142">
        <f>IF(B8="","",IF(B6*36/(37-B8)=0,"",B6*36/(37-B8)))</f>
        <v>140</v>
      </c>
      <c r="D6" s="109" t="str">
        <f>B2</f>
        <v>FSQ</v>
      </c>
      <c r="E6" s="18">
        <f>IF(C6="",B3,C6)</f>
        <v>140</v>
      </c>
      <c r="F6" s="94">
        <f>100%-J5*IF($A$3="하",$P$8,$P$6)</f>
        <v>0.72199999999999998</v>
      </c>
      <c r="G6" s="7">
        <f t="shared" ref="G6:I7" si="0">F6</f>
        <v>0.72199999999999998</v>
      </c>
      <c r="H6" s="7">
        <f t="shared" si="0"/>
        <v>0.72199999999999998</v>
      </c>
      <c r="I6" s="7">
        <f t="shared" si="0"/>
        <v>0.72199999999999998</v>
      </c>
      <c r="J6" s="8">
        <f>I6</f>
        <v>0.72199999999999998</v>
      </c>
      <c r="K6" s="95">
        <f>F7*F8+G7*G8+H7*H8+I7*I8+J7*J8</f>
        <v>2400</v>
      </c>
      <c r="L6" s="86" t="s">
        <v>27</v>
      </c>
      <c r="M6" s="81">
        <f>M5+M2</f>
        <v>2400</v>
      </c>
      <c r="N6" s="90">
        <f>ROUNDDOWN(M4*$N$4,0)</f>
        <v>0</v>
      </c>
      <c r="O6" s="90">
        <f>ROUNDDOWN(M4*$O$4,0)</f>
        <v>0</v>
      </c>
      <c r="P6" s="82">
        <v>1.11E-2</v>
      </c>
      <c r="Q6" s="77">
        <v>25</v>
      </c>
      <c r="R6" s="77">
        <v>200</v>
      </c>
      <c r="S6" s="77">
        <f ca="1">$A$2*R6/4</f>
        <v>650</v>
      </c>
    </row>
    <row r="7" spans="1:19" ht="18" customHeight="1" thickTop="1" thickBot="1" x14ac:dyDescent="0.3">
      <c r="A7" s="194"/>
      <c r="B7" s="141" t="str">
        <f>IF(O6-C8&lt;$A$1," ","1~ "&amp;IF(O6-C8&gt;$A$1,$A$1,O6-C8)&amp;" rep")</f>
        <v xml:space="preserve"> </v>
      </c>
      <c r="C7" s="97" t="s">
        <v>37</v>
      </c>
      <c r="D7" s="98" t="s">
        <v>5</v>
      </c>
      <c r="E7" s="5" t="s">
        <v>3</v>
      </c>
      <c r="F7" s="18">
        <f>MROUND(F6*E6,D8)</f>
        <v>100</v>
      </c>
      <c r="G7" s="18">
        <f t="shared" si="0"/>
        <v>100</v>
      </c>
      <c r="H7" s="18">
        <f t="shared" si="0"/>
        <v>100</v>
      </c>
      <c r="I7" s="18">
        <f t="shared" si="0"/>
        <v>100</v>
      </c>
      <c r="J7" s="19">
        <f>I7</f>
        <v>100</v>
      </c>
      <c r="K7" s="74" t="s">
        <v>10</v>
      </c>
      <c r="L7" s="86" t="s">
        <v>28</v>
      </c>
      <c r="M7" s="87">
        <f>K8</f>
        <v>24</v>
      </c>
      <c r="N7" s="93" t="s">
        <v>34</v>
      </c>
      <c r="O7" s="93" t="s">
        <v>35</v>
      </c>
      <c r="P7" s="121" t="s">
        <v>29</v>
      </c>
      <c r="Q7" s="77">
        <v>20</v>
      </c>
      <c r="R7" s="77">
        <v>240</v>
      </c>
      <c r="S7" s="77">
        <f ca="1">$A$2*R7/4</f>
        <v>780</v>
      </c>
    </row>
    <row r="8" spans="1:19" ht="18" customHeight="1" thickTop="1" thickBot="1" x14ac:dyDescent="0.3">
      <c r="A8" s="195"/>
      <c r="B8" s="143">
        <v>1</v>
      </c>
      <c r="C8" s="90">
        <f>B8</f>
        <v>1</v>
      </c>
      <c r="D8" s="113">
        <v>2.5</v>
      </c>
      <c r="E8" s="13" t="s">
        <v>7</v>
      </c>
      <c r="F8" s="158"/>
      <c r="G8" s="159">
        <v>6</v>
      </c>
      <c r="H8" s="159">
        <v>6</v>
      </c>
      <c r="I8" s="159">
        <v>6</v>
      </c>
      <c r="J8" s="155">
        <v>6</v>
      </c>
      <c r="K8" s="101">
        <f>SUM(F8:J8)</f>
        <v>24</v>
      </c>
      <c r="L8" s="88" t="s">
        <v>30</v>
      </c>
      <c r="M8" s="89">
        <f>M7+M4</f>
        <v>24</v>
      </c>
      <c r="N8" s="90">
        <f>ROUNDDOWN((M4+C8+K8)*$N$4,0)</f>
        <v>0</v>
      </c>
      <c r="O8" s="90">
        <f>ROUNDDOWN((M4+K8+C8)*$O$4,0)</f>
        <v>1</v>
      </c>
      <c r="P8" s="117">
        <v>1.3899999999999999E-2</v>
      </c>
      <c r="Q8" s="77">
        <v>20</v>
      </c>
      <c r="R8" s="77">
        <v>160</v>
      </c>
      <c r="S8" s="77">
        <f ca="1">$A$2*R8/4</f>
        <v>520</v>
      </c>
    </row>
    <row r="9" spans="1:19" ht="18" customHeight="1" thickTop="1" thickBot="1" x14ac:dyDescent="0.3">
      <c r="A9" s="193">
        <f ca="1">IF($M12&lt;IF($A$3="하",$S$8,$S$6),0,IF($M12&gt;IF($A$3="하",$S$7,$S$5),"",MAX(A5+1)))</f>
        <v>0</v>
      </c>
      <c r="B9" s="141" t="str">
        <f>IF(O10-C8&lt;$A$1," ","MAX to "&amp;MROUND(IF(IF(O10-C8&gt;$A$1,$A$1,O10-C8)&lt;2,I5,I5*(37-IF(O10-C8&gt;$A$1,$A$1,O10-C8))/36),D12))</f>
        <v xml:space="preserve"> </v>
      </c>
      <c r="C9" s="90" t="str">
        <f>IF(O10&lt;=C8,"X",IF(N10&gt;C8,"must ME","can ME"))</f>
        <v>X</v>
      </c>
      <c r="D9" s="75" t="s">
        <v>31</v>
      </c>
      <c r="E9" s="23">
        <v>4</v>
      </c>
      <c r="F9" s="2">
        <v>1</v>
      </c>
      <c r="G9" s="23">
        <f>IF(F10&gt;=90%,2,IF(F10&gt;=80%,4,IF(F10&gt;=70%,6,6)))</f>
        <v>6</v>
      </c>
      <c r="H9" s="3" t="s">
        <v>2</v>
      </c>
      <c r="I9" s="91">
        <f>K10/(100%-IF($A$3="하",$P$8,$P$6)*K12)/K12</f>
        <v>173.37956788476924</v>
      </c>
      <c r="J9" s="92">
        <f>IF("하"=$A$3,$Q$7,$Q$5)</f>
        <v>20</v>
      </c>
      <c r="K9" s="107" t="s">
        <v>33</v>
      </c>
      <c r="L9" s="75" t="s">
        <v>25</v>
      </c>
      <c r="M9" s="76">
        <f>K10</f>
        <v>2340</v>
      </c>
      <c r="N9" s="93" t="s">
        <v>34</v>
      </c>
      <c r="O9" s="93" t="s">
        <v>35</v>
      </c>
    </row>
    <row r="10" spans="1:19" ht="18" customHeight="1" thickTop="1" thickBot="1" x14ac:dyDescent="0.3">
      <c r="A10" s="194"/>
      <c r="B10" s="143">
        <v>180</v>
      </c>
      <c r="C10" s="142">
        <f>IF(B12="","",IF(B10*36/(37-B12)=0,"",B10*36/(37-B12)))</f>
        <v>180</v>
      </c>
      <c r="D10" s="109" t="s">
        <v>59</v>
      </c>
      <c r="E10" s="18">
        <f>IF(C10="",I5,C10)</f>
        <v>180</v>
      </c>
      <c r="F10" s="94">
        <f>100%-J9*IF($A$3="하",$P$8,$P$6)</f>
        <v>0.72199999999999998</v>
      </c>
      <c r="G10" s="7">
        <f t="shared" ref="G10:I11" si="1">F10</f>
        <v>0.72199999999999998</v>
      </c>
      <c r="H10" s="7">
        <f t="shared" si="1"/>
        <v>0.72199999999999998</v>
      </c>
      <c r="I10" s="7">
        <f t="shared" si="1"/>
        <v>0.72199999999999998</v>
      </c>
      <c r="J10" s="8">
        <f>I10</f>
        <v>0.72199999999999998</v>
      </c>
      <c r="K10" s="95">
        <f>F11*F12+G11*G12+H11*H12+I11*I12+J11*J12</f>
        <v>2340</v>
      </c>
      <c r="L10" s="86" t="s">
        <v>27</v>
      </c>
      <c r="M10" s="81">
        <f>M9+M6</f>
        <v>4740</v>
      </c>
      <c r="N10" s="90">
        <f>ROUNDDOWN(M8*$N$4,0)</f>
        <v>0</v>
      </c>
      <c r="O10" s="90">
        <f>ROUNDDOWN(M8*$O$4,0)</f>
        <v>1</v>
      </c>
    </row>
    <row r="11" spans="1:19" ht="18" customHeight="1" thickTop="1" thickBot="1" x14ac:dyDescent="0.3">
      <c r="A11" s="194"/>
      <c r="B11" s="141" t="str">
        <f>IF(O10-C8&lt;$A$1," ","1~ "&amp;IF(O10-C8&gt;$A$1,$A$1,O10-C8)&amp;" rep")</f>
        <v xml:space="preserve"> </v>
      </c>
      <c r="C11" s="97" t="s">
        <v>37</v>
      </c>
      <c r="D11" s="98" t="s">
        <v>5</v>
      </c>
      <c r="E11" s="5" t="s">
        <v>3</v>
      </c>
      <c r="F11" s="18">
        <f>MROUND(F10*E10,D12)</f>
        <v>130</v>
      </c>
      <c r="G11" s="18">
        <f t="shared" si="1"/>
        <v>130</v>
      </c>
      <c r="H11" s="18">
        <f t="shared" si="1"/>
        <v>130</v>
      </c>
      <c r="I11" s="18">
        <f t="shared" si="1"/>
        <v>130</v>
      </c>
      <c r="J11" s="19">
        <f>I11</f>
        <v>130</v>
      </c>
      <c r="K11" s="74" t="s">
        <v>10</v>
      </c>
      <c r="L11" s="86" t="s">
        <v>28</v>
      </c>
      <c r="M11" s="87">
        <f>K12</f>
        <v>18</v>
      </c>
      <c r="N11" s="93" t="s">
        <v>34</v>
      </c>
      <c r="O11" s="93" t="s">
        <v>35</v>
      </c>
    </row>
    <row r="12" spans="1:19" ht="18" customHeight="1" thickTop="1" thickBot="1" x14ac:dyDescent="0.3">
      <c r="A12" s="195"/>
      <c r="B12" s="144">
        <v>1</v>
      </c>
      <c r="C12" s="90">
        <f>IF(B10="",C8,IF(C10&lt;=0,C8,C8+B12))</f>
        <v>2</v>
      </c>
      <c r="D12" s="100">
        <f>D8</f>
        <v>2.5</v>
      </c>
      <c r="E12" s="13" t="s">
        <v>7</v>
      </c>
      <c r="F12" s="158"/>
      <c r="G12" s="159">
        <v>6</v>
      </c>
      <c r="H12" s="154">
        <v>4</v>
      </c>
      <c r="I12" s="154">
        <v>4</v>
      </c>
      <c r="J12" s="155">
        <v>4</v>
      </c>
      <c r="K12" s="101">
        <f>SUM(F12:J12)</f>
        <v>18</v>
      </c>
      <c r="L12" s="88" t="s">
        <v>30</v>
      </c>
      <c r="M12" s="89">
        <f>M11+M8</f>
        <v>42</v>
      </c>
      <c r="N12" s="90">
        <f>ROUNDDOWN((M8-C8+C12+K12)*$N$4,0)</f>
        <v>0</v>
      </c>
      <c r="O12" s="90">
        <f>ROUNDDOWN((M8+K12-+C12)*$O$4,0)</f>
        <v>2</v>
      </c>
    </row>
    <row r="13" spans="1:19" ht="18" customHeight="1" thickTop="1" thickBot="1" x14ac:dyDescent="0.3">
      <c r="A13" s="193">
        <f t="shared" ref="A13" ca="1" si="2">IF($M16&lt;IF($A$3="하",$S$8,$S$6),0,IF($M16&gt;IF($A$3="하",$S$7,$S$5),"",MAX(A9+1)))</f>
        <v>0</v>
      </c>
      <c r="B13" s="141" t="str">
        <f>IF(O14-C12&lt;$A$1," ","MAX to "&amp;MROUND(IF(IF(O14-C12&gt;$A$1,$A$1,O14-C12)&lt;2,I9,I9*(37-IF(O14-C12&gt;$A$1,$A$1,O14-C12))/36),D16))</f>
        <v xml:space="preserve"> </v>
      </c>
      <c r="C13" s="90" t="str">
        <f>IF(O14&lt;=C12,"X",IF(N14&gt;C12,"must ME","can ME"))</f>
        <v>X</v>
      </c>
      <c r="D13" s="75" t="s">
        <v>31</v>
      </c>
      <c r="E13" s="23">
        <v>4</v>
      </c>
      <c r="F13" s="2">
        <v>1</v>
      </c>
      <c r="G13" s="23">
        <f>IF(F14&gt;=90%,2,IF(F14&gt;=80%,4,IF(F14&gt;=70%,6,6)))</f>
        <v>6</v>
      </c>
      <c r="H13" s="3" t="s">
        <v>2</v>
      </c>
      <c r="I13" s="91">
        <f>K14/(100%-IF($A$3="하",$P$8,$P$6)*K16)/K16</f>
        <v>173.13019390581718</v>
      </c>
      <c r="J13" s="92">
        <f>IF("하"=$A$3,$Q$7,$Q$5)</f>
        <v>20</v>
      </c>
      <c r="K13" s="107" t="s">
        <v>33</v>
      </c>
      <c r="L13" s="75" t="s">
        <v>25</v>
      </c>
      <c r="M13" s="76">
        <f>K14</f>
        <v>2500</v>
      </c>
      <c r="N13" s="93" t="s">
        <v>34</v>
      </c>
      <c r="O13" s="93" t="s">
        <v>35</v>
      </c>
    </row>
    <row r="14" spans="1:19" ht="18" customHeight="1" thickTop="1" thickBot="1" x14ac:dyDescent="0.3">
      <c r="A14" s="194"/>
      <c r="B14" s="143"/>
      <c r="C14" s="142" t="str">
        <f>IF(B16="","",IF(B14*36/(37-B16)=0,"",B14*36/(37-B16)))</f>
        <v/>
      </c>
      <c r="D14" s="109" t="str">
        <f>D10</f>
        <v>HBSQ</v>
      </c>
      <c r="E14" s="18">
        <f>IF(C14="",I9,C14)</f>
        <v>173.37956788476924</v>
      </c>
      <c r="F14" s="94">
        <f>100%-J13*IF($A$3="하",$P$8,$P$6)</f>
        <v>0.72199999999999998</v>
      </c>
      <c r="G14" s="7">
        <f t="shared" ref="G14:I15" si="3">F14</f>
        <v>0.72199999999999998</v>
      </c>
      <c r="H14" s="7">
        <f t="shared" si="3"/>
        <v>0.72199999999999998</v>
      </c>
      <c r="I14" s="7">
        <f t="shared" si="3"/>
        <v>0.72199999999999998</v>
      </c>
      <c r="J14" s="8">
        <f>I14</f>
        <v>0.72199999999999998</v>
      </c>
      <c r="K14" s="95">
        <f>F15*F16+G15*G16+H15*H16+I15*I16+J15*J16</f>
        <v>2500</v>
      </c>
      <c r="L14" s="86" t="s">
        <v>27</v>
      </c>
      <c r="M14" s="81">
        <f>M13+M10</f>
        <v>7240</v>
      </c>
      <c r="N14" s="90">
        <f>ROUNDDOWN(M12*$N$4,0)</f>
        <v>0</v>
      </c>
      <c r="O14" s="90">
        <f>ROUNDDOWN(M12*$O$4,0)</f>
        <v>2</v>
      </c>
    </row>
    <row r="15" spans="1:19" ht="18" customHeight="1" thickTop="1" thickBot="1" x14ac:dyDescent="0.3">
      <c r="A15" s="194"/>
      <c r="B15" s="141" t="str">
        <f>IF(O14-C12&lt;$A$1," ","1~ "&amp;IF(O14-C12&gt;$A$1,$A$1,O14-C12)&amp;" rep")</f>
        <v xml:space="preserve"> </v>
      </c>
      <c r="C15" s="97" t="s">
        <v>37</v>
      </c>
      <c r="D15" s="98" t="s">
        <v>5</v>
      </c>
      <c r="E15" s="5" t="s">
        <v>3</v>
      </c>
      <c r="F15" s="18">
        <f>MROUND(F14*E14,D16)</f>
        <v>125</v>
      </c>
      <c r="G15" s="18">
        <f t="shared" si="3"/>
        <v>125</v>
      </c>
      <c r="H15" s="18">
        <f t="shared" si="3"/>
        <v>125</v>
      </c>
      <c r="I15" s="18">
        <f t="shared" si="3"/>
        <v>125</v>
      </c>
      <c r="J15" s="19">
        <f>I15</f>
        <v>125</v>
      </c>
      <c r="K15" s="74" t="s">
        <v>10</v>
      </c>
      <c r="L15" s="86" t="s">
        <v>28</v>
      </c>
      <c r="M15" s="87">
        <f>K16</f>
        <v>20</v>
      </c>
      <c r="N15" s="93" t="s">
        <v>34</v>
      </c>
      <c r="O15" s="93" t="s">
        <v>35</v>
      </c>
    </row>
    <row r="16" spans="1:19" ht="18" customHeight="1" thickTop="1" thickBot="1" x14ac:dyDescent="0.3">
      <c r="A16" s="195"/>
      <c r="B16" s="144"/>
      <c r="C16" s="90">
        <f>IF(B14="",C12,IF(C14&lt;=0,C12,C12+B16))</f>
        <v>2</v>
      </c>
      <c r="D16" s="100">
        <f>D12</f>
        <v>2.5</v>
      </c>
      <c r="E16" s="13" t="s">
        <v>7</v>
      </c>
      <c r="F16" s="103">
        <f xml:space="preserve"> IF($A$3="하",0,IF(MROUND(J13/5,1)&lt;=G13,IF(MROUND(J13/5,1)&gt;=E13,MROUND(J13/5,1),E13),G13))</f>
        <v>0</v>
      </c>
      <c r="G16" s="104">
        <f>IF(MROUND((J13-F16)/4,1)&lt;=G13,IF(MROUND((J13-F16)/4,1)&gt;=E13,MROUND((J13-F16)/4,1),E13),G13)</f>
        <v>5</v>
      </c>
      <c r="H16" s="104">
        <f>IF(MROUND((J13-F16-G16)/3,1)&lt;=G13,IF(MROUND((J13-F16-G16)/3,1)&gt;=E13,MROUND((J13-F16-G16)/3,1),E13),G13)</f>
        <v>5</v>
      </c>
      <c r="I16" s="104">
        <f>IF(MROUND((J13-F16-G16-H16)/2,1)&lt;=G13,IF((J13-F16-G16-H16)/2&gt;=E13,MROUND((J13-F16-G16-H16)/2,1),J13-F16-G16-H16),G13)</f>
        <v>5</v>
      </c>
      <c r="J16" s="105">
        <f>IF((J13-(F16+G16+H16+I16))&gt;0,(J13-(F16+G16+H16+I16)),0)</f>
        <v>5</v>
      </c>
      <c r="K16" s="101">
        <f>SUM(F16:J16)</f>
        <v>20</v>
      </c>
      <c r="L16" s="88" t="s">
        <v>30</v>
      </c>
      <c r="M16" s="89">
        <f>M15+M12</f>
        <v>62</v>
      </c>
      <c r="N16" s="90">
        <f>ROUNDDOWN((M12-C12+C16+K16)*$N$4,0)</f>
        <v>0</v>
      </c>
      <c r="O16" s="90">
        <f>ROUNDDOWN((M12+K16-+C16)*$O$4,0)</f>
        <v>4</v>
      </c>
    </row>
    <row r="17" spans="1:15" ht="18" customHeight="1" thickTop="1" thickBot="1" x14ac:dyDescent="0.3">
      <c r="A17" s="193">
        <f t="shared" ref="A17" ca="1" si="4">IF($M20&lt;IF($A$3="하",$S$8,$S$6),0,IF($M20&gt;IF($A$3="하",$S$7,$S$5),"",MAX(A13+1)))</f>
        <v>0</v>
      </c>
      <c r="B17" s="141" t="str">
        <f>IF(O18-C16&lt;$A$1," ","MAX to "&amp;MROUND(IF(IF(O18-C16&gt;$A$1,$A$1,O18-C16)&lt;2,I13,I13*(37-IF(O18-C16&gt;$A$1,$A$1,O18-C16))/36),D20))</f>
        <v xml:space="preserve"> </v>
      </c>
      <c r="C17" s="90" t="str">
        <f>IF(O18&lt;=C16,"X",IF(N18&gt;C16,"must ME","can ME"))</f>
        <v>can ME</v>
      </c>
      <c r="D17" s="75" t="s">
        <v>31</v>
      </c>
      <c r="E17" s="23">
        <v>4</v>
      </c>
      <c r="F17" s="2">
        <v>1</v>
      </c>
      <c r="G17" s="23">
        <f>IF(F18&gt;=90%,2,IF(F18&gt;=80%,4,IF(F18&gt;=70%,6,6)))</f>
        <v>6</v>
      </c>
      <c r="H17" s="3" t="s">
        <v>2</v>
      </c>
      <c r="I17" s="91">
        <f>K18/(100%-IF($A$3="하",$P$8,$P$6)*K20)/K20</f>
        <v>173.13019390581718</v>
      </c>
      <c r="J17" s="92">
        <f>IF("하"=$A$3,$Q$7,$Q$5)</f>
        <v>20</v>
      </c>
      <c r="K17" s="107" t="s">
        <v>33</v>
      </c>
      <c r="L17" s="75" t="s">
        <v>25</v>
      </c>
      <c r="M17" s="76">
        <f>K18</f>
        <v>2500</v>
      </c>
      <c r="N17" s="93" t="s">
        <v>34</v>
      </c>
      <c r="O17" s="93" t="s">
        <v>35</v>
      </c>
    </row>
    <row r="18" spans="1:15" ht="18" customHeight="1" thickTop="1" thickBot="1" x14ac:dyDescent="0.3">
      <c r="A18" s="194"/>
      <c r="B18" s="143"/>
      <c r="C18" s="142" t="str">
        <f>IF(B20="","",IF(B18*36/(37-B20)=0,"",B18*36/(37-B20)))</f>
        <v/>
      </c>
      <c r="D18" s="109" t="str">
        <f>D14</f>
        <v>HBSQ</v>
      </c>
      <c r="E18" s="18">
        <f>IF(C18="",I13,C18)</f>
        <v>173.13019390581718</v>
      </c>
      <c r="F18" s="94">
        <f>100%-J17*IF($A$3="하",$P$8,$P$6)</f>
        <v>0.72199999999999998</v>
      </c>
      <c r="G18" s="7">
        <f t="shared" ref="G18:I19" si="5">F18</f>
        <v>0.72199999999999998</v>
      </c>
      <c r="H18" s="7">
        <f t="shared" si="5"/>
        <v>0.72199999999999998</v>
      </c>
      <c r="I18" s="7">
        <f t="shared" si="5"/>
        <v>0.72199999999999998</v>
      </c>
      <c r="J18" s="8">
        <f>I18</f>
        <v>0.72199999999999998</v>
      </c>
      <c r="K18" s="95">
        <f>F19*F20+G19*G20+H19*H20+I19*I20+J19*J20</f>
        <v>2500</v>
      </c>
      <c r="L18" s="86" t="s">
        <v>27</v>
      </c>
      <c r="M18" s="81">
        <f>M17+M14</f>
        <v>9740</v>
      </c>
      <c r="N18" s="90">
        <f>ROUNDDOWN(M16*$N$4,0)</f>
        <v>0</v>
      </c>
      <c r="O18" s="90">
        <f>ROUNDDOWN(M16*$O$4,0)</f>
        <v>4</v>
      </c>
    </row>
    <row r="19" spans="1:15" ht="18" customHeight="1" thickTop="1" thickBot="1" x14ac:dyDescent="0.3">
      <c r="A19" s="194"/>
      <c r="B19" s="141" t="str">
        <f>IF(O18-C16&lt;$A$1," ","1~ "&amp;IF(O18-C16&gt;$A$1,$A$1,O18-C16)&amp;" rep")</f>
        <v xml:space="preserve"> </v>
      </c>
      <c r="C19" s="97" t="s">
        <v>37</v>
      </c>
      <c r="D19" s="98" t="s">
        <v>5</v>
      </c>
      <c r="E19" s="5" t="s">
        <v>3</v>
      </c>
      <c r="F19" s="18">
        <f>MROUND(F18*E18,D20)</f>
        <v>125</v>
      </c>
      <c r="G19" s="18">
        <f t="shared" si="5"/>
        <v>125</v>
      </c>
      <c r="H19" s="18">
        <f t="shared" si="5"/>
        <v>125</v>
      </c>
      <c r="I19" s="18">
        <f t="shared" si="5"/>
        <v>125</v>
      </c>
      <c r="J19" s="19">
        <f>I19</f>
        <v>125</v>
      </c>
      <c r="K19" s="74" t="s">
        <v>10</v>
      </c>
      <c r="L19" s="86" t="s">
        <v>28</v>
      </c>
      <c r="M19" s="87">
        <f>K20</f>
        <v>20</v>
      </c>
      <c r="N19" s="93" t="s">
        <v>34</v>
      </c>
      <c r="O19" s="93" t="s">
        <v>35</v>
      </c>
    </row>
    <row r="20" spans="1:15" ht="18" customHeight="1" thickTop="1" thickBot="1" x14ac:dyDescent="0.3">
      <c r="A20" s="195"/>
      <c r="B20" s="144"/>
      <c r="C20" s="90">
        <f>IF(B18="",C16,IF(C18&lt;=0,C16,C16+B20))</f>
        <v>2</v>
      </c>
      <c r="D20" s="100">
        <f>D16</f>
        <v>2.5</v>
      </c>
      <c r="E20" s="13" t="s">
        <v>7</v>
      </c>
      <c r="F20" s="103">
        <f xml:space="preserve"> IF($A$3="하",0,IF(MROUND(J17/5,1)&lt;=G17,IF(MROUND(J17/5,1)&gt;=E17,MROUND(J17/5,1),E17),G17))</f>
        <v>0</v>
      </c>
      <c r="G20" s="104">
        <f>IF(MROUND((J17-F20)/4,1)&lt;=G17,IF(MROUND((J17-F20)/4,1)&gt;=E17,MROUND((J17-F20)/4,1),E17),G17)</f>
        <v>5</v>
      </c>
      <c r="H20" s="104">
        <f>IF(MROUND((J17-F20-G20)/3,1)&lt;=G17,IF(MROUND((J17-F20-G20)/3,1)&gt;=E17,MROUND((J17-F20-G20)/3,1),E17),G17)</f>
        <v>5</v>
      </c>
      <c r="I20" s="104">
        <f>IF(MROUND((J17-F20-G20-H20)/2,1)&lt;=G17,IF((J17-F20-G20-H20)/2&gt;=E17,MROUND((J17-F20-G20-H20)/2,1),J17-F20-G20-H20),G17)</f>
        <v>5</v>
      </c>
      <c r="J20" s="105">
        <f>IF((J17-(F20+G20+H20+I20))&gt;0,(J17-(F20+G20+H20+I20)),0)</f>
        <v>5</v>
      </c>
      <c r="K20" s="101">
        <f>SUM(F20:J20)</f>
        <v>20</v>
      </c>
      <c r="L20" s="88" t="s">
        <v>30</v>
      </c>
      <c r="M20" s="89">
        <f>M19+M16</f>
        <v>82</v>
      </c>
      <c r="N20" s="90">
        <f>ROUNDDOWN((M16-C16+C20+K20)*$N$4,0)</f>
        <v>0</v>
      </c>
      <c r="O20" s="90">
        <f>ROUNDDOWN((M16+K20-+C20)*$O$4,0)</f>
        <v>5</v>
      </c>
    </row>
    <row r="21" spans="1:15" ht="18" customHeight="1" thickTop="1" thickBot="1" x14ac:dyDescent="0.3">
      <c r="A21" s="193">
        <f ca="1">IF($M24&lt;IF($A$3="하",$S$8,$S$6),0,IF($M24&gt;IF($A$3="하",$S$7,$S$5),"",MAX(A17+1)))</f>
        <v>0</v>
      </c>
      <c r="B21" s="141" t="str">
        <f>IF(O22-C20&lt;$A$1," ","MAX to "&amp;MROUND(IF(IF(O22-C20&gt;$A$1,$A$1,O22-C20)&lt;2,I17,I17*(37-IF(O22-C20&gt;$A$1,$A$1,O22-C20))/36),D24))</f>
        <v xml:space="preserve"> </v>
      </c>
      <c r="C21" s="90" t="str">
        <f>IF(O22&lt;=C20,"X",IF(N22&gt;C20,"must ME","can ME"))</f>
        <v>can ME</v>
      </c>
      <c r="D21" s="75" t="s">
        <v>31</v>
      </c>
      <c r="E21" s="23">
        <v>4</v>
      </c>
      <c r="F21" s="2">
        <v>1</v>
      </c>
      <c r="G21" s="23">
        <f>IF(F22&gt;=90%,2,IF(F22&gt;=80%,4,IF(F22&gt;=70%,6,6)))</f>
        <v>6</v>
      </c>
      <c r="H21" s="3" t="s">
        <v>2</v>
      </c>
      <c r="I21" s="91">
        <f>K22/(100%-IF($A$3="하",$P$8,$P$6)*K24)/K24</f>
        <v>173.13019390581718</v>
      </c>
      <c r="J21" s="92">
        <f>IF("하"=$A$3,$Q$7,$Q$5)</f>
        <v>20</v>
      </c>
      <c r="K21" s="107" t="s">
        <v>33</v>
      </c>
      <c r="L21" s="75" t="s">
        <v>25</v>
      </c>
      <c r="M21" s="76">
        <f>K22</f>
        <v>2500</v>
      </c>
      <c r="N21" s="93" t="s">
        <v>34</v>
      </c>
      <c r="O21" s="93" t="s">
        <v>35</v>
      </c>
    </row>
    <row r="22" spans="1:15" ht="18" customHeight="1" thickTop="1" thickBot="1" x14ac:dyDescent="0.3">
      <c r="A22" s="194"/>
      <c r="B22" s="143"/>
      <c r="C22" s="142" t="str">
        <f>IF(B24="","",IF(B22*36/(37-B24)=0,"",B22*36/(37-B24)))</f>
        <v/>
      </c>
      <c r="D22" s="109" t="str">
        <f>D18</f>
        <v>HBSQ</v>
      </c>
      <c r="E22" s="18">
        <f>IF(C22="",I17,C22)</f>
        <v>173.13019390581718</v>
      </c>
      <c r="F22" s="94">
        <f>100%-J21*IF($A$3="하",$P$8,$P$6)</f>
        <v>0.72199999999999998</v>
      </c>
      <c r="G22" s="7">
        <f t="shared" ref="G22:I23" si="6">F22</f>
        <v>0.72199999999999998</v>
      </c>
      <c r="H22" s="7">
        <f t="shared" si="6"/>
        <v>0.72199999999999998</v>
      </c>
      <c r="I22" s="7">
        <f t="shared" si="6"/>
        <v>0.72199999999999998</v>
      </c>
      <c r="J22" s="8">
        <f>I22</f>
        <v>0.72199999999999998</v>
      </c>
      <c r="K22" s="95">
        <f>F23*F24+G23*G24+H23*H24+I23*I24+J23*J24</f>
        <v>2500</v>
      </c>
      <c r="L22" s="86" t="s">
        <v>27</v>
      </c>
      <c r="M22" s="81">
        <f>M21+M18</f>
        <v>12240</v>
      </c>
      <c r="N22" s="90">
        <f>ROUNDDOWN(M20*$N$4,0)</f>
        <v>0</v>
      </c>
      <c r="O22" s="90">
        <f>ROUNDDOWN(M20*$O$4,0)</f>
        <v>5</v>
      </c>
    </row>
    <row r="23" spans="1:15" ht="18" customHeight="1" thickTop="1" thickBot="1" x14ac:dyDescent="0.3">
      <c r="A23" s="194"/>
      <c r="B23" s="141" t="str">
        <f>IF(O22-C20&lt;$A$1," ","1~ "&amp;IF(O22-C20&gt;$A$1,$A$1,O22-C20)&amp;" rep")</f>
        <v xml:space="preserve"> </v>
      </c>
      <c r="C23" s="97" t="s">
        <v>37</v>
      </c>
      <c r="D23" s="98" t="s">
        <v>5</v>
      </c>
      <c r="E23" s="5" t="s">
        <v>3</v>
      </c>
      <c r="F23" s="18">
        <f>MROUND(F22*E22,D24)</f>
        <v>125</v>
      </c>
      <c r="G23" s="18">
        <f t="shared" si="6"/>
        <v>125</v>
      </c>
      <c r="H23" s="18">
        <f t="shared" si="6"/>
        <v>125</v>
      </c>
      <c r="I23" s="18">
        <f t="shared" si="6"/>
        <v>125</v>
      </c>
      <c r="J23" s="19">
        <f>I23</f>
        <v>125</v>
      </c>
      <c r="K23" s="74" t="s">
        <v>10</v>
      </c>
      <c r="L23" s="86" t="s">
        <v>28</v>
      </c>
      <c r="M23" s="87">
        <f>K24</f>
        <v>20</v>
      </c>
      <c r="N23" s="93" t="s">
        <v>34</v>
      </c>
      <c r="O23" s="93" t="s">
        <v>35</v>
      </c>
    </row>
    <row r="24" spans="1:15" ht="18" customHeight="1" thickTop="1" thickBot="1" x14ac:dyDescent="0.3">
      <c r="A24" s="195"/>
      <c r="B24" s="144"/>
      <c r="C24" s="90">
        <f>IF(B22="",C20,IF(C22&lt;=0,C20,C20+B24))</f>
        <v>2</v>
      </c>
      <c r="D24" s="100">
        <f>D20</f>
        <v>2.5</v>
      </c>
      <c r="E24" s="13" t="s">
        <v>7</v>
      </c>
      <c r="F24" s="103">
        <f xml:space="preserve"> IF($A$3="하",0,IF(MROUND(J21/5,1)&lt;=G21,IF(MROUND(J21/5,1)&gt;=E21,MROUND(J21/5,1),E21),G21))</f>
        <v>0</v>
      </c>
      <c r="G24" s="104">
        <f>IF(MROUND((J21-F24)/4,1)&lt;=G21,IF(MROUND((J21-F24)/4,1)&gt;=E21,MROUND((J21-F24)/4,1),E21),G21)</f>
        <v>5</v>
      </c>
      <c r="H24" s="104">
        <f>IF(MROUND((J21-F24-G24)/3,1)&lt;=G21,IF(MROUND((J21-F24-G24)/3,1)&gt;=E21,MROUND((J21-F24-G24)/3,1),E21),G21)</f>
        <v>5</v>
      </c>
      <c r="I24" s="104">
        <f>IF(MROUND((J21-F24-G24-H24)/2,1)&lt;=G21,IF((J21-F24-G24-H24)/2&gt;=E21,MROUND((J21-F24-G24-H24)/2,1),J21-F24-G24-H24),G21)</f>
        <v>5</v>
      </c>
      <c r="J24" s="105">
        <f>IF((J21-(F24+G24+H24+I24))&gt;0,(J21-(F24+G24+H24+I24)),0)</f>
        <v>5</v>
      </c>
      <c r="K24" s="101">
        <f>SUM(F24:J24)</f>
        <v>20</v>
      </c>
      <c r="L24" s="88" t="s">
        <v>30</v>
      </c>
      <c r="M24" s="89">
        <f>M23+M20</f>
        <v>102</v>
      </c>
      <c r="N24" s="90">
        <f>ROUNDDOWN((M20-C20+C24+K24)*$N$4,0)</f>
        <v>1</v>
      </c>
      <c r="O24" s="90">
        <f>ROUNDDOWN((M20+K24-+C24)*$O$4,0)</f>
        <v>7</v>
      </c>
    </row>
    <row r="25" spans="1:15" ht="18" customHeight="1" thickTop="1" thickBot="1" x14ac:dyDescent="0.3">
      <c r="A25" s="193">
        <f ca="1">IF($M28&lt;IF($A$3="하",$S$8,$S$6),0,IF($M28&gt;IF($A$3="하",$S$7,$S$5),"",MAX(A21+1)))</f>
        <v>0</v>
      </c>
      <c r="B25" s="141" t="str">
        <f>IF(O26-C24&lt;$A$1," ","MAX to "&amp;MROUND(IF(IF(O26-C24&gt;$A$1,$A$1,O26-C24)&lt;2,I21,I21*(37-IF(O26-C24&gt;$A$1,$A$1,O26-C24))/36),D28))</f>
        <v>MAX to 155</v>
      </c>
      <c r="C25" s="90" t="str">
        <f>IF(O26&lt;=C24,"X",IF(N26&gt;C24,"must ME","can ME"))</f>
        <v>can ME</v>
      </c>
      <c r="D25" s="75" t="s">
        <v>31</v>
      </c>
      <c r="E25" s="23">
        <v>4</v>
      </c>
      <c r="F25" s="2">
        <v>1</v>
      </c>
      <c r="G25" s="23">
        <f>IF(F26&gt;=90%,2,IF(F26&gt;=80%,4,IF(F26&gt;=70%,6,6)))</f>
        <v>6</v>
      </c>
      <c r="H25" s="3" t="s">
        <v>2</v>
      </c>
      <c r="I25" s="91">
        <f>K26/(100%-IF($A$3="하",$P$8,$P$6)*K28)/K28</f>
        <v>173.13019390581718</v>
      </c>
      <c r="J25" s="92">
        <f>IF("하"=$A$3,$Q$7,$Q$5)</f>
        <v>20</v>
      </c>
      <c r="K25" s="107" t="s">
        <v>33</v>
      </c>
      <c r="L25" s="75" t="s">
        <v>25</v>
      </c>
      <c r="M25" s="76">
        <f>K26</f>
        <v>2500</v>
      </c>
      <c r="N25" s="93" t="s">
        <v>34</v>
      </c>
      <c r="O25" s="93" t="s">
        <v>35</v>
      </c>
    </row>
    <row r="26" spans="1:15" ht="18" customHeight="1" thickTop="1" thickBot="1" x14ac:dyDescent="0.3">
      <c r="A26" s="194"/>
      <c r="B26" s="143"/>
      <c r="C26" s="142" t="str">
        <f>IF(B28="","",IF(B26*36/(37-B28)=0,"",B26*36/(37-B28)))</f>
        <v/>
      </c>
      <c r="D26" s="109" t="str">
        <f>D22</f>
        <v>HBSQ</v>
      </c>
      <c r="E26" s="18">
        <f>IF(C26="",I21,C26)</f>
        <v>173.13019390581718</v>
      </c>
      <c r="F26" s="94">
        <f>100%-J25*IF($A$3="하",$P$8,$P$6)</f>
        <v>0.72199999999999998</v>
      </c>
      <c r="G26" s="7">
        <f t="shared" ref="G26:I27" si="7">F26</f>
        <v>0.72199999999999998</v>
      </c>
      <c r="H26" s="7">
        <f t="shared" si="7"/>
        <v>0.72199999999999998</v>
      </c>
      <c r="I26" s="7">
        <f t="shared" si="7"/>
        <v>0.72199999999999998</v>
      </c>
      <c r="J26" s="8">
        <f>I26</f>
        <v>0.72199999999999998</v>
      </c>
      <c r="K26" s="95">
        <f>F27*F28+G27*G28+H27*H28+I27*I28+J27*J28</f>
        <v>2500</v>
      </c>
      <c r="L26" s="86" t="s">
        <v>27</v>
      </c>
      <c r="M26" s="81">
        <f>M25+M22</f>
        <v>14740</v>
      </c>
      <c r="N26" s="90">
        <f>ROUNDDOWN(M24*$N$4,0)</f>
        <v>1</v>
      </c>
      <c r="O26" s="90">
        <f>ROUNDDOWN(M24*$O$4,0)</f>
        <v>7</v>
      </c>
    </row>
    <row r="27" spans="1:15" ht="18" customHeight="1" thickTop="1" thickBot="1" x14ac:dyDescent="0.3">
      <c r="A27" s="194"/>
      <c r="B27" s="141" t="str">
        <f>IF(O26-C24&lt;$A$1," ","1~ "&amp;IF(O26-C24&gt;$A$1,$A$1,O26-C24)&amp;" rep")</f>
        <v>1~ 5 rep</v>
      </c>
      <c r="C27" s="97" t="s">
        <v>37</v>
      </c>
      <c r="D27" s="98" t="s">
        <v>5</v>
      </c>
      <c r="E27" s="5" t="s">
        <v>3</v>
      </c>
      <c r="F27" s="18">
        <f>MROUND(F26*E26,D28)</f>
        <v>125</v>
      </c>
      <c r="G27" s="18">
        <f t="shared" si="7"/>
        <v>125</v>
      </c>
      <c r="H27" s="18">
        <f t="shared" si="7"/>
        <v>125</v>
      </c>
      <c r="I27" s="18">
        <f t="shared" si="7"/>
        <v>125</v>
      </c>
      <c r="J27" s="19">
        <f>I27</f>
        <v>125</v>
      </c>
      <c r="K27" s="74" t="s">
        <v>10</v>
      </c>
      <c r="L27" s="86" t="s">
        <v>28</v>
      </c>
      <c r="M27" s="87">
        <f>K28</f>
        <v>20</v>
      </c>
      <c r="N27" s="93" t="s">
        <v>34</v>
      </c>
      <c r="O27" s="93" t="s">
        <v>35</v>
      </c>
    </row>
    <row r="28" spans="1:15" ht="18" customHeight="1" thickTop="1" thickBot="1" x14ac:dyDescent="0.3">
      <c r="A28" s="195"/>
      <c r="B28" s="144"/>
      <c r="C28" s="90">
        <f>IF(B26="",C24,IF(C26&lt;=0,C24,C24+B28))</f>
        <v>2</v>
      </c>
      <c r="D28" s="100">
        <f>D24</f>
        <v>2.5</v>
      </c>
      <c r="E28" s="13" t="s">
        <v>7</v>
      </c>
      <c r="F28" s="103">
        <f xml:space="preserve"> IF($A$3="하",0,IF(MROUND(J25/5,1)&lt;=G25,IF(MROUND(J25/5,1)&gt;=E25,MROUND(J25/5,1),E25),G25))</f>
        <v>0</v>
      </c>
      <c r="G28" s="104">
        <f>IF(MROUND((J25-F28)/4,1)&lt;=G25,IF(MROUND((J25-F28)/4,1)&gt;=E25,MROUND((J25-F28)/4,1),E25),G25)</f>
        <v>5</v>
      </c>
      <c r="H28" s="104">
        <f>IF(MROUND((J25-F28-G28)/3,1)&lt;=G25,IF(MROUND((J25-F28-G28)/3,1)&gt;=E25,MROUND((J25-F28-G28)/3,1),E25),G25)</f>
        <v>5</v>
      </c>
      <c r="I28" s="104">
        <f>IF(MROUND((J25-F28-G28-H28)/2,1)&lt;=G25,IF((J25-F28-G28-H28)/2&gt;=E25,MROUND((J25-F28-G28-H28)/2,1),J25-F28-G28-H28),G25)</f>
        <v>5</v>
      </c>
      <c r="J28" s="105">
        <f>IF((J25-(F28+G28+H28+I28))&gt;0,(J25-(F28+G28+H28+I28)),0)</f>
        <v>5</v>
      </c>
      <c r="K28" s="101">
        <f>SUM(F28:J28)</f>
        <v>20</v>
      </c>
      <c r="L28" s="88" t="s">
        <v>30</v>
      </c>
      <c r="M28" s="89">
        <f>M27+M24</f>
        <v>122</v>
      </c>
      <c r="N28" s="90">
        <f>ROUNDDOWN((M24-C24+C28+K28)*$N$4,0)</f>
        <v>1</v>
      </c>
      <c r="O28" s="90">
        <f>ROUNDDOWN((M24+K28-+C28)*$O$4,0)</f>
        <v>8</v>
      </c>
    </row>
    <row r="29" spans="1:15" ht="18" customHeight="1" thickTop="1" thickBot="1" x14ac:dyDescent="0.3">
      <c r="A29" s="193">
        <f ca="1">IF($M32&lt;IF($A$3="하",$S$8,$S$6),0,IF($M32&gt;IF($A$3="하",$S$7,$S$5),"",MAX(A25+1)))</f>
        <v>0</v>
      </c>
      <c r="B29" s="141" t="str">
        <f>IF(O30-C28&lt;$A$1," ","MAX to "&amp;MROUND(IF(IF(O30-C28&gt;$A$1,$A$1,O30-C28)&lt;2,I25,I25*(37-IF(O30-C28&gt;$A$1,$A$1,O30-C28))/36),D32))</f>
        <v>MAX to 155</v>
      </c>
      <c r="C29" s="90" t="str">
        <f>IF(O30&lt;=C28,"X",IF(N30&gt;C28,"must ME","can ME"))</f>
        <v>can ME</v>
      </c>
      <c r="D29" s="75" t="s">
        <v>31</v>
      </c>
      <c r="E29" s="23">
        <v>4</v>
      </c>
      <c r="F29" s="2">
        <v>1</v>
      </c>
      <c r="G29" s="23">
        <f>IF(F30&gt;=90%,2,IF(F30&gt;=80%,4,IF(F30&gt;=70%,6,6)))</f>
        <v>6</v>
      </c>
      <c r="H29" s="3" t="s">
        <v>2</v>
      </c>
      <c r="I29" s="91">
        <f>K30/(100%-IF($A$3="하",$P$8,$P$6)*K32)/K32</f>
        <v>173.13019390581718</v>
      </c>
      <c r="J29" s="92">
        <f>IF("하"=$A$3,$Q$7,$Q$5)</f>
        <v>20</v>
      </c>
      <c r="K29" s="107" t="s">
        <v>33</v>
      </c>
      <c r="L29" s="75" t="s">
        <v>25</v>
      </c>
      <c r="M29" s="76">
        <f>K30</f>
        <v>2500</v>
      </c>
      <c r="N29" s="93" t="s">
        <v>34</v>
      </c>
      <c r="O29" s="93" t="s">
        <v>35</v>
      </c>
    </row>
    <row r="30" spans="1:15" ht="18" customHeight="1" thickTop="1" thickBot="1" x14ac:dyDescent="0.3">
      <c r="A30" s="194"/>
      <c r="B30" s="143"/>
      <c r="C30" s="142" t="str">
        <f>IF(B32="","",IF(B30*36/(37-B32)=0,"",B30*36/(37-B32)))</f>
        <v/>
      </c>
      <c r="D30" s="109" t="str">
        <f>D26</f>
        <v>HBSQ</v>
      </c>
      <c r="E30" s="18">
        <f>IF(C30="",I25,C30)</f>
        <v>173.13019390581718</v>
      </c>
      <c r="F30" s="94">
        <f>100%-J29*IF($A$3="하",$P$8,$P$6)</f>
        <v>0.72199999999999998</v>
      </c>
      <c r="G30" s="7">
        <f t="shared" ref="G30:I31" si="8">F30</f>
        <v>0.72199999999999998</v>
      </c>
      <c r="H30" s="7">
        <f t="shared" si="8"/>
        <v>0.72199999999999998</v>
      </c>
      <c r="I30" s="7">
        <f t="shared" si="8"/>
        <v>0.72199999999999998</v>
      </c>
      <c r="J30" s="8">
        <f>I30</f>
        <v>0.72199999999999998</v>
      </c>
      <c r="K30" s="95">
        <f>F31*F32+G31*G32+H31*H32+I31*I32+J31*J32</f>
        <v>2500</v>
      </c>
      <c r="L30" s="86" t="s">
        <v>27</v>
      </c>
      <c r="M30" s="81">
        <f>M29+M26</f>
        <v>17240</v>
      </c>
      <c r="N30" s="90">
        <f>ROUNDDOWN(M28*$N$4,0)</f>
        <v>1</v>
      </c>
      <c r="O30" s="90">
        <f>ROUNDDOWN(M28*$O$4,0)</f>
        <v>8</v>
      </c>
    </row>
    <row r="31" spans="1:15" ht="18" customHeight="1" thickTop="1" thickBot="1" x14ac:dyDescent="0.3">
      <c r="A31" s="194"/>
      <c r="B31" s="141" t="str">
        <f>IF(O30-C28&lt;$A$1," ","1~ "&amp;IF(O30-C28&gt;$A$1,$A$1,O30-C28)&amp;" rep")</f>
        <v>1~ 5 rep</v>
      </c>
      <c r="C31" s="97" t="s">
        <v>37</v>
      </c>
      <c r="D31" s="98" t="s">
        <v>5</v>
      </c>
      <c r="E31" s="5" t="s">
        <v>3</v>
      </c>
      <c r="F31" s="18">
        <f>MROUND(F30*E30,D32)</f>
        <v>125</v>
      </c>
      <c r="G31" s="18">
        <f t="shared" si="8"/>
        <v>125</v>
      </c>
      <c r="H31" s="18">
        <f t="shared" si="8"/>
        <v>125</v>
      </c>
      <c r="I31" s="18">
        <f t="shared" si="8"/>
        <v>125</v>
      </c>
      <c r="J31" s="19">
        <f>I31</f>
        <v>125</v>
      </c>
      <c r="K31" s="74" t="s">
        <v>10</v>
      </c>
      <c r="L31" s="86" t="s">
        <v>28</v>
      </c>
      <c r="M31" s="87">
        <f>K32</f>
        <v>20</v>
      </c>
      <c r="N31" s="93" t="s">
        <v>34</v>
      </c>
      <c r="O31" s="93" t="s">
        <v>35</v>
      </c>
    </row>
    <row r="32" spans="1:15" ht="18" customHeight="1" thickTop="1" thickBot="1" x14ac:dyDescent="0.3">
      <c r="A32" s="195"/>
      <c r="B32" s="144"/>
      <c r="C32" s="90">
        <f>IF(B30="",C28,IF(C30&lt;=0,C28,C28+B32))</f>
        <v>2</v>
      </c>
      <c r="D32" s="100">
        <f>D28</f>
        <v>2.5</v>
      </c>
      <c r="E32" s="13" t="s">
        <v>7</v>
      </c>
      <c r="F32" s="103">
        <f xml:space="preserve"> IF($A$3="하",0,IF(MROUND(J29/5,1)&lt;=G29,IF(MROUND(J29/5,1)&gt;=E29,MROUND(J29/5,1),E29),G29))</f>
        <v>0</v>
      </c>
      <c r="G32" s="104">
        <f>IF(MROUND((J29-F32)/4,1)&lt;=G29,IF(MROUND((J29-F32)/4,1)&gt;=E29,MROUND((J29-F32)/4,1),E29),G29)</f>
        <v>5</v>
      </c>
      <c r="H32" s="104">
        <f>IF(MROUND((J29-F32-G32)/3,1)&lt;=G29,IF(MROUND((J29-F32-G32)/3,1)&gt;=E29,MROUND((J29-F32-G32)/3,1),E29),G29)</f>
        <v>5</v>
      </c>
      <c r="I32" s="104">
        <f>IF(MROUND((J29-F32-G32-H32)/2,1)&lt;=G29,IF((J29-F32-G32-H32)/2&gt;=E29,MROUND((J29-F32-G32-H32)/2,1),J29-F32-G32-H32),G29)</f>
        <v>5</v>
      </c>
      <c r="J32" s="105">
        <f>IF((J29-(F32+G32+H32+I32))&gt;0,(J29-(F32+G32+H32+I32)),0)</f>
        <v>5</v>
      </c>
      <c r="K32" s="101">
        <f>SUM(F32:J32)</f>
        <v>20</v>
      </c>
      <c r="L32" s="88" t="s">
        <v>30</v>
      </c>
      <c r="M32" s="89">
        <f>M31+M28</f>
        <v>142</v>
      </c>
      <c r="N32" s="90">
        <f>ROUNDDOWN((M28-C28+C32+K32)*$N$4,0)</f>
        <v>1</v>
      </c>
      <c r="O32" s="90">
        <f>ROUNDDOWN((M28+K32-+C32)*$O$4,0)</f>
        <v>9</v>
      </c>
    </row>
    <row r="33" spans="1:15" ht="18" customHeight="1" thickTop="1" thickBot="1" x14ac:dyDescent="0.3">
      <c r="A33" s="193">
        <f ca="1">IF($M36&lt;IF($A$3="하",$S$8,$S$6),0,IF($M36&gt;IF($A$3="하",$S$7,$S$5),"",MAX(A29+1)))</f>
        <v>0</v>
      </c>
      <c r="B33" s="141" t="str">
        <f>IF(O34-C32&lt;$A$1," ","MAX to "&amp;MROUND(IF(IF(O34-C32&gt;$A$1,$A$1,O34-C32)&lt;2,I29,I29*(37-IF(O34-C32&gt;$A$1,$A$1,O34-C32))/36),D36))</f>
        <v>MAX to 155</v>
      </c>
      <c r="C33" s="90" t="str">
        <f>IF(O34&lt;=C32,"X",IF(N34&gt;C32,"must ME","can ME"))</f>
        <v>can ME</v>
      </c>
      <c r="D33" s="75" t="s">
        <v>31</v>
      </c>
      <c r="E33" s="23">
        <v>4</v>
      </c>
      <c r="F33" s="2">
        <v>1</v>
      </c>
      <c r="G33" s="23">
        <f>IF(F34&gt;=90%,2,IF(F34&gt;=80%,4,IF(F34&gt;=70%,6,6)))</f>
        <v>6</v>
      </c>
      <c r="H33" s="3" t="s">
        <v>2</v>
      </c>
      <c r="I33" s="91">
        <f>K34/(100%-IF($A$3="하",$P$8,$P$6)*K36)/K36</f>
        <v>173.13019390581718</v>
      </c>
      <c r="J33" s="92">
        <f>IF("하"=$A$3,$Q$7,$Q$5)</f>
        <v>20</v>
      </c>
      <c r="K33" s="107" t="s">
        <v>33</v>
      </c>
      <c r="L33" s="75" t="s">
        <v>25</v>
      </c>
      <c r="M33" s="76">
        <f>K34</f>
        <v>2500</v>
      </c>
      <c r="N33" s="93" t="s">
        <v>34</v>
      </c>
      <c r="O33" s="93" t="s">
        <v>35</v>
      </c>
    </row>
    <row r="34" spans="1:15" ht="18" customHeight="1" thickTop="1" thickBot="1" x14ac:dyDescent="0.3">
      <c r="A34" s="194"/>
      <c r="B34" s="143"/>
      <c r="C34" s="142" t="str">
        <f>IF(B36="","",IF(B34*36/(37-B36)=0,"",B34*36/(37-B36)))</f>
        <v/>
      </c>
      <c r="D34" s="109" t="str">
        <f>D30</f>
        <v>HBSQ</v>
      </c>
      <c r="E34" s="18">
        <f>IF(C34="",I29,C34)</f>
        <v>173.13019390581718</v>
      </c>
      <c r="F34" s="94">
        <f>100%-J33*IF($A$3="하",$P$8,$P$6)</f>
        <v>0.72199999999999998</v>
      </c>
      <c r="G34" s="7">
        <f t="shared" ref="G34:I35" si="9">F34</f>
        <v>0.72199999999999998</v>
      </c>
      <c r="H34" s="7">
        <f t="shared" si="9"/>
        <v>0.72199999999999998</v>
      </c>
      <c r="I34" s="7">
        <f t="shared" si="9"/>
        <v>0.72199999999999998</v>
      </c>
      <c r="J34" s="8">
        <f>I34</f>
        <v>0.72199999999999998</v>
      </c>
      <c r="K34" s="95">
        <f>F35*F36+G35*G36+H35*H36+I35*I36+J35*J36</f>
        <v>2500</v>
      </c>
      <c r="L34" s="86" t="s">
        <v>27</v>
      </c>
      <c r="M34" s="81">
        <f>M33+M30</f>
        <v>19740</v>
      </c>
      <c r="N34" s="90">
        <f>ROUNDDOWN(M32*$N$4,0)</f>
        <v>1</v>
      </c>
      <c r="O34" s="90">
        <f>ROUNDDOWN(M32*$O$4,0)</f>
        <v>9</v>
      </c>
    </row>
    <row r="35" spans="1:15" ht="18" customHeight="1" thickTop="1" thickBot="1" x14ac:dyDescent="0.3">
      <c r="A35" s="194"/>
      <c r="B35" s="141" t="str">
        <f>IF(O34-C32&lt;$A$1," ","1~ "&amp;IF(O34-C32&gt;$A$1,$A$1,O34-C32)&amp;" rep")</f>
        <v>1~ 5 rep</v>
      </c>
      <c r="C35" s="97" t="s">
        <v>37</v>
      </c>
      <c r="D35" s="98" t="s">
        <v>5</v>
      </c>
      <c r="E35" s="5" t="s">
        <v>3</v>
      </c>
      <c r="F35" s="18">
        <f>MROUND(F34*E34,D36)</f>
        <v>125</v>
      </c>
      <c r="G35" s="18">
        <f t="shared" si="9"/>
        <v>125</v>
      </c>
      <c r="H35" s="18">
        <f t="shared" si="9"/>
        <v>125</v>
      </c>
      <c r="I35" s="18">
        <f t="shared" si="9"/>
        <v>125</v>
      </c>
      <c r="J35" s="19">
        <f>I35</f>
        <v>125</v>
      </c>
      <c r="K35" s="74" t="s">
        <v>10</v>
      </c>
      <c r="L35" s="86" t="s">
        <v>28</v>
      </c>
      <c r="M35" s="87">
        <f>K36</f>
        <v>20</v>
      </c>
      <c r="N35" s="93" t="s">
        <v>34</v>
      </c>
      <c r="O35" s="93" t="s">
        <v>35</v>
      </c>
    </row>
    <row r="36" spans="1:15" ht="18" customHeight="1" thickTop="1" thickBot="1" x14ac:dyDescent="0.3">
      <c r="A36" s="195"/>
      <c r="B36" s="144"/>
      <c r="C36" s="90">
        <f>IF(B34="",C32,IF(C34&lt;=0,C32,C32+B36))</f>
        <v>2</v>
      </c>
      <c r="D36" s="100">
        <f>D32</f>
        <v>2.5</v>
      </c>
      <c r="E36" s="13" t="s">
        <v>7</v>
      </c>
      <c r="F36" s="103">
        <f xml:space="preserve"> IF($A$3="하",0,IF(MROUND(J33/5,1)&lt;=G33,IF(MROUND(J33/5,1)&gt;=E33,MROUND(J33/5,1),E33),G33))</f>
        <v>0</v>
      </c>
      <c r="G36" s="104">
        <f>IF(MROUND((J33-F36)/4,1)&lt;=G33,IF(MROUND((J33-F36)/4,1)&gt;=E33,MROUND((J33-F36)/4,1),E33),G33)</f>
        <v>5</v>
      </c>
      <c r="H36" s="104">
        <f>IF(MROUND((J33-F36-G36)/3,1)&lt;=G33,IF(MROUND((J33-F36-G36)/3,1)&gt;=E33,MROUND((J33-F36-G36)/3,1),E33),G33)</f>
        <v>5</v>
      </c>
      <c r="I36" s="104">
        <f>IF(MROUND((J33-F36-G36-H36)/2,1)&lt;=G33,IF((J33-F36-G36-H36)/2&gt;=E33,MROUND((J33-F36-G36-H36)/2,1),J33-F36-G36-H36),G33)</f>
        <v>5</v>
      </c>
      <c r="J36" s="105">
        <f>IF((J33-(F36+G36+H36+I36))&gt;0,(J33-(F36+G36+H36+I36)),0)</f>
        <v>5</v>
      </c>
      <c r="K36" s="101">
        <f>SUM(F36:J36)</f>
        <v>20</v>
      </c>
      <c r="L36" s="88" t="s">
        <v>30</v>
      </c>
      <c r="M36" s="89">
        <f>M35+M32</f>
        <v>162</v>
      </c>
      <c r="N36" s="90">
        <f>ROUNDDOWN((M32-C32+C36+K36)*$N$4,0)</f>
        <v>1</v>
      </c>
      <c r="O36" s="90">
        <f>ROUNDDOWN((M32+K36-+C36)*$O$4,0)</f>
        <v>11</v>
      </c>
    </row>
    <row r="37" spans="1:15" ht="18" customHeight="1" thickTop="1" thickBot="1" x14ac:dyDescent="0.3">
      <c r="A37" s="193">
        <f t="shared" ref="A37" ca="1" si="10">IF($M40&lt;IF($A$3="하",$S$8,$S$6),0,IF($M40&gt;IF($A$3="하",$S$7,$S$5),"",MAX(A33+1)))</f>
        <v>0</v>
      </c>
      <c r="B37" s="141" t="str">
        <f>IF(O38-C36&lt;$A$1," ","MAX to "&amp;MROUND(IF(IF(O38-C36&gt;$A$1,$A$1,O38-C36)&lt;2,I33,I33*(37-IF(O38-C36&gt;$A$1,$A$1,O38-C36))/36),D40))</f>
        <v>MAX to 155</v>
      </c>
      <c r="C37" s="90" t="str">
        <f>IF(O38&lt;=C36,"X",IF(N38&gt;C36,"must ME","can ME"))</f>
        <v>can ME</v>
      </c>
      <c r="D37" s="75" t="s">
        <v>31</v>
      </c>
      <c r="E37" s="23">
        <v>4</v>
      </c>
      <c r="F37" s="2">
        <v>1</v>
      </c>
      <c r="G37" s="23">
        <f>IF(F38&gt;=90%,2,IF(F38&gt;=80%,4,IF(F38&gt;=70%,6,6)))</f>
        <v>6</v>
      </c>
      <c r="H37" s="3" t="s">
        <v>2</v>
      </c>
      <c r="I37" s="91">
        <f>K38/(100%-IF($A$3="하",$P$8,$P$6)*K40)/K40</f>
        <v>173.13019390581718</v>
      </c>
      <c r="J37" s="92">
        <f>IF("하"=$A$3,$Q$7,$Q$5)</f>
        <v>20</v>
      </c>
      <c r="K37" s="107" t="s">
        <v>33</v>
      </c>
      <c r="L37" s="75" t="s">
        <v>25</v>
      </c>
      <c r="M37" s="76">
        <f>K38</f>
        <v>2500</v>
      </c>
      <c r="N37" s="93" t="s">
        <v>34</v>
      </c>
      <c r="O37" s="93" t="s">
        <v>35</v>
      </c>
    </row>
    <row r="38" spans="1:15" ht="18" customHeight="1" thickTop="1" thickBot="1" x14ac:dyDescent="0.3">
      <c r="A38" s="194"/>
      <c r="B38" s="143"/>
      <c r="C38" s="142" t="str">
        <f>IF(B40="","",IF(B38*36/(37-B40)=0,"",B38*36/(37-B40)))</f>
        <v/>
      </c>
      <c r="D38" s="109" t="str">
        <f>D34</f>
        <v>HBSQ</v>
      </c>
      <c r="E38" s="18">
        <f>IF(C38="",I33,C38)</f>
        <v>173.13019390581718</v>
      </c>
      <c r="F38" s="94">
        <f>100%-J37*IF($A$3="하",$P$8,$P$6)</f>
        <v>0.72199999999999998</v>
      </c>
      <c r="G38" s="7">
        <f t="shared" ref="G38:I39" si="11">F38</f>
        <v>0.72199999999999998</v>
      </c>
      <c r="H38" s="7">
        <f t="shared" si="11"/>
        <v>0.72199999999999998</v>
      </c>
      <c r="I38" s="7">
        <f t="shared" si="11"/>
        <v>0.72199999999999998</v>
      </c>
      <c r="J38" s="8">
        <f>I38</f>
        <v>0.72199999999999998</v>
      </c>
      <c r="K38" s="95">
        <f>F39*F40+G39*G40+H39*H40+I39*I40+J39*J40</f>
        <v>2500</v>
      </c>
      <c r="L38" s="86" t="s">
        <v>27</v>
      </c>
      <c r="M38" s="81">
        <f>M37+M34</f>
        <v>22240</v>
      </c>
      <c r="N38" s="90">
        <f>ROUNDDOWN(M36*$N$4,0)</f>
        <v>1</v>
      </c>
      <c r="O38" s="90">
        <f>ROUNDDOWN(M36*$O$4,0)</f>
        <v>11</v>
      </c>
    </row>
    <row r="39" spans="1:15" ht="18" customHeight="1" thickTop="1" thickBot="1" x14ac:dyDescent="0.3">
      <c r="A39" s="194"/>
      <c r="B39" s="141" t="str">
        <f>IF(O38-C36&lt;$A$1," ","1~ "&amp;IF(O38-C36&gt;$A$1,$A$1,O38-C36)&amp;" rep")</f>
        <v>1~ 5 rep</v>
      </c>
      <c r="C39" s="97" t="s">
        <v>37</v>
      </c>
      <c r="D39" s="98" t="s">
        <v>5</v>
      </c>
      <c r="E39" s="5" t="s">
        <v>3</v>
      </c>
      <c r="F39" s="18">
        <f>MROUND(F38*E38,D40)</f>
        <v>125</v>
      </c>
      <c r="G39" s="18">
        <f t="shared" si="11"/>
        <v>125</v>
      </c>
      <c r="H39" s="18">
        <f t="shared" si="11"/>
        <v>125</v>
      </c>
      <c r="I39" s="18">
        <f t="shared" si="11"/>
        <v>125</v>
      </c>
      <c r="J39" s="19">
        <f>I39</f>
        <v>125</v>
      </c>
      <c r="K39" s="74" t="s">
        <v>10</v>
      </c>
      <c r="L39" s="86" t="s">
        <v>28</v>
      </c>
      <c r="M39" s="87">
        <f>K40</f>
        <v>20</v>
      </c>
      <c r="N39" s="93" t="s">
        <v>34</v>
      </c>
      <c r="O39" s="93" t="s">
        <v>35</v>
      </c>
    </row>
    <row r="40" spans="1:15" ht="18" customHeight="1" thickTop="1" thickBot="1" x14ac:dyDescent="0.3">
      <c r="A40" s="195"/>
      <c r="B40" s="144"/>
      <c r="C40" s="90">
        <f>IF(B38="",C36,IF(C38&lt;=0,C36,C36+B40))</f>
        <v>2</v>
      </c>
      <c r="D40" s="100">
        <f>D36</f>
        <v>2.5</v>
      </c>
      <c r="E40" s="13" t="s">
        <v>7</v>
      </c>
      <c r="F40" s="103">
        <f xml:space="preserve"> IF($A$3="하",0,IF(MROUND(J37/5,1)&lt;=G37,IF(MROUND(J37/5,1)&gt;=E37,MROUND(J37/5,1),E37),G37))</f>
        <v>0</v>
      </c>
      <c r="G40" s="104">
        <f>IF(MROUND((J37-F40)/4,1)&lt;=G37,IF(MROUND((J37-F40)/4,1)&gt;=E37,MROUND((J37-F40)/4,1),E37),G37)</f>
        <v>5</v>
      </c>
      <c r="H40" s="104">
        <f>IF(MROUND((J37-F40-G40)/3,1)&lt;=G37,IF(MROUND((J37-F40-G40)/3,1)&gt;=E37,MROUND((J37-F40-G40)/3,1),E37),G37)</f>
        <v>5</v>
      </c>
      <c r="I40" s="104">
        <f>IF(MROUND((J37-F40-G40-H40)/2,1)&lt;=G37,IF((J37-F40-G40-H40)/2&gt;=E37,MROUND((J37-F40-G40-H40)/2,1),J37-F40-G40-H40),G37)</f>
        <v>5</v>
      </c>
      <c r="J40" s="105">
        <f>IF((J37-(F40+G40+H40+I40))&gt;0,(J37-(F40+G40+H40+I40)),0)</f>
        <v>5</v>
      </c>
      <c r="K40" s="101">
        <f>SUM(F40:J40)</f>
        <v>20</v>
      </c>
      <c r="L40" s="88" t="s">
        <v>30</v>
      </c>
      <c r="M40" s="89">
        <f>M39+M36</f>
        <v>182</v>
      </c>
      <c r="N40" s="90">
        <f>ROUNDDOWN((M36-C36+C40+K40)*$N$4,0)</f>
        <v>1</v>
      </c>
      <c r="O40" s="90">
        <f>ROUNDDOWN((M36+K40-+C40)*$O$4,0)</f>
        <v>12</v>
      </c>
    </row>
    <row r="41" spans="1:15" ht="18" customHeight="1" thickTop="1" thickBot="1" x14ac:dyDescent="0.3">
      <c r="A41" s="193">
        <f t="shared" ref="A41" ca="1" si="12">IF($M44&lt;IF($A$3="하",$S$8,$S$6),0,IF($M44&gt;IF($A$3="하",$S$7,$S$5),"",MAX(A37+1)))</f>
        <v>0</v>
      </c>
      <c r="B41" s="141" t="str">
        <f>IF(O42-C40&lt;$A$1," ","MAX to "&amp;MROUND(IF(IF(O42-C40&gt;$A$1,$A$1,O42-C40)&lt;2,I37,I37*(37-IF(O42-C40&gt;$A$1,$A$1,O42-C40))/36),D44))</f>
        <v>MAX to 155</v>
      </c>
      <c r="C41" s="90" t="str">
        <f>IF(O42&lt;=C40,"X",IF(N42&gt;C40,"must ME","can ME"))</f>
        <v>can ME</v>
      </c>
      <c r="D41" s="75" t="s">
        <v>31</v>
      </c>
      <c r="E41" s="23">
        <v>4</v>
      </c>
      <c r="F41" s="2">
        <v>1</v>
      </c>
      <c r="G41" s="23">
        <f>IF(F42&gt;=90%,2,IF(F42&gt;=80%,4,IF(F42&gt;=70%,6,6)))</f>
        <v>6</v>
      </c>
      <c r="H41" s="3" t="s">
        <v>2</v>
      </c>
      <c r="I41" s="91">
        <f>K42/(100%-IF($A$3="하",$P$8,$P$6)*K44)/K44</f>
        <v>173.13019390581718</v>
      </c>
      <c r="J41" s="92">
        <f>IF("하"=$A$3,$Q$7,$Q$5)</f>
        <v>20</v>
      </c>
      <c r="K41" s="107" t="s">
        <v>33</v>
      </c>
      <c r="L41" s="75" t="s">
        <v>25</v>
      </c>
      <c r="M41" s="76">
        <f>K42</f>
        <v>2500</v>
      </c>
      <c r="N41" s="93" t="s">
        <v>34</v>
      </c>
      <c r="O41" s="93" t="s">
        <v>35</v>
      </c>
    </row>
    <row r="42" spans="1:15" ht="18" customHeight="1" thickTop="1" thickBot="1" x14ac:dyDescent="0.3">
      <c r="A42" s="194"/>
      <c r="B42" s="143"/>
      <c r="C42" s="142" t="str">
        <f>IF(B44="","",IF(B42*36/(37-B44)=0,"",B42*36/(37-B44)))</f>
        <v/>
      </c>
      <c r="D42" s="109" t="str">
        <f>D38</f>
        <v>HBSQ</v>
      </c>
      <c r="E42" s="18">
        <f>IF(C42="",I37,C42)</f>
        <v>173.13019390581718</v>
      </c>
      <c r="F42" s="94">
        <f>100%-J41*IF($A$3="하",$P$8,$P$6)</f>
        <v>0.72199999999999998</v>
      </c>
      <c r="G42" s="7">
        <f t="shared" ref="G42:I43" si="13">F42</f>
        <v>0.72199999999999998</v>
      </c>
      <c r="H42" s="7">
        <f t="shared" si="13"/>
        <v>0.72199999999999998</v>
      </c>
      <c r="I42" s="7">
        <f t="shared" si="13"/>
        <v>0.72199999999999998</v>
      </c>
      <c r="J42" s="8">
        <f>I42</f>
        <v>0.72199999999999998</v>
      </c>
      <c r="K42" s="95">
        <f>F43*F44+G43*G44+H43*H44+I43*I44+J43*J44</f>
        <v>2500</v>
      </c>
      <c r="L42" s="86" t="s">
        <v>27</v>
      </c>
      <c r="M42" s="81">
        <f>M41+M38</f>
        <v>24740</v>
      </c>
      <c r="N42" s="90">
        <f>ROUNDDOWN(M40*$N$4,0)</f>
        <v>1</v>
      </c>
      <c r="O42" s="90">
        <f>ROUNDDOWN(M40*$O$4,0)</f>
        <v>12</v>
      </c>
    </row>
    <row r="43" spans="1:15" ht="18" customHeight="1" thickTop="1" thickBot="1" x14ac:dyDescent="0.3">
      <c r="A43" s="194"/>
      <c r="B43" s="141" t="str">
        <f>IF(O42-C40&lt;$A$1," ","1~ "&amp;IF(O42-C40&gt;$A$1,$A$1,O42-C40)&amp;" rep")</f>
        <v>1~ 5 rep</v>
      </c>
      <c r="C43" s="97" t="s">
        <v>37</v>
      </c>
      <c r="D43" s="98" t="s">
        <v>5</v>
      </c>
      <c r="E43" s="5" t="s">
        <v>3</v>
      </c>
      <c r="F43" s="18">
        <f>MROUND(F42*E42,D44)</f>
        <v>125</v>
      </c>
      <c r="G43" s="18">
        <f t="shared" si="13"/>
        <v>125</v>
      </c>
      <c r="H43" s="18">
        <f t="shared" si="13"/>
        <v>125</v>
      </c>
      <c r="I43" s="18">
        <f t="shared" si="13"/>
        <v>125</v>
      </c>
      <c r="J43" s="19">
        <f>I43</f>
        <v>125</v>
      </c>
      <c r="K43" s="74" t="s">
        <v>10</v>
      </c>
      <c r="L43" s="86" t="s">
        <v>28</v>
      </c>
      <c r="M43" s="87">
        <f>K44</f>
        <v>20</v>
      </c>
      <c r="N43" s="93" t="s">
        <v>34</v>
      </c>
      <c r="O43" s="93" t="s">
        <v>35</v>
      </c>
    </row>
    <row r="44" spans="1:15" ht="18" customHeight="1" thickTop="1" thickBot="1" x14ac:dyDescent="0.3">
      <c r="A44" s="195"/>
      <c r="B44" s="144"/>
      <c r="C44" s="90">
        <f>IF(B42="",C40,IF(C42&lt;=0,C40,C40+B44))</f>
        <v>2</v>
      </c>
      <c r="D44" s="100">
        <f>D40</f>
        <v>2.5</v>
      </c>
      <c r="E44" s="13" t="s">
        <v>7</v>
      </c>
      <c r="F44" s="103">
        <f xml:space="preserve"> IF($A$3="하",0,IF(MROUND(J41/5,1)&lt;=G41,IF(MROUND(J41/5,1)&gt;=E41,MROUND(J41/5,1),E41),G41))</f>
        <v>0</v>
      </c>
      <c r="G44" s="104">
        <f>IF(MROUND((J41-F44)/4,1)&lt;=G41,IF(MROUND((J41-F44)/4,1)&gt;=E41,MROUND((J41-F44)/4,1),E41),G41)</f>
        <v>5</v>
      </c>
      <c r="H44" s="104">
        <f>IF(MROUND((J41-F44-G44)/3,1)&lt;=G41,IF(MROUND((J41-F44-G44)/3,1)&gt;=E41,MROUND((J41-F44-G44)/3,1),E41),G41)</f>
        <v>5</v>
      </c>
      <c r="I44" s="104">
        <f>IF(MROUND((J41-F44-G44-H44)/2,1)&lt;=G41,IF((J41-F44-G44-H44)/2&gt;=E41,MROUND((J41-F44-G44-H44)/2,1),J41-F44-G44-H44),G41)</f>
        <v>5</v>
      </c>
      <c r="J44" s="105">
        <f>IF((J41-(F44+G44+H44+I44))&gt;0,(J41-(F44+G44+H44+I44)),0)</f>
        <v>5</v>
      </c>
      <c r="K44" s="101">
        <f>SUM(F44:J44)</f>
        <v>20</v>
      </c>
      <c r="L44" s="88" t="s">
        <v>30</v>
      </c>
      <c r="M44" s="89">
        <f>M43+M40</f>
        <v>202</v>
      </c>
      <c r="N44" s="90">
        <f>ROUNDDOWN((M40-C40+C44+K44)*$N$4,0)</f>
        <v>2</v>
      </c>
      <c r="O44" s="90">
        <f>ROUNDDOWN((M40+K44-+C44)*$O$4,0)</f>
        <v>14</v>
      </c>
    </row>
    <row r="45" spans="1:15" ht="18" customHeight="1" thickTop="1" thickBot="1" x14ac:dyDescent="0.3">
      <c r="A45" s="193">
        <f t="shared" ref="A45" ca="1" si="14">IF($M48&lt;IF($A$3="하",$S$8,$S$6),0,IF($M48&gt;IF($A$3="하",$S$7,$S$5),"",MAX(A41+1)))</f>
        <v>0</v>
      </c>
      <c r="B45" s="141" t="str">
        <f>IF(O46-C44&lt;$A$1," ","MAX to "&amp;MROUND(IF(IF(O46-C44&gt;$A$1,$A$1,O46-C44)&lt;2,I41,I41*(37-IF(O46-C44&gt;$A$1,$A$1,O46-C44))/36),D48))</f>
        <v>MAX to 155</v>
      </c>
      <c r="C45" s="90" t="str">
        <f>IF(O46&lt;=C44,"X",IF(N46&gt;C44,"must ME","can ME"))</f>
        <v>can ME</v>
      </c>
      <c r="D45" s="75" t="s">
        <v>31</v>
      </c>
      <c r="E45" s="23">
        <v>4</v>
      </c>
      <c r="F45" s="2">
        <v>1</v>
      </c>
      <c r="G45" s="23">
        <f>IF(F46&gt;=90%,2,IF(F46&gt;=80%,4,IF(F46&gt;=70%,6,6)))</f>
        <v>6</v>
      </c>
      <c r="H45" s="3" t="s">
        <v>2</v>
      </c>
      <c r="I45" s="91">
        <f>K46/(100%-IF($A$3="하",$P$8,$P$6)*K48)/K48</f>
        <v>173.13019390581718</v>
      </c>
      <c r="J45" s="92">
        <f>IF("하"=$A$3,$Q$7,$Q$5)</f>
        <v>20</v>
      </c>
      <c r="K45" s="107" t="s">
        <v>33</v>
      </c>
      <c r="L45" s="75" t="s">
        <v>25</v>
      </c>
      <c r="M45" s="76">
        <f>K46</f>
        <v>2500</v>
      </c>
      <c r="N45" s="93" t="s">
        <v>34</v>
      </c>
      <c r="O45" s="93" t="s">
        <v>35</v>
      </c>
    </row>
    <row r="46" spans="1:15" ht="18" customHeight="1" thickTop="1" thickBot="1" x14ac:dyDescent="0.3">
      <c r="A46" s="194"/>
      <c r="B46" s="143"/>
      <c r="C46" s="142" t="str">
        <f>IF(B48="","",IF(B46*36/(37-B48)=0,"",B46*36/(37-B48)))</f>
        <v/>
      </c>
      <c r="D46" s="109" t="str">
        <f>D42</f>
        <v>HBSQ</v>
      </c>
      <c r="E46" s="18">
        <f>IF(C46="",I41,C46)</f>
        <v>173.13019390581718</v>
      </c>
      <c r="F46" s="94">
        <f>100%-J45*IF($A$3="하",$P$8,$P$6)</f>
        <v>0.72199999999999998</v>
      </c>
      <c r="G46" s="7">
        <f t="shared" ref="G46:I47" si="15">F46</f>
        <v>0.72199999999999998</v>
      </c>
      <c r="H46" s="7">
        <f t="shared" si="15"/>
        <v>0.72199999999999998</v>
      </c>
      <c r="I46" s="7">
        <f t="shared" si="15"/>
        <v>0.72199999999999998</v>
      </c>
      <c r="J46" s="8">
        <f>I46</f>
        <v>0.72199999999999998</v>
      </c>
      <c r="K46" s="95">
        <f>F47*F48+G47*G48+H47*H48+I47*I48+J47*J48</f>
        <v>2500</v>
      </c>
      <c r="L46" s="86" t="s">
        <v>27</v>
      </c>
      <c r="M46" s="81">
        <f>M45+M42</f>
        <v>27240</v>
      </c>
      <c r="N46" s="90">
        <f>ROUNDDOWN(M44*$N$4,0)</f>
        <v>2</v>
      </c>
      <c r="O46" s="90">
        <f>ROUNDDOWN(M44*$O$4,0)</f>
        <v>14</v>
      </c>
    </row>
    <row r="47" spans="1:15" ht="18" customHeight="1" thickTop="1" thickBot="1" x14ac:dyDescent="0.3">
      <c r="A47" s="194"/>
      <c r="B47" s="141" t="str">
        <f>IF(O46-C44&lt;$A$1," ","1~ "&amp;IF(O46-C44&gt;$A$1,$A$1,O46-C44)&amp;" rep")</f>
        <v>1~ 5 rep</v>
      </c>
      <c r="C47" s="97" t="s">
        <v>37</v>
      </c>
      <c r="D47" s="98" t="s">
        <v>5</v>
      </c>
      <c r="E47" s="5" t="s">
        <v>3</v>
      </c>
      <c r="F47" s="18">
        <f>MROUND(F46*E46,D48)</f>
        <v>125</v>
      </c>
      <c r="G47" s="18">
        <f t="shared" si="15"/>
        <v>125</v>
      </c>
      <c r="H47" s="18">
        <f t="shared" si="15"/>
        <v>125</v>
      </c>
      <c r="I47" s="18">
        <f t="shared" si="15"/>
        <v>125</v>
      </c>
      <c r="J47" s="19">
        <f>I47</f>
        <v>125</v>
      </c>
      <c r="K47" s="74" t="s">
        <v>10</v>
      </c>
      <c r="L47" s="86" t="s">
        <v>28</v>
      </c>
      <c r="M47" s="87">
        <f>K48</f>
        <v>20</v>
      </c>
      <c r="N47" s="93" t="s">
        <v>34</v>
      </c>
      <c r="O47" s="93" t="s">
        <v>35</v>
      </c>
    </row>
    <row r="48" spans="1:15" ht="18" customHeight="1" thickTop="1" thickBot="1" x14ac:dyDescent="0.3">
      <c r="A48" s="195"/>
      <c r="B48" s="144"/>
      <c r="C48" s="90">
        <f>IF(B46="",C44,IF(C46&lt;=0,C44,C44+B48))</f>
        <v>2</v>
      </c>
      <c r="D48" s="100">
        <f>D44</f>
        <v>2.5</v>
      </c>
      <c r="E48" s="13" t="s">
        <v>7</v>
      </c>
      <c r="F48" s="103">
        <f xml:space="preserve"> IF($A$3="하",0,IF(MROUND(J45/5,1)&lt;=G45,IF(MROUND(J45/5,1)&gt;=E45,MROUND(J45/5,1),E45),G45))</f>
        <v>0</v>
      </c>
      <c r="G48" s="104">
        <f>IF(MROUND((J45-F48)/4,1)&lt;=G45,IF(MROUND((J45-F48)/4,1)&gt;=E45,MROUND((J45-F48)/4,1),E45),G45)</f>
        <v>5</v>
      </c>
      <c r="H48" s="104">
        <f>IF(MROUND((J45-F48-G48)/3,1)&lt;=G45,IF(MROUND((J45-F48-G48)/3,1)&gt;=E45,MROUND((J45-F48-G48)/3,1),E45),G45)</f>
        <v>5</v>
      </c>
      <c r="I48" s="104">
        <f>IF(MROUND((J45-F48-G48-H48)/2,1)&lt;=G45,IF((J45-F48-G48-H48)/2&gt;=E45,MROUND((J45-F48-G48-H48)/2,1),J45-F48-G48-H48),G45)</f>
        <v>5</v>
      </c>
      <c r="J48" s="105">
        <f>IF((J45-(F48+G48+H48+I48))&gt;0,(J45-(F48+G48+H48+I48)),0)</f>
        <v>5</v>
      </c>
      <c r="K48" s="101">
        <f>SUM(F48:J48)</f>
        <v>20</v>
      </c>
      <c r="L48" s="88" t="s">
        <v>30</v>
      </c>
      <c r="M48" s="89">
        <f>M47+M44</f>
        <v>222</v>
      </c>
      <c r="N48" s="90">
        <f>ROUNDDOWN((M44-C44+C48+K48)*$N$4,0)</f>
        <v>2</v>
      </c>
      <c r="O48" s="90">
        <f>ROUNDDOWN((M44+K48-+C48)*$O$4,0)</f>
        <v>15</v>
      </c>
    </row>
    <row r="49" spans="1:15" ht="18" customHeight="1" thickTop="1" thickBot="1" x14ac:dyDescent="0.3">
      <c r="A49" s="193">
        <f ca="1">IF($M52&lt;IF($A$3="하",$S$8,$S$6),0,IF($M52&gt;IF($A$3="하",$S$7,$S$5),"",MAX(A45+1)))</f>
        <v>0</v>
      </c>
      <c r="B49" s="141" t="str">
        <f>IF(O50-C48&lt;$A$1," ","MAX to "&amp;MROUND(IF(IF(O50-C48&gt;$A$1,$A$1,O50-C48)&lt;2,I45,I45*(37-IF(O50-C48&gt;$A$1,$A$1,O50-C48))/36),D52))</f>
        <v>MAX to 155</v>
      </c>
      <c r="C49" s="90" t="str">
        <f>IF(O50&lt;=C48,"X",IF(N50&gt;C48,"must ME","can ME"))</f>
        <v>can ME</v>
      </c>
      <c r="D49" s="75" t="s">
        <v>31</v>
      </c>
      <c r="E49" s="23">
        <v>4</v>
      </c>
      <c r="F49" s="2">
        <v>1</v>
      </c>
      <c r="G49" s="23">
        <f>IF(F50&gt;=90%,2,IF(F50&gt;=80%,4,IF(F50&gt;=70%,6,6)))</f>
        <v>6</v>
      </c>
      <c r="H49" s="3" t="s">
        <v>2</v>
      </c>
      <c r="I49" s="91">
        <f>K50/(100%-IF($A$3="하",$P$8,$P$6)*K52)/K52</f>
        <v>173.13019390581718</v>
      </c>
      <c r="J49" s="92">
        <f>IF("하"=$A$3,$Q$7,$Q$5)</f>
        <v>20</v>
      </c>
      <c r="K49" s="107" t="s">
        <v>33</v>
      </c>
      <c r="L49" s="75" t="s">
        <v>25</v>
      </c>
      <c r="M49" s="76">
        <f>K50</f>
        <v>2500</v>
      </c>
      <c r="N49" s="93" t="s">
        <v>34</v>
      </c>
      <c r="O49" s="93" t="s">
        <v>35</v>
      </c>
    </row>
    <row r="50" spans="1:15" ht="18" customHeight="1" thickTop="1" thickBot="1" x14ac:dyDescent="0.3">
      <c r="A50" s="194"/>
      <c r="B50" s="143"/>
      <c r="C50" s="142" t="str">
        <f>IF(B52="","",IF(B50*36/(37-B52)=0,"",B50*36/(37-B52)))</f>
        <v/>
      </c>
      <c r="D50" s="109" t="str">
        <f>D46</f>
        <v>HBSQ</v>
      </c>
      <c r="E50" s="18">
        <f>IF(C50="",I45,C50)</f>
        <v>173.13019390581718</v>
      </c>
      <c r="F50" s="94">
        <f>100%-J49*IF($A$3="하",$P$8,$P$6)</f>
        <v>0.72199999999999998</v>
      </c>
      <c r="G50" s="7">
        <f t="shared" ref="G50:I51" si="16">F50</f>
        <v>0.72199999999999998</v>
      </c>
      <c r="H50" s="7">
        <f t="shared" si="16"/>
        <v>0.72199999999999998</v>
      </c>
      <c r="I50" s="7">
        <f t="shared" si="16"/>
        <v>0.72199999999999998</v>
      </c>
      <c r="J50" s="8">
        <f>I50</f>
        <v>0.72199999999999998</v>
      </c>
      <c r="K50" s="95">
        <f>F51*F52+G51*G52+H51*H52+I51*I52+J51*J52</f>
        <v>2500</v>
      </c>
      <c r="L50" s="86" t="s">
        <v>27</v>
      </c>
      <c r="M50" s="81">
        <f>M49+M46</f>
        <v>29740</v>
      </c>
      <c r="N50" s="90">
        <f>ROUNDDOWN(M48*$N$4,0)</f>
        <v>2</v>
      </c>
      <c r="O50" s="90">
        <f>ROUNDDOWN(M48*$O$4,0)</f>
        <v>15</v>
      </c>
    </row>
    <row r="51" spans="1:15" ht="18" customHeight="1" thickTop="1" thickBot="1" x14ac:dyDescent="0.3">
      <c r="A51" s="194"/>
      <c r="B51" s="141" t="str">
        <f>IF(O50-C48&lt;$A$1," ","1~ "&amp;IF(O50-C48&gt;$A$1,$A$1,O50-C48)&amp;" rep")</f>
        <v>1~ 5 rep</v>
      </c>
      <c r="C51" s="97" t="s">
        <v>37</v>
      </c>
      <c r="D51" s="98" t="s">
        <v>5</v>
      </c>
      <c r="E51" s="5" t="s">
        <v>3</v>
      </c>
      <c r="F51" s="18">
        <f>MROUND(F50*E50,D52)</f>
        <v>125</v>
      </c>
      <c r="G51" s="18">
        <f t="shared" si="16"/>
        <v>125</v>
      </c>
      <c r="H51" s="18">
        <f t="shared" si="16"/>
        <v>125</v>
      </c>
      <c r="I51" s="18">
        <f t="shared" si="16"/>
        <v>125</v>
      </c>
      <c r="J51" s="19">
        <f>I51</f>
        <v>125</v>
      </c>
      <c r="K51" s="74" t="s">
        <v>10</v>
      </c>
      <c r="L51" s="86" t="s">
        <v>28</v>
      </c>
      <c r="M51" s="87">
        <f>K52</f>
        <v>20</v>
      </c>
      <c r="N51" s="93" t="s">
        <v>34</v>
      </c>
      <c r="O51" s="93" t="s">
        <v>35</v>
      </c>
    </row>
    <row r="52" spans="1:15" ht="18" customHeight="1" thickTop="1" thickBot="1" x14ac:dyDescent="0.3">
      <c r="A52" s="195"/>
      <c r="B52" s="144"/>
      <c r="C52" s="90">
        <f>IF(B50="",C48,IF(C50&lt;=0,C48,C48+B52))</f>
        <v>2</v>
      </c>
      <c r="D52" s="100">
        <f>D48</f>
        <v>2.5</v>
      </c>
      <c r="E52" s="13" t="s">
        <v>7</v>
      </c>
      <c r="F52" s="103">
        <f xml:space="preserve"> IF($A$3="하",0,IF(MROUND(J49/5,1)&lt;=G49,IF(MROUND(J49/5,1)&gt;=E49,MROUND(J49/5,1),E49),G49))</f>
        <v>0</v>
      </c>
      <c r="G52" s="104">
        <f>IF(MROUND((J49-F52)/4,1)&lt;=G49,IF(MROUND((J49-F52)/4,1)&gt;=E49,MROUND((J49-F52)/4,1),E49),G49)</f>
        <v>5</v>
      </c>
      <c r="H52" s="104">
        <f>IF(MROUND((J49-F52-G52)/3,1)&lt;=G49,IF(MROUND((J49-F52-G52)/3,1)&gt;=E49,MROUND((J49-F52-G52)/3,1),E49),G49)</f>
        <v>5</v>
      </c>
      <c r="I52" s="104">
        <f>IF(MROUND((J49-F52-G52-H52)/2,1)&lt;=G49,IF((J49-F52-G52-H52)/2&gt;=E49,MROUND((J49-F52-G52-H52)/2,1),J49-F52-G52-H52),G49)</f>
        <v>5</v>
      </c>
      <c r="J52" s="105">
        <f>IF((J49-(F52+G52+H52+I52))&gt;0,(J49-(F52+G52+H52+I52)),0)</f>
        <v>5</v>
      </c>
      <c r="K52" s="101">
        <f>SUM(F52:J52)</f>
        <v>20</v>
      </c>
      <c r="L52" s="88" t="s">
        <v>30</v>
      </c>
      <c r="M52" s="89">
        <f>M51+M48</f>
        <v>242</v>
      </c>
      <c r="N52" s="90">
        <f>ROUNDDOWN((M48-C48+C52+K52)*$N$4,0)</f>
        <v>2</v>
      </c>
      <c r="O52" s="90">
        <f>ROUNDDOWN((M48+K52-+C52)*$O$4,0)</f>
        <v>16</v>
      </c>
    </row>
    <row r="53" spans="1:15" ht="18" customHeight="1" thickTop="1" thickBot="1" x14ac:dyDescent="0.3">
      <c r="A53" s="193">
        <f t="shared" ref="A53" ca="1" si="17">IF($M56&lt;IF($A$3="하",$S$8,$S$6),0,IF($M56&gt;IF($A$3="하",$S$7,$S$5),"",MAX(A49+1)))</f>
        <v>0</v>
      </c>
      <c r="B53" s="141" t="str">
        <f>IF(O54-C52&lt;$A$1," ","MAX to "&amp;MROUND(IF(IF(O54-C52&gt;$A$1,$A$1,O54-C52)&lt;2,I49,I49*(37-IF(O54-C52&gt;$A$1,$A$1,O54-C52))/36),D56))</f>
        <v>MAX to 155</v>
      </c>
      <c r="C53" s="90" t="str">
        <f>IF(O54&lt;=C52,"X",IF(N54&gt;C52,"must ME","can ME"))</f>
        <v>can ME</v>
      </c>
      <c r="D53" s="75" t="s">
        <v>31</v>
      </c>
      <c r="E53" s="23">
        <v>4</v>
      </c>
      <c r="F53" s="2">
        <v>1</v>
      </c>
      <c r="G53" s="23">
        <f>IF(F54&gt;=90%,2,IF(F54&gt;=80%,4,IF(F54&gt;=70%,6,6)))</f>
        <v>6</v>
      </c>
      <c r="H53" s="3" t="s">
        <v>2</v>
      </c>
      <c r="I53" s="91">
        <f>K54/(100%-IF($A$3="하",$P$8,$P$6)*K56)/K56</f>
        <v>173.13019390581718</v>
      </c>
      <c r="J53" s="92">
        <f>IF("하"=$A$3,$Q$7,$Q$5)</f>
        <v>20</v>
      </c>
      <c r="K53" s="107" t="s">
        <v>33</v>
      </c>
      <c r="L53" s="75" t="s">
        <v>25</v>
      </c>
      <c r="M53" s="76">
        <f>K54</f>
        <v>2500</v>
      </c>
      <c r="N53" s="93" t="s">
        <v>34</v>
      </c>
      <c r="O53" s="93" t="s">
        <v>35</v>
      </c>
    </row>
    <row r="54" spans="1:15" ht="18" customHeight="1" thickTop="1" thickBot="1" x14ac:dyDescent="0.3">
      <c r="A54" s="194"/>
      <c r="B54" s="143"/>
      <c r="C54" s="142" t="str">
        <f>IF(B56="","",IF(B54*36/(37-B56)=0,"",B54*36/(37-B56)))</f>
        <v/>
      </c>
      <c r="D54" s="109" t="str">
        <f>D50</f>
        <v>HBSQ</v>
      </c>
      <c r="E54" s="18">
        <f>IF(C54="",I49,C54)</f>
        <v>173.13019390581718</v>
      </c>
      <c r="F54" s="94">
        <f>100%-J53*IF($A$3="하",$P$8,$P$6)</f>
        <v>0.72199999999999998</v>
      </c>
      <c r="G54" s="7">
        <f t="shared" ref="G54:I55" si="18">F54</f>
        <v>0.72199999999999998</v>
      </c>
      <c r="H54" s="7">
        <f t="shared" si="18"/>
        <v>0.72199999999999998</v>
      </c>
      <c r="I54" s="7">
        <f t="shared" si="18"/>
        <v>0.72199999999999998</v>
      </c>
      <c r="J54" s="8">
        <f>I54</f>
        <v>0.72199999999999998</v>
      </c>
      <c r="K54" s="95">
        <f>F55*F56+G55*G56+H55*H56+I55*I56+J55*J56</f>
        <v>2500</v>
      </c>
      <c r="L54" s="86" t="s">
        <v>27</v>
      </c>
      <c r="M54" s="81">
        <f>M53+M50</f>
        <v>32240</v>
      </c>
      <c r="N54" s="90">
        <f>ROUNDDOWN(M52*$N$4,0)</f>
        <v>2</v>
      </c>
      <c r="O54" s="90">
        <f>ROUNDDOWN(M52*$O$4,0)</f>
        <v>16</v>
      </c>
    </row>
    <row r="55" spans="1:15" ht="18" customHeight="1" thickTop="1" thickBot="1" x14ac:dyDescent="0.3">
      <c r="A55" s="194"/>
      <c r="B55" s="141" t="str">
        <f>IF(O54-C52&lt;$A$1," ","1~ "&amp;IF(O54-C52&gt;$A$1,$A$1,O54-C52)&amp;" rep")</f>
        <v>1~ 5 rep</v>
      </c>
      <c r="C55" s="97" t="s">
        <v>37</v>
      </c>
      <c r="D55" s="98" t="s">
        <v>5</v>
      </c>
      <c r="E55" s="5" t="s">
        <v>3</v>
      </c>
      <c r="F55" s="18">
        <f>MROUND(F54*E54,D56)</f>
        <v>125</v>
      </c>
      <c r="G55" s="18">
        <f t="shared" si="18"/>
        <v>125</v>
      </c>
      <c r="H55" s="18">
        <f t="shared" si="18"/>
        <v>125</v>
      </c>
      <c r="I55" s="18">
        <f t="shared" si="18"/>
        <v>125</v>
      </c>
      <c r="J55" s="19">
        <f>I55</f>
        <v>125</v>
      </c>
      <c r="K55" s="74" t="s">
        <v>10</v>
      </c>
      <c r="L55" s="86" t="s">
        <v>28</v>
      </c>
      <c r="M55" s="87">
        <f>K56</f>
        <v>20</v>
      </c>
      <c r="N55" s="93" t="s">
        <v>34</v>
      </c>
      <c r="O55" s="93" t="s">
        <v>35</v>
      </c>
    </row>
    <row r="56" spans="1:15" ht="18" customHeight="1" thickTop="1" thickBot="1" x14ac:dyDescent="0.3">
      <c r="A56" s="195"/>
      <c r="B56" s="144"/>
      <c r="C56" s="90">
        <f>IF(B54="",C52,IF(C54&lt;=0,C52,C52+B56))</f>
        <v>2</v>
      </c>
      <c r="D56" s="100">
        <f>D52</f>
        <v>2.5</v>
      </c>
      <c r="E56" s="13" t="s">
        <v>7</v>
      </c>
      <c r="F56" s="103">
        <f xml:space="preserve"> IF($A$3="하",0,IF(MROUND(J53/5,1)&lt;=G53,IF(MROUND(J53/5,1)&gt;=E53,MROUND(J53/5,1),E53),G53))</f>
        <v>0</v>
      </c>
      <c r="G56" s="104">
        <f>IF(MROUND((J53-F56)/4,1)&lt;=G53,IF(MROUND((J53-F56)/4,1)&gt;=E53,MROUND((J53-F56)/4,1),E53),G53)</f>
        <v>5</v>
      </c>
      <c r="H56" s="104">
        <f>IF(MROUND((J53-F56-G56)/3,1)&lt;=G53,IF(MROUND((J53-F56-G56)/3,1)&gt;=E53,MROUND((J53-F56-G56)/3,1),E53),G53)</f>
        <v>5</v>
      </c>
      <c r="I56" s="104">
        <f>IF(MROUND((J53-F56-G56-H56)/2,1)&lt;=G53,IF((J53-F56-G56-H56)/2&gt;=E53,MROUND((J53-F56-G56-H56)/2,1),J53-F56-G56-H56),G53)</f>
        <v>5</v>
      </c>
      <c r="J56" s="105">
        <f>IF((J53-(F56+G56+H56+I56))&gt;0,(J53-(F56+G56+H56+I56)),0)</f>
        <v>5</v>
      </c>
      <c r="K56" s="101">
        <f>SUM(F56:J56)</f>
        <v>20</v>
      </c>
      <c r="L56" s="88" t="s">
        <v>30</v>
      </c>
      <c r="M56" s="89">
        <f>M55+M52</f>
        <v>262</v>
      </c>
      <c r="N56" s="90">
        <f>ROUNDDOWN((M52-C52+C56+K56)*$N$4,0)</f>
        <v>2</v>
      </c>
      <c r="O56" s="90">
        <f>ROUNDDOWN((M52+K56-+C56)*$O$4,0)</f>
        <v>18</v>
      </c>
    </row>
    <row r="57" spans="1:15" ht="18" customHeight="1" thickTop="1" thickBot="1" x14ac:dyDescent="0.3">
      <c r="A57" s="193">
        <f t="shared" ref="A57" ca="1" si="19">IF($M60&lt;IF($A$3="하",$S$8,$S$6),0,IF($M60&gt;IF($A$3="하",$S$7,$S$5),"",MAX(A53+1)))</f>
        <v>0</v>
      </c>
      <c r="B57" s="141" t="str">
        <f>IF(O58-C56&lt;$A$1," ","MAX to "&amp;MROUND(IF(IF(O58-C56&gt;$A$1,$A$1,O58-C56)&lt;2,I53,I53*(37-IF(O58-C56&gt;$A$1,$A$1,O58-C56))/36),D60))</f>
        <v>MAX to 155</v>
      </c>
      <c r="C57" s="90" t="str">
        <f>IF(O58&lt;=C56,"X",IF(N58&gt;C56,"must ME","can ME"))</f>
        <v>can ME</v>
      </c>
      <c r="D57" s="75" t="s">
        <v>31</v>
      </c>
      <c r="E57" s="23">
        <v>4</v>
      </c>
      <c r="F57" s="2">
        <v>1</v>
      </c>
      <c r="G57" s="23">
        <f>IF(F58&gt;=90%,2,IF(F58&gt;=80%,4,IF(F58&gt;=70%,6,6)))</f>
        <v>6</v>
      </c>
      <c r="H57" s="3" t="s">
        <v>2</v>
      </c>
      <c r="I57" s="91">
        <f>K58/(100%-IF($A$3="하",$P$8,$P$6)*K60)/K60</f>
        <v>173.13019390581718</v>
      </c>
      <c r="J57" s="92">
        <f>IF("하"=$A$3,$Q$7,$Q$5)</f>
        <v>20</v>
      </c>
      <c r="K57" s="107" t="s">
        <v>33</v>
      </c>
      <c r="L57" s="75" t="s">
        <v>25</v>
      </c>
      <c r="M57" s="76">
        <f>K58</f>
        <v>2500</v>
      </c>
      <c r="N57" s="93" t="s">
        <v>34</v>
      </c>
      <c r="O57" s="93" t="s">
        <v>35</v>
      </c>
    </row>
    <row r="58" spans="1:15" ht="18" customHeight="1" thickTop="1" thickBot="1" x14ac:dyDescent="0.3">
      <c r="A58" s="194"/>
      <c r="B58" s="143"/>
      <c r="C58" s="142" t="str">
        <f>IF(B60="","",IF(B58*36/(37-B60)=0,"",B58*36/(37-B60)))</f>
        <v/>
      </c>
      <c r="D58" s="109" t="str">
        <f>D54</f>
        <v>HBSQ</v>
      </c>
      <c r="E58" s="18">
        <f>IF(C58="",I53,C58)</f>
        <v>173.13019390581718</v>
      </c>
      <c r="F58" s="94">
        <f>100%-J57*IF($A$3="하",$P$8,$P$6)</f>
        <v>0.72199999999999998</v>
      </c>
      <c r="G58" s="7">
        <f t="shared" ref="G58:I59" si="20">F58</f>
        <v>0.72199999999999998</v>
      </c>
      <c r="H58" s="7">
        <f t="shared" si="20"/>
        <v>0.72199999999999998</v>
      </c>
      <c r="I58" s="7">
        <f t="shared" si="20"/>
        <v>0.72199999999999998</v>
      </c>
      <c r="J58" s="8">
        <f>I58</f>
        <v>0.72199999999999998</v>
      </c>
      <c r="K58" s="95">
        <f>F59*F60+G59*G60+H59*H60+I59*I60+J59*J60</f>
        <v>2500</v>
      </c>
      <c r="L58" s="86" t="s">
        <v>27</v>
      </c>
      <c r="M58" s="81">
        <f>M57+M54</f>
        <v>34740</v>
      </c>
      <c r="N58" s="90">
        <f>ROUNDDOWN(M56*$N$4,0)</f>
        <v>2</v>
      </c>
      <c r="O58" s="90">
        <f>ROUNDDOWN(M56*$O$4,0)</f>
        <v>18</v>
      </c>
    </row>
    <row r="59" spans="1:15" ht="18" customHeight="1" thickTop="1" thickBot="1" x14ac:dyDescent="0.3">
      <c r="A59" s="194"/>
      <c r="B59" s="141" t="str">
        <f>IF(O58-C56&lt;$A$1," ","1~ "&amp;IF(O58-C56&gt;$A$1,$A$1,O58-C56)&amp;" rep")</f>
        <v>1~ 5 rep</v>
      </c>
      <c r="C59" s="97" t="s">
        <v>37</v>
      </c>
      <c r="D59" s="98" t="s">
        <v>5</v>
      </c>
      <c r="E59" s="5" t="s">
        <v>3</v>
      </c>
      <c r="F59" s="18">
        <f>MROUND(F58*E58,D60)</f>
        <v>125</v>
      </c>
      <c r="G59" s="18">
        <f t="shared" si="20"/>
        <v>125</v>
      </c>
      <c r="H59" s="18">
        <f t="shared" si="20"/>
        <v>125</v>
      </c>
      <c r="I59" s="18">
        <f t="shared" si="20"/>
        <v>125</v>
      </c>
      <c r="J59" s="19">
        <f>I59</f>
        <v>125</v>
      </c>
      <c r="K59" s="74" t="s">
        <v>10</v>
      </c>
      <c r="L59" s="86" t="s">
        <v>28</v>
      </c>
      <c r="M59" s="87">
        <f>K60</f>
        <v>20</v>
      </c>
      <c r="N59" s="93" t="s">
        <v>34</v>
      </c>
      <c r="O59" s="93" t="s">
        <v>35</v>
      </c>
    </row>
    <row r="60" spans="1:15" ht="18" customHeight="1" thickTop="1" thickBot="1" x14ac:dyDescent="0.3">
      <c r="A60" s="195"/>
      <c r="B60" s="144"/>
      <c r="C60" s="90">
        <f>IF(B58="",C56,IF(C58&lt;=0,C56,C56+B60))</f>
        <v>2</v>
      </c>
      <c r="D60" s="100">
        <f>D56</f>
        <v>2.5</v>
      </c>
      <c r="E60" s="13" t="s">
        <v>7</v>
      </c>
      <c r="F60" s="103">
        <f xml:space="preserve"> IF($A$3="하",0,IF(MROUND(J57/5,1)&lt;=G57,IF(MROUND(J57/5,1)&gt;=E57,MROUND(J57/5,1),E57),G57))</f>
        <v>0</v>
      </c>
      <c r="G60" s="104">
        <f>IF(MROUND((J57-F60)/4,1)&lt;=G57,IF(MROUND((J57-F60)/4,1)&gt;=E57,MROUND((J57-F60)/4,1),E57),G57)</f>
        <v>5</v>
      </c>
      <c r="H60" s="104">
        <f>IF(MROUND((J57-F60-G60)/3,1)&lt;=G57,IF(MROUND((J57-F60-G60)/3,1)&gt;=E57,MROUND((J57-F60-G60)/3,1),E57),G57)</f>
        <v>5</v>
      </c>
      <c r="I60" s="104">
        <f>IF(MROUND((J57-F60-G60-H60)/2,1)&lt;=G57,IF((J57-F60-G60-H60)/2&gt;=E57,MROUND((J57-F60-G60-H60)/2,1),J57-F60-G60-H60),G57)</f>
        <v>5</v>
      </c>
      <c r="J60" s="105">
        <f>IF((J57-(F60+G60+H60+I60))&gt;0,(J57-(F60+G60+H60+I60)),0)</f>
        <v>5</v>
      </c>
      <c r="K60" s="101">
        <f>SUM(F60:J60)</f>
        <v>20</v>
      </c>
      <c r="L60" s="88" t="s">
        <v>30</v>
      </c>
      <c r="M60" s="89">
        <f>M59+M56</f>
        <v>282</v>
      </c>
      <c r="N60" s="90">
        <f>ROUNDDOWN((M56-C56+C60+K60)*$N$4,0)</f>
        <v>2</v>
      </c>
      <c r="O60" s="90">
        <f>ROUNDDOWN((M56+K60-+C60)*$O$4,0)</f>
        <v>19</v>
      </c>
    </row>
    <row r="61" spans="1:15" ht="18" customHeight="1" thickTop="1" thickBot="1" x14ac:dyDescent="0.3">
      <c r="A61" s="193">
        <f t="shared" ref="A61" ca="1" si="21">IF($M64&lt;IF($A$3="하",$S$8,$S$6),0,IF($M64&gt;IF($A$3="하",$S$7,$S$5),"",MAX(A57+1)))</f>
        <v>0</v>
      </c>
      <c r="B61" s="141" t="str">
        <f>IF(O62-C60&lt;$A$1," ","MAX to "&amp;MROUND(IF(IF(O62-C60&gt;$A$1,$A$1,O62-C60)&lt;2,I57,I57*(37-IF(O62-C60&gt;$A$1,$A$1,O62-C60))/36),D64))</f>
        <v>MAX to 155</v>
      </c>
      <c r="C61" s="90" t="str">
        <f>IF(O62&lt;=C60,"X",IF(N62&gt;C60,"must ME","can ME"))</f>
        <v>can ME</v>
      </c>
      <c r="D61" s="75" t="s">
        <v>31</v>
      </c>
      <c r="E61" s="23">
        <v>4</v>
      </c>
      <c r="F61" s="2">
        <v>1</v>
      </c>
      <c r="G61" s="23">
        <f>IF(F62&gt;=90%,2,IF(F62&gt;=80%,4,IF(F62&gt;=70%,6,6)))</f>
        <v>6</v>
      </c>
      <c r="H61" s="3" t="s">
        <v>2</v>
      </c>
      <c r="I61" s="91">
        <f>K62/(100%-IF($A$3="하",$P$8,$P$6)*K64)/K64</f>
        <v>173.13019390581718</v>
      </c>
      <c r="J61" s="92">
        <f>IF("하"=$A$3,$Q$7,$Q$5)</f>
        <v>20</v>
      </c>
      <c r="K61" s="107" t="s">
        <v>33</v>
      </c>
      <c r="L61" s="75" t="s">
        <v>25</v>
      </c>
      <c r="M61" s="76">
        <f>K62</f>
        <v>2500</v>
      </c>
      <c r="N61" s="93" t="s">
        <v>34</v>
      </c>
      <c r="O61" s="93" t="s">
        <v>35</v>
      </c>
    </row>
    <row r="62" spans="1:15" ht="18" customHeight="1" thickTop="1" thickBot="1" x14ac:dyDescent="0.3">
      <c r="A62" s="194"/>
      <c r="B62" s="143"/>
      <c r="C62" s="142" t="str">
        <f>IF(B64="","",IF(B62*36/(37-B64)=0,"",B62*36/(37-B64)))</f>
        <v/>
      </c>
      <c r="D62" s="109" t="str">
        <f>D58</f>
        <v>HBSQ</v>
      </c>
      <c r="E62" s="18">
        <f>IF(C62="",I57,C62)</f>
        <v>173.13019390581718</v>
      </c>
      <c r="F62" s="94">
        <f>100%-J61*IF($A$3="하",$P$8,$P$6)</f>
        <v>0.72199999999999998</v>
      </c>
      <c r="G62" s="7">
        <f t="shared" ref="G62:I63" si="22">F62</f>
        <v>0.72199999999999998</v>
      </c>
      <c r="H62" s="7">
        <f t="shared" si="22"/>
        <v>0.72199999999999998</v>
      </c>
      <c r="I62" s="7">
        <f t="shared" si="22"/>
        <v>0.72199999999999998</v>
      </c>
      <c r="J62" s="8">
        <f>I62</f>
        <v>0.72199999999999998</v>
      </c>
      <c r="K62" s="95">
        <f>F63*F64+G63*G64+H63*H64+I63*I64+J63*J64</f>
        <v>2500</v>
      </c>
      <c r="L62" s="86" t="s">
        <v>27</v>
      </c>
      <c r="M62" s="81">
        <f>M61+M58</f>
        <v>37240</v>
      </c>
      <c r="N62" s="90">
        <f>ROUNDDOWN(M60*$N$4,0)</f>
        <v>2</v>
      </c>
      <c r="O62" s="90">
        <f>ROUNDDOWN(M60*$O$4,0)</f>
        <v>19</v>
      </c>
    </row>
    <row r="63" spans="1:15" ht="18" customHeight="1" thickTop="1" thickBot="1" x14ac:dyDescent="0.3">
      <c r="A63" s="194"/>
      <c r="B63" s="141" t="str">
        <f>IF(O62-C60&lt;$A$1," ","1~ "&amp;IF(O62-C60&gt;$A$1,$A$1,O62-C60)&amp;" rep")</f>
        <v>1~ 5 rep</v>
      </c>
      <c r="C63" s="97" t="s">
        <v>37</v>
      </c>
      <c r="D63" s="98" t="s">
        <v>5</v>
      </c>
      <c r="E63" s="5" t="s">
        <v>3</v>
      </c>
      <c r="F63" s="18">
        <f>MROUND(F62*E62,D64)</f>
        <v>125</v>
      </c>
      <c r="G63" s="18">
        <f t="shared" si="22"/>
        <v>125</v>
      </c>
      <c r="H63" s="18">
        <f t="shared" si="22"/>
        <v>125</v>
      </c>
      <c r="I63" s="18">
        <f t="shared" si="22"/>
        <v>125</v>
      </c>
      <c r="J63" s="19">
        <f>I63</f>
        <v>125</v>
      </c>
      <c r="K63" s="74" t="s">
        <v>10</v>
      </c>
      <c r="L63" s="86" t="s">
        <v>28</v>
      </c>
      <c r="M63" s="87">
        <f>K64</f>
        <v>20</v>
      </c>
      <c r="N63" s="93" t="s">
        <v>34</v>
      </c>
      <c r="O63" s="93" t="s">
        <v>35</v>
      </c>
    </row>
    <row r="64" spans="1:15" ht="18" customHeight="1" thickTop="1" thickBot="1" x14ac:dyDescent="0.3">
      <c r="A64" s="195"/>
      <c r="B64" s="144"/>
      <c r="C64" s="90">
        <f>IF(B62="",C60,IF(C62&lt;=0,C60,C60+B64))</f>
        <v>2</v>
      </c>
      <c r="D64" s="100">
        <f>D60</f>
        <v>2.5</v>
      </c>
      <c r="E64" s="13" t="s">
        <v>7</v>
      </c>
      <c r="F64" s="103">
        <f xml:space="preserve"> IF($A$3="하",0,IF(MROUND(J61/5,1)&lt;=G61,IF(MROUND(J61/5,1)&gt;=E61,MROUND(J61/5,1),E61),G61))</f>
        <v>0</v>
      </c>
      <c r="G64" s="104">
        <f>IF(MROUND((J61-F64)/4,1)&lt;=G61,IF(MROUND((J61-F64)/4,1)&gt;=E61,MROUND((J61-F64)/4,1),E61),G61)</f>
        <v>5</v>
      </c>
      <c r="H64" s="104">
        <f>IF(MROUND((J61-F64-G64)/3,1)&lt;=G61,IF(MROUND((J61-F64-G64)/3,1)&gt;=E61,MROUND((J61-F64-G64)/3,1),E61),G61)</f>
        <v>5</v>
      </c>
      <c r="I64" s="104">
        <f>IF(MROUND((J61-F64-G64-H64)/2,1)&lt;=G61,IF((J61-F64-G64-H64)/2&gt;=E61,MROUND((J61-F64-G64-H64)/2,1),J61-F64-G64-H64),G61)</f>
        <v>5</v>
      </c>
      <c r="J64" s="105">
        <f>IF((J61-(F64+G64+H64+I64))&gt;0,(J61-(F64+G64+H64+I64)),0)</f>
        <v>5</v>
      </c>
      <c r="K64" s="101">
        <f>SUM(F64:J64)</f>
        <v>20</v>
      </c>
      <c r="L64" s="88" t="s">
        <v>30</v>
      </c>
      <c r="M64" s="89">
        <f>M63+M60</f>
        <v>302</v>
      </c>
      <c r="N64" s="90">
        <f>ROUNDDOWN((M60-C60+C64+K64)*$N$4,0)</f>
        <v>3</v>
      </c>
      <c r="O64" s="90">
        <f>ROUNDDOWN((M60+K64-+C64)*$O$4,0)</f>
        <v>21</v>
      </c>
    </row>
    <row r="65" ht="17.25" thickTop="1" x14ac:dyDescent="0.25"/>
  </sheetData>
  <mergeCells count="18">
    <mergeCell ref="A13:A16"/>
    <mergeCell ref="E1:F1"/>
    <mergeCell ref="G1:H1"/>
    <mergeCell ref="A4:K4"/>
    <mergeCell ref="A5:A8"/>
    <mergeCell ref="A9:A12"/>
    <mergeCell ref="A61:A64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</mergeCells>
  <phoneticPr fontId="1" type="noConversion"/>
  <conditionalFormatting sqref="A5 A9 A13 A17 A21 A25 A29 A33 A37 A41 A45 A49 A53 A57 A61">
    <cfRule type="containsText" dxfId="473" priority="2" operator="containsText" text="0">
      <formula>NOT(ISERROR(SEARCH("0",A5)))</formula>
    </cfRule>
  </conditionalFormatting>
  <conditionalFormatting sqref="C2:C3">
    <cfRule type="cellIs" dxfId="472" priority="61" operator="equal">
      <formula>"ME"</formula>
    </cfRule>
  </conditionalFormatting>
  <conditionalFormatting sqref="C5">
    <cfRule type="containsText" dxfId="471" priority="60" operator="containsText" text="must">
      <formula>NOT(ISERROR(SEARCH("must",C5)))</formula>
    </cfRule>
    <cfRule type="containsText" dxfId="470" priority="59" operator="containsText" text="can">
      <formula>NOT(ISERROR(SEARCH("can",C5)))</formula>
    </cfRule>
  </conditionalFormatting>
  <conditionalFormatting sqref="C6:C8">
    <cfRule type="containsText" dxfId="469" priority="1" operator="containsText" text="ME">
      <formula>NOT(ISERROR(SEARCH("ME",C6)))</formula>
    </cfRule>
  </conditionalFormatting>
  <conditionalFormatting sqref="C9">
    <cfRule type="containsText" dxfId="468" priority="57" operator="containsText" text="must">
      <formula>NOT(ISERROR(SEARCH("must",C9)))</formula>
    </cfRule>
    <cfRule type="containsText" dxfId="467" priority="56" operator="containsText" text="can">
      <formula>NOT(ISERROR(SEARCH("can",C9)))</formula>
    </cfRule>
  </conditionalFormatting>
  <conditionalFormatting sqref="C10:C12">
    <cfRule type="containsText" dxfId="466" priority="55" operator="containsText" text="ME">
      <formula>NOT(ISERROR(SEARCH("ME",C10)))</formula>
    </cfRule>
  </conditionalFormatting>
  <conditionalFormatting sqref="C13">
    <cfRule type="containsText" dxfId="465" priority="53" operator="containsText" text="must">
      <formula>NOT(ISERROR(SEARCH("must",C13)))</formula>
    </cfRule>
    <cfRule type="containsText" dxfId="464" priority="52" operator="containsText" text="can">
      <formula>NOT(ISERROR(SEARCH("can",C13)))</formula>
    </cfRule>
  </conditionalFormatting>
  <conditionalFormatting sqref="C14:C16">
    <cfRule type="containsText" dxfId="463" priority="51" operator="containsText" text="ME">
      <formula>NOT(ISERROR(SEARCH("ME",C14)))</formula>
    </cfRule>
  </conditionalFormatting>
  <conditionalFormatting sqref="C17">
    <cfRule type="containsText" dxfId="462" priority="49" operator="containsText" text="must">
      <formula>NOT(ISERROR(SEARCH("must",C17)))</formula>
    </cfRule>
    <cfRule type="containsText" dxfId="461" priority="48" operator="containsText" text="can">
      <formula>NOT(ISERROR(SEARCH("can",C17)))</formula>
    </cfRule>
  </conditionalFormatting>
  <conditionalFormatting sqref="C18:C20">
    <cfRule type="containsText" dxfId="460" priority="47" operator="containsText" text="ME">
      <formula>NOT(ISERROR(SEARCH("ME",C18)))</formula>
    </cfRule>
  </conditionalFormatting>
  <conditionalFormatting sqref="C21">
    <cfRule type="containsText" dxfId="459" priority="45" operator="containsText" text="must">
      <formula>NOT(ISERROR(SEARCH("must",C21)))</formula>
    </cfRule>
    <cfRule type="containsText" dxfId="458" priority="44" operator="containsText" text="can">
      <formula>NOT(ISERROR(SEARCH("can",C21)))</formula>
    </cfRule>
  </conditionalFormatting>
  <conditionalFormatting sqref="C22:C24">
    <cfRule type="containsText" dxfId="457" priority="43" operator="containsText" text="ME">
      <formula>NOT(ISERROR(SEARCH("ME",C22)))</formula>
    </cfRule>
  </conditionalFormatting>
  <conditionalFormatting sqref="C25">
    <cfRule type="containsText" dxfId="456" priority="41" operator="containsText" text="must">
      <formula>NOT(ISERROR(SEARCH("must",C25)))</formula>
    </cfRule>
    <cfRule type="containsText" dxfId="455" priority="40" operator="containsText" text="can">
      <formula>NOT(ISERROR(SEARCH("can",C25)))</formula>
    </cfRule>
  </conditionalFormatting>
  <conditionalFormatting sqref="C26:C28">
    <cfRule type="containsText" dxfId="454" priority="39" operator="containsText" text="ME">
      <formula>NOT(ISERROR(SEARCH("ME",C26)))</formula>
    </cfRule>
  </conditionalFormatting>
  <conditionalFormatting sqref="C29">
    <cfRule type="containsText" dxfId="453" priority="37" operator="containsText" text="must">
      <formula>NOT(ISERROR(SEARCH("must",C29)))</formula>
    </cfRule>
    <cfRule type="containsText" dxfId="452" priority="36" operator="containsText" text="can">
      <formula>NOT(ISERROR(SEARCH("can",C29)))</formula>
    </cfRule>
  </conditionalFormatting>
  <conditionalFormatting sqref="C30:C32">
    <cfRule type="containsText" dxfId="451" priority="35" operator="containsText" text="ME">
      <formula>NOT(ISERROR(SEARCH("ME",C30)))</formula>
    </cfRule>
  </conditionalFormatting>
  <conditionalFormatting sqref="C33">
    <cfRule type="containsText" dxfId="450" priority="32" operator="containsText" text="can">
      <formula>NOT(ISERROR(SEARCH("can",C33)))</formula>
    </cfRule>
    <cfRule type="containsText" dxfId="449" priority="33" operator="containsText" text="must">
      <formula>NOT(ISERROR(SEARCH("must",C33)))</formula>
    </cfRule>
  </conditionalFormatting>
  <conditionalFormatting sqref="C34:C36">
    <cfRule type="containsText" dxfId="448" priority="31" operator="containsText" text="ME">
      <formula>NOT(ISERROR(SEARCH("ME",C34)))</formula>
    </cfRule>
  </conditionalFormatting>
  <conditionalFormatting sqref="C37">
    <cfRule type="containsText" dxfId="447" priority="28" operator="containsText" text="can">
      <formula>NOT(ISERROR(SEARCH("can",C37)))</formula>
    </cfRule>
    <cfRule type="containsText" dxfId="446" priority="29" operator="containsText" text="must">
      <formula>NOT(ISERROR(SEARCH("must",C37)))</formula>
    </cfRule>
  </conditionalFormatting>
  <conditionalFormatting sqref="C38:C40">
    <cfRule type="containsText" dxfId="445" priority="27" operator="containsText" text="ME">
      <formula>NOT(ISERROR(SEARCH("ME",C38)))</formula>
    </cfRule>
  </conditionalFormatting>
  <conditionalFormatting sqref="C41">
    <cfRule type="containsText" dxfId="444" priority="25" operator="containsText" text="must">
      <formula>NOT(ISERROR(SEARCH("must",C41)))</formula>
    </cfRule>
    <cfRule type="containsText" dxfId="443" priority="24" operator="containsText" text="can">
      <formula>NOT(ISERROR(SEARCH("can",C41)))</formula>
    </cfRule>
  </conditionalFormatting>
  <conditionalFormatting sqref="C42:C44">
    <cfRule type="containsText" dxfId="442" priority="23" operator="containsText" text="ME">
      <formula>NOT(ISERROR(SEARCH("ME",C42)))</formula>
    </cfRule>
  </conditionalFormatting>
  <conditionalFormatting sqref="C45">
    <cfRule type="containsText" dxfId="441" priority="21" operator="containsText" text="must">
      <formula>NOT(ISERROR(SEARCH("must",C45)))</formula>
    </cfRule>
    <cfRule type="containsText" dxfId="440" priority="20" operator="containsText" text="can">
      <formula>NOT(ISERROR(SEARCH("can",C45)))</formula>
    </cfRule>
  </conditionalFormatting>
  <conditionalFormatting sqref="C46:C48">
    <cfRule type="containsText" dxfId="439" priority="19" operator="containsText" text="ME">
      <formula>NOT(ISERROR(SEARCH("ME",C46)))</formula>
    </cfRule>
  </conditionalFormatting>
  <conditionalFormatting sqref="C49">
    <cfRule type="containsText" dxfId="438" priority="16" operator="containsText" text="can">
      <formula>NOT(ISERROR(SEARCH("can",C49)))</formula>
    </cfRule>
    <cfRule type="containsText" dxfId="437" priority="17" operator="containsText" text="must">
      <formula>NOT(ISERROR(SEARCH("must",C49)))</formula>
    </cfRule>
  </conditionalFormatting>
  <conditionalFormatting sqref="C50:C52">
    <cfRule type="containsText" dxfId="436" priority="15" operator="containsText" text="ME">
      <formula>NOT(ISERROR(SEARCH("ME",C50)))</formula>
    </cfRule>
  </conditionalFormatting>
  <conditionalFormatting sqref="C53">
    <cfRule type="containsText" dxfId="435" priority="13" operator="containsText" text="must">
      <formula>NOT(ISERROR(SEARCH("must",C53)))</formula>
    </cfRule>
    <cfRule type="containsText" dxfId="434" priority="12" operator="containsText" text="can">
      <formula>NOT(ISERROR(SEARCH("can",C53)))</formula>
    </cfRule>
  </conditionalFormatting>
  <conditionalFormatting sqref="C54:C56">
    <cfRule type="containsText" dxfId="433" priority="11" operator="containsText" text="ME">
      <formula>NOT(ISERROR(SEARCH("ME",C54)))</formula>
    </cfRule>
  </conditionalFormatting>
  <conditionalFormatting sqref="C57">
    <cfRule type="containsText" dxfId="432" priority="8" operator="containsText" text="can">
      <formula>NOT(ISERROR(SEARCH("can",C57)))</formula>
    </cfRule>
    <cfRule type="containsText" dxfId="431" priority="9" operator="containsText" text="must">
      <formula>NOT(ISERROR(SEARCH("must",C57)))</formula>
    </cfRule>
  </conditionalFormatting>
  <conditionalFormatting sqref="C58:C60">
    <cfRule type="containsText" dxfId="430" priority="7" operator="containsText" text="ME">
      <formula>NOT(ISERROR(SEARCH("ME",C58)))</formula>
    </cfRule>
  </conditionalFormatting>
  <conditionalFormatting sqref="C61">
    <cfRule type="containsText" dxfId="429" priority="4" operator="containsText" text="can">
      <formula>NOT(ISERROR(SEARCH("can",C61)))</formula>
    </cfRule>
    <cfRule type="containsText" dxfId="428" priority="5" operator="containsText" text="must">
      <formula>NOT(ISERROR(SEARCH("must",C61)))</formula>
    </cfRule>
  </conditionalFormatting>
  <conditionalFormatting sqref="C62:C64">
    <cfRule type="containsText" dxfId="427" priority="3" operator="containsText" text="ME">
      <formula>NOT(ISERROR(SEARCH("ME",C62)))</formula>
    </cfRule>
  </conditionalFormatting>
  <conditionalFormatting sqref="J5">
    <cfRule type="cellIs" dxfId="426" priority="62" operator="equal">
      <formula>"ME"</formula>
    </cfRule>
  </conditionalFormatting>
  <conditionalFormatting sqref="J9">
    <cfRule type="cellIs" dxfId="425" priority="58" operator="equal">
      <formula>"ME"</formula>
    </cfRule>
  </conditionalFormatting>
  <conditionalFormatting sqref="J13">
    <cfRule type="cellIs" dxfId="424" priority="54" operator="equal">
      <formula>"ME"</formula>
    </cfRule>
  </conditionalFormatting>
  <conditionalFormatting sqref="J17">
    <cfRule type="cellIs" dxfId="423" priority="50" operator="equal">
      <formula>"ME"</formula>
    </cfRule>
  </conditionalFormatting>
  <conditionalFormatting sqref="J21">
    <cfRule type="cellIs" dxfId="422" priority="46" operator="equal">
      <formula>"ME"</formula>
    </cfRule>
  </conditionalFormatting>
  <conditionalFormatting sqref="J25">
    <cfRule type="cellIs" dxfId="421" priority="42" operator="equal">
      <formula>"ME"</formula>
    </cfRule>
  </conditionalFormatting>
  <conditionalFormatting sqref="J29">
    <cfRule type="cellIs" dxfId="420" priority="38" operator="equal">
      <formula>"ME"</formula>
    </cfRule>
  </conditionalFormatting>
  <conditionalFormatting sqref="J33">
    <cfRule type="cellIs" dxfId="419" priority="34" operator="equal">
      <formula>"ME"</formula>
    </cfRule>
  </conditionalFormatting>
  <conditionalFormatting sqref="J37">
    <cfRule type="cellIs" dxfId="418" priority="30" operator="equal">
      <formula>"ME"</formula>
    </cfRule>
  </conditionalFormatting>
  <conditionalFormatting sqref="J41">
    <cfRule type="cellIs" dxfId="417" priority="26" operator="equal">
      <formula>"ME"</formula>
    </cfRule>
  </conditionalFormatting>
  <conditionalFormatting sqref="J45">
    <cfRule type="cellIs" dxfId="416" priority="22" operator="equal">
      <formula>"ME"</formula>
    </cfRule>
  </conditionalFormatting>
  <conditionalFormatting sqref="J49">
    <cfRule type="cellIs" dxfId="415" priority="18" operator="equal">
      <formula>"ME"</formula>
    </cfRule>
  </conditionalFormatting>
  <conditionalFormatting sqref="J53">
    <cfRule type="cellIs" dxfId="414" priority="14" operator="equal">
      <formula>"ME"</formula>
    </cfRule>
  </conditionalFormatting>
  <conditionalFormatting sqref="J57">
    <cfRule type="cellIs" dxfId="413" priority="10" operator="equal">
      <formula>"ME"</formula>
    </cfRule>
  </conditionalFormatting>
  <conditionalFormatting sqref="J61">
    <cfRule type="cellIs" dxfId="412" priority="6" operator="equal">
      <formula>"ME"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08AA-052B-9349-926C-319CCA354711}">
  <sheetPr>
    <tabColor theme="0"/>
  </sheetPr>
  <dimension ref="A1:AT27"/>
  <sheetViews>
    <sheetView zoomScaleNormal="60" zoomScaleSheetLayoutView="100" workbookViewId="0">
      <pane xSplit="4" ySplit="13" topLeftCell="AH14" activePane="bottomRight" state="frozen"/>
      <selection activeCell="F15" sqref="F15"/>
      <selection pane="bottomLeft" activeCell="A13" sqref="A13"/>
      <selection pane="topRight" activeCell="E1" sqref="E1"/>
      <selection pane="bottomRight" activeCell="A11" sqref="A11:XFD28"/>
    </sheetView>
  </sheetViews>
  <sheetFormatPr defaultColWidth="4.94921875" defaultRowHeight="16.5" x14ac:dyDescent="0.25"/>
  <cols>
    <col min="1" max="1" width="10.76953125" customWidth="1"/>
    <col min="2" max="4" width="4.94921875" hidden="1" customWidth="1"/>
    <col min="5" max="5" width="6.8046875" bestFit="1" customWidth="1"/>
    <col min="7" max="8" width="6.8046875" bestFit="1" customWidth="1"/>
    <col min="9" max="9" width="5.19921875" bestFit="1" customWidth="1"/>
    <col min="11" max="11" width="6.8046875" bestFit="1" customWidth="1"/>
    <col min="12" max="12" width="5.19921875" bestFit="1" customWidth="1"/>
    <col min="14" max="14" width="6.8046875" bestFit="1" customWidth="1"/>
    <col min="15" max="15" width="5.19921875" bestFit="1" customWidth="1"/>
    <col min="17" max="17" width="6.8046875" bestFit="1" customWidth="1"/>
    <col min="18" max="18" width="5.19921875" bestFit="1" customWidth="1"/>
    <col min="20" max="20" width="6.8046875" bestFit="1" customWidth="1"/>
    <col min="21" max="21" width="5.19921875" bestFit="1" customWidth="1"/>
    <col min="23" max="23" width="6.8046875" bestFit="1" customWidth="1"/>
    <col min="24" max="24" width="5.19921875" bestFit="1" customWidth="1"/>
    <col min="26" max="26" width="6.8046875" bestFit="1" customWidth="1"/>
    <col min="27" max="27" width="5.19921875" bestFit="1" customWidth="1"/>
    <col min="29" max="29" width="6.8046875" bestFit="1" customWidth="1"/>
    <col min="30" max="30" width="5.19921875" bestFit="1" customWidth="1"/>
    <col min="32" max="32" width="6.8046875" bestFit="1" customWidth="1"/>
    <col min="33" max="33" width="5.19921875" bestFit="1" customWidth="1"/>
    <col min="35" max="35" width="6.8046875" bestFit="1" customWidth="1"/>
    <col min="36" max="36" width="5.19921875" bestFit="1" customWidth="1"/>
    <col min="38" max="38" width="6.8046875" bestFit="1" customWidth="1"/>
    <col min="39" max="39" width="5.19921875" bestFit="1" customWidth="1"/>
    <col min="41" max="41" width="6.8046875" bestFit="1" customWidth="1"/>
    <col min="42" max="42" width="5.19921875" bestFit="1" customWidth="1"/>
    <col min="44" max="44" width="6.8046875" bestFit="1" customWidth="1"/>
    <col min="45" max="45" width="5.19921875" bestFit="1" customWidth="1"/>
  </cols>
  <sheetData>
    <row r="1" spans="1:46" ht="16.5" hidden="1" customHeight="1" x14ac:dyDescent="0.25">
      <c r="A1" s="139">
        <v>1</v>
      </c>
      <c r="B1">
        <v>2</v>
      </c>
      <c r="C1">
        <v>3</v>
      </c>
      <c r="F1" t="s">
        <v>16</v>
      </c>
      <c r="G1">
        <f>B1</f>
        <v>2</v>
      </c>
    </row>
    <row r="2" spans="1:46" ht="16.5" hidden="1" customHeight="1" x14ac:dyDescent="0.25">
      <c r="A2" s="139" t="s">
        <v>60</v>
      </c>
      <c r="B2" t="s">
        <v>16</v>
      </c>
      <c r="C2" t="s">
        <v>8</v>
      </c>
      <c r="D2" s="139" t="s">
        <v>60</v>
      </c>
      <c r="E2" t="str">
        <f>VLOOKUP(D2,$A$2:$C$10,$B$12,0)</f>
        <v>상</v>
      </c>
      <c r="F2" t="s">
        <v>8</v>
      </c>
      <c r="G2">
        <f>C1</f>
        <v>3</v>
      </c>
    </row>
    <row r="3" spans="1:46" ht="59.25" hidden="1" customHeight="1" x14ac:dyDescent="0.25">
      <c r="A3" s="139" t="s">
        <v>65</v>
      </c>
      <c r="B3">
        <v>300</v>
      </c>
      <c r="C3">
        <v>240</v>
      </c>
      <c r="D3" s="139" t="s">
        <v>65</v>
      </c>
      <c r="E3">
        <f>VLOOKUP(D3,$A$2:$C$10,$B$12,0)</f>
        <v>300</v>
      </c>
    </row>
    <row r="4" spans="1:46" ht="59.25" hidden="1" customHeight="1" x14ac:dyDescent="0.25">
      <c r="A4" s="139" t="s">
        <v>66</v>
      </c>
      <c r="B4">
        <v>200</v>
      </c>
      <c r="C4">
        <v>160</v>
      </c>
      <c r="D4" s="139" t="s">
        <v>66</v>
      </c>
      <c r="E4">
        <f>VLOOKUP(D4,$A$2:$C$10,$B$12,0)</f>
        <v>200</v>
      </c>
    </row>
    <row r="5" spans="1:46" ht="59.25" hidden="1" customHeight="1" x14ac:dyDescent="0.25">
      <c r="A5" s="139" t="s">
        <v>61</v>
      </c>
      <c r="B5">
        <f>B3/4</f>
        <v>75</v>
      </c>
      <c r="C5">
        <f>C3/4</f>
        <v>60</v>
      </c>
      <c r="D5" s="139" t="s">
        <v>61</v>
      </c>
      <c r="E5">
        <f>VLOOKUP(D5,$A$2:$C$10,$B$12,0)</f>
        <v>75</v>
      </c>
    </row>
    <row r="6" spans="1:46" ht="59.25" hidden="1" customHeight="1" x14ac:dyDescent="0.25">
      <c r="A6" s="139" t="s">
        <v>62</v>
      </c>
      <c r="B6">
        <f>B4/4</f>
        <v>50</v>
      </c>
      <c r="C6">
        <f>C4/4</f>
        <v>40</v>
      </c>
      <c r="D6" s="139" t="s">
        <v>62</v>
      </c>
      <c r="E6">
        <f>VLOOKUP(D6,$A$2:$C$10,$B$12,0)</f>
        <v>50</v>
      </c>
    </row>
    <row r="7" spans="1:46" ht="30" hidden="1" customHeight="1" x14ac:dyDescent="0.25">
      <c r="A7" s="139" t="s">
        <v>63</v>
      </c>
      <c r="B7">
        <v>5</v>
      </c>
      <c r="C7">
        <v>5</v>
      </c>
      <c r="D7" s="139" t="s">
        <v>63</v>
      </c>
      <c r="E7">
        <f>VLOOKUP(D7,$A$2:$C$10,$B$12,0)</f>
        <v>5</v>
      </c>
    </row>
    <row r="8" spans="1:46" ht="30" hidden="1" customHeight="1" x14ac:dyDescent="0.25">
      <c r="A8" s="139" t="s">
        <v>64</v>
      </c>
      <c r="B8">
        <f>B6/B7</f>
        <v>10</v>
      </c>
      <c r="C8">
        <f>C6/C7</f>
        <v>8</v>
      </c>
      <c r="D8" s="139" t="s">
        <v>64</v>
      </c>
      <c r="E8">
        <f>VLOOKUP(D8,$A$2:$C$10,$B$12,0)</f>
        <v>10</v>
      </c>
    </row>
    <row r="9" spans="1:46" ht="30" hidden="1" customHeight="1" x14ac:dyDescent="0.25">
      <c r="A9" s="139" t="s">
        <v>67</v>
      </c>
      <c r="B9" s="160">
        <f>(1-B10*B6)</f>
        <v>0.5</v>
      </c>
      <c r="C9" s="160">
        <f>(1-C10*C6)</f>
        <v>0.5</v>
      </c>
      <c r="D9" s="139" t="s">
        <v>67</v>
      </c>
      <c r="E9" s="160">
        <f>VLOOKUP(D9,$A$2:$C$10,$B$12,0)</f>
        <v>0.5</v>
      </c>
    </row>
    <row r="10" spans="1:46" ht="16.5" hidden="1" customHeight="1" x14ac:dyDescent="0.25">
      <c r="A10" s="139" t="s">
        <v>80</v>
      </c>
      <c r="B10" s="186">
        <f>50%/B6</f>
        <v>0.01</v>
      </c>
      <c r="C10" s="186">
        <f>50%/C6</f>
        <v>1.2500000000000001E-2</v>
      </c>
      <c r="D10" s="139" t="s">
        <v>80</v>
      </c>
      <c r="E10" s="161">
        <f>VLOOKUP(D10,$A$2:$C$10,$B$12,0)</f>
        <v>0.01</v>
      </c>
    </row>
    <row r="11" spans="1:46" ht="16.5" customHeight="1" x14ac:dyDescent="0.25">
      <c r="A11" s="182">
        <v>45767</v>
      </c>
      <c r="B11" s="161"/>
      <c r="C11" s="161"/>
      <c r="D11" s="139"/>
      <c r="E11" s="185">
        <v>1</v>
      </c>
      <c r="F11" s="184" t="str">
        <f ca="1">IF($A$27&lt;=E11,"MIN","")</f>
        <v/>
      </c>
      <c r="G11" s="184">
        <f ca="1">IF($A$27&lt;E11,0,$E$6*E11-G13)</f>
        <v>22</v>
      </c>
      <c r="H11" s="185">
        <f>ROUNDUP(G13/$E$6,0)</f>
        <v>1</v>
      </c>
      <c r="I11" s="184" t="str">
        <f ca="1">IF($A$27&lt;=H11,"MIN","")</f>
        <v/>
      </c>
      <c r="J11" s="184">
        <f ca="1">IF($A$27&lt;H11,0,$E$6*H11-J13)</f>
        <v>-31</v>
      </c>
      <c r="K11" s="185">
        <f>ROUNDUP(J13/$E$6,0)</f>
        <v>2</v>
      </c>
      <c r="L11" s="184" t="str">
        <f ca="1">IF($A$27&lt;=K11,"MIN","")</f>
        <v/>
      </c>
      <c r="M11" s="184">
        <f ca="1">IF($A$27&lt;K11,0,$E$6*K11-M13)</f>
        <v>-35</v>
      </c>
      <c r="N11" s="185">
        <f>ROUNDUP(M13/$E$6,0)</f>
        <v>3</v>
      </c>
      <c r="O11" s="184" t="str">
        <f ca="1">IF($A$27&lt;=N11,"MIN","")</f>
        <v/>
      </c>
      <c r="P11" s="184">
        <f ca="1">IF($A$27&lt;N11,0,$E$6*N11-P13)</f>
        <v>-43</v>
      </c>
      <c r="Q11" s="185">
        <f>ROUNDUP(P13/$E$6,0)</f>
        <v>4</v>
      </c>
      <c r="R11" s="184" t="str">
        <f ca="1">IF($A$27&lt;=Q11,"MIN","")</f>
        <v/>
      </c>
      <c r="S11" s="184">
        <f ca="1">IF($A$27&lt;Q11,0,$E$6*Q11-S13)</f>
        <v>-1</v>
      </c>
      <c r="T11" s="185">
        <f>ROUNDUP(S13/$E$6,0)</f>
        <v>5</v>
      </c>
      <c r="U11" s="184" t="str">
        <f ca="1">IF($A$27&lt;=T11,"MIN","")</f>
        <v/>
      </c>
      <c r="V11" s="184">
        <f ca="1">IF($A$27&lt;T11,0,$E$6*T11-V13)</f>
        <v>-1</v>
      </c>
      <c r="W11" s="185">
        <f>ROUNDUP(V13/$E$6,0)</f>
        <v>6</v>
      </c>
      <c r="X11" s="184" t="str">
        <f ca="1">IF($A$27&lt;=W11,"MIN","")</f>
        <v/>
      </c>
      <c r="Y11" s="184">
        <f ca="1">IF($A$27&lt;W11,0,$E$6*W11-Y13)</f>
        <v>-8</v>
      </c>
      <c r="Z11" s="185">
        <f>ROUNDUP(Y13/$E$6,0)</f>
        <v>7</v>
      </c>
      <c r="AA11" s="184" t="str">
        <f ca="1">IF($A$27&lt;=Z11,"MIN","")</f>
        <v/>
      </c>
      <c r="AB11" s="184">
        <f ca="1">IF($A$27&lt;Z11,0,$E$6*Z11-AB13)</f>
        <v>-2</v>
      </c>
      <c r="AC11" s="185">
        <f>ROUNDUP(AB13/$E$6,0)</f>
        <v>8</v>
      </c>
      <c r="AD11" s="184" t="str">
        <f ca="1">IF($A$27&lt;=AC11,"MIN","")</f>
        <v/>
      </c>
      <c r="AE11" s="184">
        <f ca="1">IF($A$27&lt;AC11,0,$E$6*AC11-AE13)</f>
        <v>4</v>
      </c>
      <c r="AF11" s="185">
        <f>ROUNDUP(AE13/$E$6,0)</f>
        <v>8</v>
      </c>
      <c r="AG11" s="184" t="str">
        <f ca="1">IF($A$27&lt;=AF11,"MIN","")</f>
        <v/>
      </c>
      <c r="AH11" s="184">
        <f ca="1">IF($A$27&lt;AF11,0,$E$6*AF11-AH13)</f>
        <v>-61</v>
      </c>
      <c r="AI11" s="185">
        <f>ROUNDUP(AH13/$E$6,0)</f>
        <v>10</v>
      </c>
      <c r="AJ11" s="184" t="str">
        <f ca="1">IF($A$27&lt;=AI11,"MIN","")</f>
        <v/>
      </c>
      <c r="AK11" s="184">
        <f ca="1">IF($A$27&lt;AI11,0,$E$6*AI11-AK13)</f>
        <v>-15</v>
      </c>
      <c r="AL11" s="185">
        <f>ROUNDUP(AK13/$E$6,0)</f>
        <v>11</v>
      </c>
      <c r="AM11" s="184" t="str">
        <f ca="1">IF($A$27&lt;=AL11,"MIN","")</f>
        <v>MIN</v>
      </c>
      <c r="AN11" s="184">
        <f ca="1">IF($A$27&lt;AL11,0,$E$6*AL11-AN13)</f>
        <v>35</v>
      </c>
      <c r="AO11" s="185">
        <f>ROUNDUP(AN13/$E$6,0)</f>
        <v>11</v>
      </c>
      <c r="AP11" s="184" t="str">
        <f ca="1">IF($A$27&lt;=AO11,"MIN","")</f>
        <v>MIN</v>
      </c>
      <c r="AQ11" s="184">
        <f ca="1">IF($A$27&lt;AO11,0,$E$6*AO11-AQ13)</f>
        <v>35</v>
      </c>
      <c r="AR11" s="185">
        <f>ROUNDUP(AQ13/$E$6,0)</f>
        <v>11</v>
      </c>
      <c r="AS11" s="184" t="str">
        <f ca="1">IF($A$27&lt;=AR11,"MIN","")</f>
        <v>MIN</v>
      </c>
      <c r="AT11" s="184">
        <f ca="1">IF($A$27&lt;AR11,0,$E$6*AR11-AT13)</f>
        <v>35</v>
      </c>
    </row>
    <row r="12" spans="1:46" s="164" customFormat="1" x14ac:dyDescent="0.25">
      <c r="A12" s="165" t="s">
        <v>16</v>
      </c>
      <c r="B12" s="174">
        <f>VLOOKUP(A12,$F$1:$G$2,2,0)</f>
        <v>2</v>
      </c>
      <c r="C12" s="163"/>
      <c r="D12" s="162"/>
      <c r="E12"/>
      <c r="F12" s="184" t="str">
        <f ca="1">IF($A$27=E12,"MAX","")</f>
        <v/>
      </c>
      <c r="G12" s="184">
        <f>$E$5*E12-G13</f>
        <v>-28</v>
      </c>
      <c r="H12" s="185">
        <f>ROUNDUP(G13/$E$5,0)</f>
        <v>1</v>
      </c>
      <c r="I12" s="184" t="str">
        <f ca="1">IF($A$27=H12,"MAX","")</f>
        <v/>
      </c>
      <c r="J12" s="184">
        <f>$E$5*H12-J13</f>
        <v>-6</v>
      </c>
      <c r="K12" s="185">
        <f>ROUNDUP(J13/$E$5,0)</f>
        <v>2</v>
      </c>
      <c r="L12" s="184" t="str">
        <f ca="1">IF($A$27=K12,"MAX","")</f>
        <v/>
      </c>
      <c r="M12" s="184">
        <f>$E$5*K12-M13</f>
        <v>15</v>
      </c>
      <c r="N12" s="185">
        <f>ROUNDUP(M13/$E$5,0)</f>
        <v>2</v>
      </c>
      <c r="O12" s="184" t="str">
        <f ca="1">IF($A$27=N12,"MAX","")</f>
        <v/>
      </c>
      <c r="P12" s="184">
        <f>$E$5*N12-P13</f>
        <v>-43</v>
      </c>
      <c r="Q12" s="185">
        <f>ROUNDUP(P13/$E$5,0)</f>
        <v>3</v>
      </c>
      <c r="R12" s="184" t="str">
        <f ca="1">IF($A$27=Q12,"MAX","")</f>
        <v/>
      </c>
      <c r="S12" s="184">
        <f>$E$5*Q12-S13</f>
        <v>24</v>
      </c>
      <c r="T12" s="185">
        <f>ROUNDUP(S13/$E$5,0)</f>
        <v>3</v>
      </c>
      <c r="U12" s="184" t="str">
        <f ca="1">IF($A$27=T12,"MAX","")</f>
        <v/>
      </c>
      <c r="V12" s="184">
        <f>$E$5*T12-V13</f>
        <v>-26</v>
      </c>
      <c r="W12" s="185">
        <f>ROUNDUP(V13/$E$5,0)</f>
        <v>4</v>
      </c>
      <c r="X12" s="184" t="str">
        <f ca="1">IF($A$27=W12,"MAX","")</f>
        <v/>
      </c>
      <c r="Y12" s="184">
        <f>$E$5*W12-Y13</f>
        <v>-8</v>
      </c>
      <c r="Z12" s="185">
        <f>ROUNDUP(Y13/$E$5,0)</f>
        <v>5</v>
      </c>
      <c r="AA12" s="184" t="str">
        <f ca="1">IF($A$27=Z12,"MAX","")</f>
        <v/>
      </c>
      <c r="AB12" s="184">
        <f>$E$5*Z12-AB13</f>
        <v>23</v>
      </c>
      <c r="AC12" s="185">
        <f>ROUNDUP(AB13/$E$5,0)</f>
        <v>5</v>
      </c>
      <c r="AD12" s="184" t="str">
        <f ca="1">IF($A$27=AC12,"MAX","")</f>
        <v/>
      </c>
      <c r="AE12" s="184">
        <f>$E$5*AC12-AE13</f>
        <v>-21</v>
      </c>
      <c r="AF12" s="185">
        <f>ROUNDUP(AE13/$E$5,0)</f>
        <v>6</v>
      </c>
      <c r="AG12" s="184" t="str">
        <f ca="1">IF($A$27=AF12,"MAX","")</f>
        <v/>
      </c>
      <c r="AH12" s="184">
        <f>$E$5*AF12-AH13</f>
        <v>-11</v>
      </c>
      <c r="AI12" s="185">
        <f>ROUNDUP(AH13/$E$5,0)</f>
        <v>7</v>
      </c>
      <c r="AJ12" s="184" t="str">
        <f ca="1">IF($A$27=AI12,"MAX","")</f>
        <v/>
      </c>
      <c r="AK12" s="184">
        <f>$E$5*AI12-AK13</f>
        <v>10</v>
      </c>
      <c r="AL12" s="185">
        <f>ROUNDUP(AK13/$E$5,0)</f>
        <v>7</v>
      </c>
      <c r="AM12" s="184" t="str">
        <f ca="1">IF($A$27=AL12,"MAX","")</f>
        <v/>
      </c>
      <c r="AN12" s="184">
        <f>$E$5*AL12-AN13</f>
        <v>10</v>
      </c>
      <c r="AO12" s="185">
        <f>ROUNDUP(AN13/$E$5,0)</f>
        <v>7</v>
      </c>
      <c r="AP12" s="184" t="str">
        <f ca="1">IF($A$27=AO12,"MAX","")</f>
        <v/>
      </c>
      <c r="AQ12" s="184">
        <f>$E$5*AO12-AQ13</f>
        <v>10</v>
      </c>
      <c r="AR12" s="185">
        <f>ROUNDUP(AQ13/$E$5,0)</f>
        <v>7</v>
      </c>
      <c r="AS12" s="184" t="str">
        <f ca="1">IF($A$27=AR12,"MAX","")</f>
        <v/>
      </c>
      <c r="AT12" s="184">
        <f>$E$5*AR12-AT13</f>
        <v>10</v>
      </c>
    </row>
    <row r="13" spans="1:46" ht="17.25" thickBot="1" x14ac:dyDescent="0.3">
      <c r="A13" s="170" t="s">
        <v>79</v>
      </c>
      <c r="E13" s="35">
        <v>2.5</v>
      </c>
      <c r="F13" s="177" t="s">
        <v>88</v>
      </c>
      <c r="G13" s="178">
        <f>D13+F26</f>
        <v>28</v>
      </c>
      <c r="H13" s="35">
        <f>E13</f>
        <v>2.5</v>
      </c>
      <c r="I13" s="177" t="s">
        <v>88</v>
      </c>
      <c r="J13" s="178">
        <f>G13+I26</f>
        <v>81</v>
      </c>
      <c r="K13" s="35">
        <f>H13</f>
        <v>2.5</v>
      </c>
      <c r="L13" s="177" t="s">
        <v>88</v>
      </c>
      <c r="M13" s="178">
        <f>J13+L26</f>
        <v>135</v>
      </c>
      <c r="N13" s="35">
        <f>K13</f>
        <v>2.5</v>
      </c>
      <c r="O13" s="177" t="s">
        <v>88</v>
      </c>
      <c r="P13" s="178">
        <f>M13+O26</f>
        <v>193</v>
      </c>
      <c r="Q13" s="35">
        <f>N13</f>
        <v>2.5</v>
      </c>
      <c r="R13" s="177" t="s">
        <v>88</v>
      </c>
      <c r="S13" s="178">
        <f>P13+R26</f>
        <v>201</v>
      </c>
      <c r="T13" s="35">
        <f>Q13</f>
        <v>2.5</v>
      </c>
      <c r="U13" s="177" t="s">
        <v>88</v>
      </c>
      <c r="V13" s="178">
        <f>S13+U26</f>
        <v>251</v>
      </c>
      <c r="W13" s="35">
        <f>T13</f>
        <v>2.5</v>
      </c>
      <c r="X13" s="177" t="s">
        <v>88</v>
      </c>
      <c r="Y13" s="178">
        <f>V13+X26</f>
        <v>308</v>
      </c>
      <c r="Z13" s="35">
        <f>W13</f>
        <v>2.5</v>
      </c>
      <c r="AA13" s="177" t="s">
        <v>88</v>
      </c>
      <c r="AB13" s="178">
        <f>Y13+AA26</f>
        <v>352</v>
      </c>
      <c r="AC13" s="35">
        <f>Z13</f>
        <v>2.5</v>
      </c>
      <c r="AD13" s="177" t="s">
        <v>88</v>
      </c>
      <c r="AE13" s="178">
        <f>AB13+AD26</f>
        <v>396</v>
      </c>
      <c r="AF13" s="35">
        <f>AC13</f>
        <v>2.5</v>
      </c>
      <c r="AG13" s="177" t="s">
        <v>88</v>
      </c>
      <c r="AH13" s="178">
        <f>AE13+AG26</f>
        <v>461</v>
      </c>
      <c r="AI13" s="35">
        <f>AF13</f>
        <v>2.5</v>
      </c>
      <c r="AJ13" s="177" t="s">
        <v>88</v>
      </c>
      <c r="AK13" s="178">
        <f>AH13+AJ26</f>
        <v>515</v>
      </c>
      <c r="AL13" s="35">
        <f>AI13</f>
        <v>2.5</v>
      </c>
      <c r="AM13" s="177" t="s">
        <v>88</v>
      </c>
      <c r="AN13" s="178">
        <f>AK13+AM26</f>
        <v>515</v>
      </c>
      <c r="AO13" s="35">
        <f>AL13</f>
        <v>2.5</v>
      </c>
      <c r="AP13" s="177" t="s">
        <v>88</v>
      </c>
      <c r="AQ13" s="178">
        <f>AN13+AP26</f>
        <v>515</v>
      </c>
      <c r="AR13" s="35">
        <f>AO13</f>
        <v>2.5</v>
      </c>
      <c r="AS13" s="177" t="s">
        <v>88</v>
      </c>
      <c r="AT13" s="178">
        <f>AQ13+AS26</f>
        <v>515</v>
      </c>
    </row>
    <row r="14" spans="1:46" x14ac:dyDescent="0.25">
      <c r="A14" s="171" t="s">
        <v>60</v>
      </c>
      <c r="B14" s="171" t="s">
        <v>83</v>
      </c>
      <c r="C14" s="171" t="s">
        <v>82</v>
      </c>
      <c r="D14" s="171" t="s">
        <v>84</v>
      </c>
      <c r="E14" s="9" t="s">
        <v>58</v>
      </c>
      <c r="F14" s="175" t="s">
        <v>81</v>
      </c>
      <c r="G14" s="176" t="s">
        <v>85</v>
      </c>
      <c r="H14" s="9" t="str">
        <f>E14</f>
        <v>INSPP</v>
      </c>
      <c r="I14" s="175" t="str">
        <f>F14</f>
        <v>개수</v>
      </c>
      <c r="J14" s="176" t="str">
        <f>G14</f>
        <v>볼륨</v>
      </c>
      <c r="K14" s="9" t="s">
        <v>46</v>
      </c>
      <c r="L14" s="175" t="str">
        <f>I14</f>
        <v>개수</v>
      </c>
      <c r="M14" s="176" t="str">
        <f>J14</f>
        <v>볼륨</v>
      </c>
      <c r="N14" s="9" t="str">
        <f>K14</f>
        <v>BP</v>
      </c>
      <c r="O14" s="175" t="str">
        <f>L14</f>
        <v>개수</v>
      </c>
      <c r="P14" s="176" t="str">
        <f>M14</f>
        <v>볼륨</v>
      </c>
      <c r="Q14" s="9" t="str">
        <f>N14</f>
        <v>BP</v>
      </c>
      <c r="R14" s="175" t="str">
        <f>O14</f>
        <v>개수</v>
      </c>
      <c r="S14" s="176" t="str">
        <f>P14</f>
        <v>볼륨</v>
      </c>
      <c r="T14" s="9" t="s">
        <v>15</v>
      </c>
      <c r="U14" s="175" t="str">
        <f>R14</f>
        <v>개수</v>
      </c>
      <c r="V14" s="176" t="str">
        <f>S14</f>
        <v>볼륨</v>
      </c>
      <c r="W14" s="9" t="str">
        <f>T14</f>
        <v>MP</v>
      </c>
      <c r="X14" s="175" t="str">
        <f>U14</f>
        <v>개수</v>
      </c>
      <c r="Y14" s="176" t="str">
        <f>V14</f>
        <v>볼륨</v>
      </c>
      <c r="Z14" s="9" t="str">
        <f>W14</f>
        <v>MP</v>
      </c>
      <c r="AA14" s="175" t="str">
        <f>X14</f>
        <v>개수</v>
      </c>
      <c r="AB14" s="176" t="str">
        <f>Y14</f>
        <v>볼륨</v>
      </c>
      <c r="AC14" s="9" t="s">
        <v>46</v>
      </c>
      <c r="AD14" s="175" t="str">
        <f>AA14</f>
        <v>개수</v>
      </c>
      <c r="AE14" s="176" t="str">
        <f>AB14</f>
        <v>볼륨</v>
      </c>
      <c r="AF14" s="9" t="str">
        <f>AC14</f>
        <v>BP</v>
      </c>
      <c r="AG14" s="175" t="str">
        <f>AD14</f>
        <v>개수</v>
      </c>
      <c r="AH14" s="176" t="str">
        <f>AE14</f>
        <v>볼륨</v>
      </c>
      <c r="AI14" s="9" t="s">
        <v>92</v>
      </c>
      <c r="AJ14" s="175" t="str">
        <f>AG14</f>
        <v>개수</v>
      </c>
      <c r="AK14" s="176" t="str">
        <f>AH14</f>
        <v>볼륨</v>
      </c>
      <c r="AL14" s="9" t="str">
        <f>AI14</f>
        <v>CGMP</v>
      </c>
      <c r="AM14" s="175" t="str">
        <f>AJ14</f>
        <v>개수</v>
      </c>
      <c r="AN14" s="176" t="str">
        <f>AK14</f>
        <v>볼륨</v>
      </c>
      <c r="AO14" s="9" t="str">
        <f>AL14</f>
        <v>CGMP</v>
      </c>
      <c r="AP14" s="175" t="str">
        <f>AM14</f>
        <v>개수</v>
      </c>
      <c r="AQ14" s="176" t="str">
        <f>AN14</f>
        <v>볼륨</v>
      </c>
      <c r="AR14" s="9" t="str">
        <f>AO14</f>
        <v>CGMP</v>
      </c>
      <c r="AS14" s="175" t="str">
        <f>AP14</f>
        <v>개수</v>
      </c>
      <c r="AT14" s="176" t="str">
        <f>AQ14</f>
        <v>볼륨</v>
      </c>
    </row>
    <row r="15" spans="1:46" x14ac:dyDescent="0.25">
      <c r="A15" s="171" t="s">
        <v>86</v>
      </c>
      <c r="B15" s="172">
        <v>1</v>
      </c>
      <c r="C15" s="171">
        <v>0</v>
      </c>
      <c r="D15" s="172">
        <f>B15*C15</f>
        <v>0</v>
      </c>
      <c r="E15" s="179">
        <v>120</v>
      </c>
      <c r="F15" s="166"/>
      <c r="G15" s="167">
        <v>0</v>
      </c>
      <c r="H15" s="179">
        <f>E26</f>
        <v>114.58333333333334</v>
      </c>
      <c r="I15" s="166"/>
      <c r="J15" s="167">
        <v>0</v>
      </c>
      <c r="K15" s="179">
        <v>130</v>
      </c>
      <c r="L15" s="166">
        <v>1</v>
      </c>
      <c r="M15" s="167">
        <f>K15*L15</f>
        <v>130</v>
      </c>
      <c r="N15" s="179">
        <f>K26</f>
        <v>141.30434782608697</v>
      </c>
      <c r="O15" s="166"/>
      <c r="P15" s="167">
        <f>N15*O15</f>
        <v>0</v>
      </c>
      <c r="Q15" s="179">
        <f>N26</f>
        <v>166.66666666666666</v>
      </c>
      <c r="R15" s="166"/>
      <c r="S15" s="167">
        <f>Q15*R15</f>
        <v>0</v>
      </c>
      <c r="T15" s="179">
        <v>85</v>
      </c>
      <c r="U15" s="166">
        <v>1</v>
      </c>
      <c r="V15" s="167">
        <f>T15*U15</f>
        <v>85</v>
      </c>
      <c r="W15" s="179">
        <f>T26</f>
        <v>86.7</v>
      </c>
      <c r="X15" s="166"/>
      <c r="Y15" s="167">
        <f>W15*X15</f>
        <v>0</v>
      </c>
      <c r="Z15" s="179">
        <f>W26</f>
        <v>98.83720930232559</v>
      </c>
      <c r="AA15" s="166"/>
      <c r="AB15" s="167">
        <f>Z15*AA15</f>
        <v>0</v>
      </c>
      <c r="AC15" s="179">
        <f>130</f>
        <v>130</v>
      </c>
      <c r="AD15" s="166">
        <v>1</v>
      </c>
      <c r="AE15" s="167">
        <f>AC15*AD15</f>
        <v>130</v>
      </c>
      <c r="AF15" s="179">
        <f>AC26</f>
        <v>118.70941558441558</v>
      </c>
      <c r="AG15" s="166"/>
      <c r="AH15" s="167">
        <f>AF15*AG15</f>
        <v>0</v>
      </c>
      <c r="AI15" s="179">
        <f>80</f>
        <v>80</v>
      </c>
      <c r="AJ15" s="166">
        <v>1</v>
      </c>
      <c r="AK15" s="167">
        <f>AI15*AJ15</f>
        <v>80</v>
      </c>
      <c r="AL15" s="179">
        <f>AI26</f>
        <v>88.566827697262482</v>
      </c>
      <c r="AM15" s="166"/>
      <c r="AN15" s="167">
        <f>AL15*AM15</f>
        <v>0</v>
      </c>
      <c r="AO15" s="179">
        <f>AL26</f>
        <v>0</v>
      </c>
      <c r="AP15" s="166"/>
      <c r="AQ15" s="167">
        <f>AO15*AP15</f>
        <v>0</v>
      </c>
      <c r="AR15" s="179">
        <f>AO26</f>
        <v>0</v>
      </c>
      <c r="AS15" s="166"/>
      <c r="AT15" s="167">
        <f>AR15*AS15</f>
        <v>0</v>
      </c>
    </row>
    <row r="16" spans="1:46" x14ac:dyDescent="0.25">
      <c r="A16" s="171" t="s">
        <v>68</v>
      </c>
      <c r="B16" s="172">
        <f>E9</f>
        <v>0.5</v>
      </c>
      <c r="C16" s="171">
        <v>5</v>
      </c>
      <c r="D16" s="172">
        <f t="shared" ref="D16:D25" si="0">B16*C16</f>
        <v>2.5</v>
      </c>
      <c r="E16" s="180">
        <v>82.5</v>
      </c>
      <c r="F16" s="166">
        <v>7</v>
      </c>
      <c r="G16" s="167">
        <v>577.5</v>
      </c>
      <c r="H16" s="180">
        <v>67.5</v>
      </c>
      <c r="I16" s="166">
        <v>17</v>
      </c>
      <c r="J16" s="167">
        <v>1147.5</v>
      </c>
      <c r="K16" s="180">
        <f>MROUND(K15*$B$16,K13)</f>
        <v>65</v>
      </c>
      <c r="L16" s="166">
        <v>22</v>
      </c>
      <c r="M16" s="167">
        <f t="shared" ref="M16:M25" si="1">K16*L16</f>
        <v>1430</v>
      </c>
      <c r="N16" s="180">
        <f>MROUND(N15*$B$16,N13)</f>
        <v>70</v>
      </c>
      <c r="O16" s="166">
        <v>10</v>
      </c>
      <c r="P16" s="167">
        <f t="shared" ref="P16:P25" si="2">N16*O16</f>
        <v>700</v>
      </c>
      <c r="Q16" s="180">
        <f>MROUND(Q15*$B$16,Q13)</f>
        <v>82.5</v>
      </c>
      <c r="R16" s="166">
        <v>5</v>
      </c>
      <c r="S16" s="167">
        <f t="shared" ref="S16:S25" si="3">Q16*R16</f>
        <v>412.5</v>
      </c>
      <c r="T16" s="180">
        <f>MROUND(T15*$B$16,T13)</f>
        <v>42.5</v>
      </c>
      <c r="U16" s="166">
        <v>16</v>
      </c>
      <c r="V16" s="167">
        <f t="shared" ref="V16:V25" si="4">T16*U16</f>
        <v>680</v>
      </c>
      <c r="W16" s="180">
        <f>MROUND(W15*$B$16,W13)</f>
        <v>42.5</v>
      </c>
      <c r="X16" s="166">
        <v>17</v>
      </c>
      <c r="Y16" s="167">
        <f t="shared" ref="Y16:Y25" si="5">W16*X16</f>
        <v>722.5</v>
      </c>
      <c r="Z16" s="180">
        <f>MROUND(Z15*$B$16,Z13)</f>
        <v>50</v>
      </c>
      <c r="AA16" s="166">
        <v>12</v>
      </c>
      <c r="AB16" s="167">
        <f t="shared" ref="AB16:AB25" si="6">Z16*AA16</f>
        <v>600</v>
      </c>
      <c r="AC16" s="180">
        <f>MROUND(AC15*$B$16,AC13)</f>
        <v>65</v>
      </c>
      <c r="AD16" s="166">
        <v>25</v>
      </c>
      <c r="AE16" s="167">
        <f t="shared" ref="AE16:AE34" si="7">AC16*AD16</f>
        <v>1625</v>
      </c>
      <c r="AF16" s="180">
        <f>MROUND(AF15*$B$16,AF13)</f>
        <v>60</v>
      </c>
      <c r="AG16" s="166">
        <v>23</v>
      </c>
      <c r="AH16" s="167">
        <f t="shared" ref="AH16:AH34" si="8">AF16*AG16</f>
        <v>1380</v>
      </c>
      <c r="AI16" s="180">
        <f>MROUND(AI15*$B$16,AI13)</f>
        <v>40</v>
      </c>
      <c r="AJ16" s="166">
        <v>17</v>
      </c>
      <c r="AK16" s="167">
        <f t="shared" ref="AK16:AK25" si="9">AI16*AJ16</f>
        <v>680</v>
      </c>
      <c r="AL16" s="180">
        <f>MROUND(AL15*$B$16,AL13)</f>
        <v>45</v>
      </c>
      <c r="AM16" s="166"/>
      <c r="AN16" s="167">
        <f t="shared" ref="AN16:AN25" si="10">AL16*AM16</f>
        <v>0</v>
      </c>
      <c r="AO16" s="180">
        <f>MROUND(AO15*$B$16,AO13)</f>
        <v>0</v>
      </c>
      <c r="AP16" s="166"/>
      <c r="AQ16" s="167">
        <f t="shared" ref="AQ16:AQ25" si="11">AO16*AP16</f>
        <v>0</v>
      </c>
      <c r="AR16" s="180">
        <f>MROUND(AR15*$B$16,AR13)</f>
        <v>0</v>
      </c>
      <c r="AS16" s="166"/>
      <c r="AT16" s="167">
        <f t="shared" ref="AT16:AT25" si="12">AR16*AS16</f>
        <v>0</v>
      </c>
    </row>
    <row r="17" spans="1:46" x14ac:dyDescent="0.25">
      <c r="A17" s="171" t="s">
        <v>69</v>
      </c>
      <c r="B17" s="172">
        <f>B16</f>
        <v>0.5</v>
      </c>
      <c r="C17" s="171">
        <v>5</v>
      </c>
      <c r="D17" s="172">
        <f t="shared" si="0"/>
        <v>2.5</v>
      </c>
      <c r="E17" s="180">
        <v>82.5</v>
      </c>
      <c r="F17" s="166">
        <v>5</v>
      </c>
      <c r="G17" s="167">
        <v>412.5</v>
      </c>
      <c r="H17" s="180">
        <v>67.5</v>
      </c>
      <c r="I17" s="166">
        <v>6</v>
      </c>
      <c r="J17" s="167">
        <v>405</v>
      </c>
      <c r="K17" s="180">
        <f>MROUND(K15*$B$17,K13)</f>
        <v>65</v>
      </c>
      <c r="L17" s="166">
        <v>8</v>
      </c>
      <c r="M17" s="167">
        <f t="shared" si="1"/>
        <v>520</v>
      </c>
      <c r="N17" s="180">
        <f>MROUND(N15*$B$17,N13)</f>
        <v>70</v>
      </c>
      <c r="O17" s="166">
        <v>6</v>
      </c>
      <c r="P17" s="167">
        <f t="shared" si="2"/>
        <v>420</v>
      </c>
      <c r="Q17" s="180">
        <f>MROUND(Q15*$B$17,Q13)</f>
        <v>82.5</v>
      </c>
      <c r="R17" s="166">
        <v>3</v>
      </c>
      <c r="S17" s="167">
        <f t="shared" si="3"/>
        <v>247.5</v>
      </c>
      <c r="T17" s="180">
        <f>MROUND(T15*$B$17,T13)</f>
        <v>42.5</v>
      </c>
      <c r="U17" s="166">
        <v>7</v>
      </c>
      <c r="V17" s="167">
        <f t="shared" si="4"/>
        <v>297.5</v>
      </c>
      <c r="W17" s="180">
        <f>MROUND(W15*$B$17,W13)</f>
        <v>42.5</v>
      </c>
      <c r="X17" s="166">
        <v>9</v>
      </c>
      <c r="Y17" s="167">
        <f t="shared" si="5"/>
        <v>382.5</v>
      </c>
      <c r="Z17" s="180">
        <f>MROUND(Z15*$B$17,Z13)</f>
        <v>50</v>
      </c>
      <c r="AA17" s="166">
        <v>5</v>
      </c>
      <c r="AB17" s="167">
        <f t="shared" si="6"/>
        <v>250</v>
      </c>
      <c r="AC17" s="180">
        <f>MROUND(AC15*$B$17,AC13)</f>
        <v>65</v>
      </c>
      <c r="AD17" s="166">
        <v>8</v>
      </c>
      <c r="AE17" s="167">
        <f t="shared" si="7"/>
        <v>520</v>
      </c>
      <c r="AF17" s="180">
        <f>MROUND(AF15*$B$17,AF13)</f>
        <v>60</v>
      </c>
      <c r="AG17" s="166">
        <v>9</v>
      </c>
      <c r="AH17" s="167">
        <f t="shared" si="8"/>
        <v>540</v>
      </c>
      <c r="AI17" s="180">
        <f>MROUND(AI15*$B$17,AI13)</f>
        <v>40</v>
      </c>
      <c r="AJ17" s="166">
        <v>7</v>
      </c>
      <c r="AK17" s="167">
        <f t="shared" si="9"/>
        <v>280</v>
      </c>
      <c r="AL17" s="180">
        <f>MROUND(AL15*$B$17,AL13)</f>
        <v>45</v>
      </c>
      <c r="AM17" s="166"/>
      <c r="AN17" s="167">
        <f t="shared" si="10"/>
        <v>0</v>
      </c>
      <c r="AO17" s="180">
        <f>MROUND(AO15*$B$17,AO13)</f>
        <v>0</v>
      </c>
      <c r="AP17" s="166"/>
      <c r="AQ17" s="167">
        <f t="shared" si="11"/>
        <v>0</v>
      </c>
      <c r="AR17" s="180">
        <f>MROUND(AR15*$B$17,AR13)</f>
        <v>0</v>
      </c>
      <c r="AS17" s="166"/>
      <c r="AT17" s="167">
        <f t="shared" si="12"/>
        <v>0</v>
      </c>
    </row>
    <row r="18" spans="1:46" x14ac:dyDescent="0.25">
      <c r="A18" s="171" t="s">
        <v>70</v>
      </c>
      <c r="B18" s="172">
        <f t="shared" ref="B18:B23" si="13">B17</f>
        <v>0.5</v>
      </c>
      <c r="C18" s="171">
        <v>5</v>
      </c>
      <c r="D18" s="172">
        <f t="shared" si="0"/>
        <v>2.5</v>
      </c>
      <c r="E18" s="180">
        <v>82.5</v>
      </c>
      <c r="F18" s="166">
        <v>4</v>
      </c>
      <c r="G18" s="167">
        <v>330</v>
      </c>
      <c r="H18" s="180">
        <v>67.5</v>
      </c>
      <c r="I18" s="166">
        <v>5</v>
      </c>
      <c r="J18" s="167">
        <v>337.5</v>
      </c>
      <c r="K18" s="180">
        <f>MROUND(K15*$B$18,K13)</f>
        <v>65</v>
      </c>
      <c r="L18" s="166">
        <v>6</v>
      </c>
      <c r="M18" s="167">
        <f t="shared" si="1"/>
        <v>390</v>
      </c>
      <c r="N18" s="180">
        <f>MROUND(N15*$B$18,N13)</f>
        <v>70</v>
      </c>
      <c r="O18" s="166">
        <v>6</v>
      </c>
      <c r="P18" s="167">
        <f t="shared" si="2"/>
        <v>420</v>
      </c>
      <c r="Q18" s="180">
        <f>MROUND(Q15*$B$18,Q13)</f>
        <v>82.5</v>
      </c>
      <c r="R18" s="166">
        <v>0</v>
      </c>
      <c r="S18" s="167">
        <f t="shared" si="3"/>
        <v>0</v>
      </c>
      <c r="T18" s="180">
        <f>MROUND(T15*$B$18,T13)</f>
        <v>42.5</v>
      </c>
      <c r="U18" s="166">
        <v>4</v>
      </c>
      <c r="V18" s="167">
        <f t="shared" si="4"/>
        <v>170</v>
      </c>
      <c r="W18" s="180">
        <f>MROUND(W15*$B$18,W13)</f>
        <v>42.5</v>
      </c>
      <c r="X18" s="166">
        <v>5</v>
      </c>
      <c r="Y18" s="167">
        <f t="shared" si="5"/>
        <v>212.5</v>
      </c>
      <c r="Z18" s="180">
        <f>MROUND(Z15*$B$18,Z13)</f>
        <v>50</v>
      </c>
      <c r="AA18" s="166">
        <v>3</v>
      </c>
      <c r="AB18" s="167">
        <f t="shared" si="6"/>
        <v>150</v>
      </c>
      <c r="AC18" s="180">
        <f>MROUND(AC15*$B$18,AC13)</f>
        <v>65</v>
      </c>
      <c r="AD18" s="166">
        <v>5</v>
      </c>
      <c r="AE18" s="167">
        <f t="shared" si="7"/>
        <v>325</v>
      </c>
      <c r="AF18" s="180">
        <f>MROUND(AF15*$B$18,AF13)</f>
        <v>60</v>
      </c>
      <c r="AG18" s="166">
        <v>6</v>
      </c>
      <c r="AH18" s="167">
        <f t="shared" si="8"/>
        <v>360</v>
      </c>
      <c r="AI18" s="180">
        <f>MROUND(AI15*$B$18,AI13)</f>
        <v>40</v>
      </c>
      <c r="AJ18" s="166">
        <v>5</v>
      </c>
      <c r="AK18" s="167">
        <f t="shared" si="9"/>
        <v>200</v>
      </c>
      <c r="AL18" s="180">
        <f>MROUND(AL15*$B$18,AL13)</f>
        <v>45</v>
      </c>
      <c r="AM18" s="166"/>
      <c r="AN18" s="167">
        <f t="shared" si="10"/>
        <v>0</v>
      </c>
      <c r="AO18" s="180">
        <f>MROUND(AO15*$B$18,AO13)</f>
        <v>0</v>
      </c>
      <c r="AP18" s="166"/>
      <c r="AQ18" s="167">
        <f t="shared" si="11"/>
        <v>0</v>
      </c>
      <c r="AR18" s="180">
        <f>MROUND(AR15*$B$18,AR13)</f>
        <v>0</v>
      </c>
      <c r="AS18" s="166"/>
      <c r="AT18" s="167">
        <f t="shared" si="12"/>
        <v>0</v>
      </c>
    </row>
    <row r="19" spans="1:46" x14ac:dyDescent="0.25">
      <c r="A19" s="171" t="s">
        <v>71</v>
      </c>
      <c r="B19" s="172">
        <f t="shared" si="13"/>
        <v>0.5</v>
      </c>
      <c r="C19" s="171">
        <v>5</v>
      </c>
      <c r="D19" s="172">
        <f t="shared" si="0"/>
        <v>2.5</v>
      </c>
      <c r="E19" s="180">
        <v>82.5</v>
      </c>
      <c r="F19" s="166">
        <v>4</v>
      </c>
      <c r="G19" s="167">
        <v>330</v>
      </c>
      <c r="H19" s="180">
        <v>67.5</v>
      </c>
      <c r="I19" s="166">
        <v>3</v>
      </c>
      <c r="J19" s="167">
        <v>202.5</v>
      </c>
      <c r="K19" s="180">
        <f>MROUND(K15*$B$19,K13)</f>
        <v>65</v>
      </c>
      <c r="L19" s="166">
        <v>4</v>
      </c>
      <c r="M19" s="167">
        <f t="shared" si="1"/>
        <v>260</v>
      </c>
      <c r="N19" s="180">
        <f>MROUND(N15*$B$19,N13)</f>
        <v>70</v>
      </c>
      <c r="O19" s="166">
        <v>4</v>
      </c>
      <c r="P19" s="167">
        <f t="shared" si="2"/>
        <v>280</v>
      </c>
      <c r="Q19" s="180">
        <f>MROUND(Q15*$B$19,Q13)</f>
        <v>82.5</v>
      </c>
      <c r="R19" s="166">
        <v>0</v>
      </c>
      <c r="S19" s="167">
        <f t="shared" si="3"/>
        <v>0</v>
      </c>
      <c r="T19" s="180">
        <f>MROUND(T15*$B$19,T13)</f>
        <v>42.5</v>
      </c>
      <c r="U19" s="166">
        <v>4</v>
      </c>
      <c r="V19" s="167">
        <f t="shared" si="4"/>
        <v>170</v>
      </c>
      <c r="W19" s="180">
        <f>MROUND(W15*$B$19,W13)</f>
        <v>42.5</v>
      </c>
      <c r="X19" s="166">
        <v>5</v>
      </c>
      <c r="Y19" s="167">
        <f t="shared" si="5"/>
        <v>212.5</v>
      </c>
      <c r="Z19" s="180">
        <f>MROUND(Z15*$B$19,Z13)</f>
        <v>50</v>
      </c>
      <c r="AA19" s="166">
        <v>3</v>
      </c>
      <c r="AB19" s="167">
        <f t="shared" si="6"/>
        <v>150</v>
      </c>
      <c r="AC19" s="180">
        <f>MROUND(AC15*$B$19,AC13)</f>
        <v>65</v>
      </c>
      <c r="AD19" s="166">
        <v>3</v>
      </c>
      <c r="AE19" s="167">
        <f t="shared" si="7"/>
        <v>195</v>
      </c>
      <c r="AF19" s="180">
        <f>MROUND(AF15*$B$19,AF13)</f>
        <v>60</v>
      </c>
      <c r="AG19" s="166">
        <v>5</v>
      </c>
      <c r="AH19" s="167">
        <f t="shared" si="8"/>
        <v>300</v>
      </c>
      <c r="AI19" s="180">
        <f>MROUND(AI15*$B$19,AI13)</f>
        <v>40</v>
      </c>
      <c r="AJ19" s="166">
        <v>4</v>
      </c>
      <c r="AK19" s="167">
        <f t="shared" si="9"/>
        <v>160</v>
      </c>
      <c r="AL19" s="180">
        <f>MROUND(AL15*$B$19,AL13)</f>
        <v>45</v>
      </c>
      <c r="AM19" s="166"/>
      <c r="AN19" s="167">
        <f t="shared" si="10"/>
        <v>0</v>
      </c>
      <c r="AO19" s="180">
        <f>MROUND(AO15*$B$19,AO13)</f>
        <v>0</v>
      </c>
      <c r="AP19" s="166"/>
      <c r="AQ19" s="167">
        <f t="shared" si="11"/>
        <v>0</v>
      </c>
      <c r="AR19" s="180">
        <f>MROUND(AR15*$B$19,AR13)</f>
        <v>0</v>
      </c>
      <c r="AS19" s="166"/>
      <c r="AT19" s="167">
        <f t="shared" si="12"/>
        <v>0</v>
      </c>
    </row>
    <row r="20" spans="1:46" x14ac:dyDescent="0.25">
      <c r="A20" s="171" t="s">
        <v>72</v>
      </c>
      <c r="B20" s="172">
        <f t="shared" si="13"/>
        <v>0.5</v>
      </c>
      <c r="C20" s="171">
        <v>5</v>
      </c>
      <c r="D20" s="172">
        <f t="shared" si="0"/>
        <v>2.5</v>
      </c>
      <c r="E20" s="180">
        <v>82.5</v>
      </c>
      <c r="F20" s="166">
        <v>3</v>
      </c>
      <c r="G20" s="167">
        <v>247.5</v>
      </c>
      <c r="H20" s="180">
        <v>67.5</v>
      </c>
      <c r="I20" s="166">
        <v>4</v>
      </c>
      <c r="J20" s="167">
        <v>270</v>
      </c>
      <c r="K20" s="180">
        <f>MROUND(K15*$B$20,K13)</f>
        <v>65</v>
      </c>
      <c r="L20" s="166">
        <v>3</v>
      </c>
      <c r="M20" s="167">
        <f t="shared" si="1"/>
        <v>195</v>
      </c>
      <c r="N20" s="180">
        <f>MROUND(N15*$B$20,N13)</f>
        <v>70</v>
      </c>
      <c r="O20" s="166">
        <v>5</v>
      </c>
      <c r="P20" s="167">
        <f t="shared" si="2"/>
        <v>350</v>
      </c>
      <c r="Q20" s="180">
        <f>MROUND(Q15*$B$20,Q13)</f>
        <v>82.5</v>
      </c>
      <c r="R20" s="166">
        <v>0</v>
      </c>
      <c r="S20" s="167">
        <f t="shared" si="3"/>
        <v>0</v>
      </c>
      <c r="T20" s="180">
        <f>MROUND(T15*$B$20,T13)</f>
        <v>42.5</v>
      </c>
      <c r="U20" s="166">
        <v>3</v>
      </c>
      <c r="V20" s="167">
        <f t="shared" si="4"/>
        <v>127.5</v>
      </c>
      <c r="W20" s="180">
        <f>MROUND(W15*$B$20,W13)</f>
        <v>42.5</v>
      </c>
      <c r="X20" s="166">
        <v>4</v>
      </c>
      <c r="Y20" s="167">
        <f t="shared" si="5"/>
        <v>170</v>
      </c>
      <c r="Z20" s="180">
        <f>MROUND(Z15*$B$20,Z13)</f>
        <v>50</v>
      </c>
      <c r="AA20" s="166">
        <v>3</v>
      </c>
      <c r="AB20" s="167">
        <f t="shared" si="6"/>
        <v>150</v>
      </c>
      <c r="AC20" s="180">
        <f>MROUND(AC15*$B$20,AC13)</f>
        <v>65</v>
      </c>
      <c r="AD20" s="166">
        <v>2</v>
      </c>
      <c r="AE20" s="167">
        <f t="shared" si="7"/>
        <v>130</v>
      </c>
      <c r="AF20" s="180">
        <f>MROUND(AF15*$B$20,AF13)</f>
        <v>60</v>
      </c>
      <c r="AG20" s="166">
        <v>5</v>
      </c>
      <c r="AH20" s="167">
        <f t="shared" si="8"/>
        <v>300</v>
      </c>
      <c r="AI20" s="180">
        <f>MROUND(AI15*$B$20,AI13)</f>
        <v>40</v>
      </c>
      <c r="AJ20" s="166">
        <v>3</v>
      </c>
      <c r="AK20" s="167">
        <f t="shared" si="9"/>
        <v>120</v>
      </c>
      <c r="AL20" s="180">
        <f>MROUND(AL15*$B$20,AL13)</f>
        <v>45</v>
      </c>
      <c r="AM20" s="166"/>
      <c r="AN20" s="167">
        <f t="shared" si="10"/>
        <v>0</v>
      </c>
      <c r="AO20" s="180">
        <f>MROUND(AO15*$B$20,AO13)</f>
        <v>0</v>
      </c>
      <c r="AP20" s="166"/>
      <c r="AQ20" s="167">
        <f t="shared" si="11"/>
        <v>0</v>
      </c>
      <c r="AR20" s="180">
        <f>MROUND(AR15*$B$20,AR13)</f>
        <v>0</v>
      </c>
      <c r="AS20" s="166"/>
      <c r="AT20" s="167">
        <f t="shared" si="12"/>
        <v>0</v>
      </c>
    </row>
    <row r="21" spans="1:46" x14ac:dyDescent="0.25">
      <c r="A21" s="171" t="s">
        <v>73</v>
      </c>
      <c r="B21" s="172">
        <f t="shared" si="13"/>
        <v>0.5</v>
      </c>
      <c r="C21" s="171">
        <v>5</v>
      </c>
      <c r="D21" s="172">
        <f t="shared" si="0"/>
        <v>2.5</v>
      </c>
      <c r="E21" s="180">
        <v>82.5</v>
      </c>
      <c r="F21" s="166">
        <v>3</v>
      </c>
      <c r="G21" s="167">
        <v>247.5</v>
      </c>
      <c r="H21" s="180">
        <v>67.5</v>
      </c>
      <c r="I21" s="166">
        <v>3</v>
      </c>
      <c r="J21" s="167">
        <v>202.5</v>
      </c>
      <c r="K21" s="180">
        <f>MROUND(K15*$B$21,K13)</f>
        <v>65</v>
      </c>
      <c r="L21" s="166">
        <v>3</v>
      </c>
      <c r="M21" s="167">
        <f t="shared" si="1"/>
        <v>195</v>
      </c>
      <c r="N21" s="180">
        <f>MROUND(N15*$B$21,N13)</f>
        <v>70</v>
      </c>
      <c r="O21" s="166">
        <v>6</v>
      </c>
      <c r="P21" s="167">
        <f t="shared" si="2"/>
        <v>420</v>
      </c>
      <c r="Q21" s="180">
        <f>MROUND(Q15*$B$21,Q13)</f>
        <v>82.5</v>
      </c>
      <c r="R21" s="166">
        <v>0</v>
      </c>
      <c r="S21" s="167">
        <f t="shared" si="3"/>
        <v>0</v>
      </c>
      <c r="T21" s="180">
        <f>MROUND(T15*$B$21,T13)</f>
        <v>42.5</v>
      </c>
      <c r="U21" s="166">
        <v>3</v>
      </c>
      <c r="V21" s="167">
        <f t="shared" si="4"/>
        <v>127.5</v>
      </c>
      <c r="W21" s="180">
        <f>MROUND(W15*$B$21,W13)</f>
        <v>42.5</v>
      </c>
      <c r="X21" s="166">
        <v>4</v>
      </c>
      <c r="Y21" s="167">
        <f t="shared" si="5"/>
        <v>170</v>
      </c>
      <c r="Z21" s="180">
        <f>MROUND(Z15*$B$21,Z13)</f>
        <v>50</v>
      </c>
      <c r="AA21" s="166">
        <v>3</v>
      </c>
      <c r="AB21" s="167">
        <f t="shared" si="6"/>
        <v>150</v>
      </c>
      <c r="AC21" s="180">
        <f>MROUND(AC15*$B$21,AC13)</f>
        <v>65</v>
      </c>
      <c r="AD21" s="166">
        <v>0</v>
      </c>
      <c r="AE21" s="167">
        <f t="shared" si="7"/>
        <v>0</v>
      </c>
      <c r="AF21" s="180">
        <f>MROUND(AF15*$B$21,AF13)</f>
        <v>60</v>
      </c>
      <c r="AG21" s="166">
        <v>4</v>
      </c>
      <c r="AH21" s="167">
        <f t="shared" si="8"/>
        <v>240</v>
      </c>
      <c r="AI21" s="180">
        <f>MROUND(AI15*$B$21,AI13)</f>
        <v>40</v>
      </c>
      <c r="AJ21" s="166">
        <v>4</v>
      </c>
      <c r="AK21" s="167">
        <f t="shared" si="9"/>
        <v>160</v>
      </c>
      <c r="AL21" s="180">
        <f>MROUND(AL15*$B$21,AL13)</f>
        <v>45</v>
      </c>
      <c r="AM21" s="166"/>
      <c r="AN21" s="167">
        <f t="shared" si="10"/>
        <v>0</v>
      </c>
      <c r="AO21" s="180">
        <f>MROUND(AO15*$B$21,AO13)</f>
        <v>0</v>
      </c>
      <c r="AP21" s="166"/>
      <c r="AQ21" s="167">
        <f t="shared" si="11"/>
        <v>0</v>
      </c>
      <c r="AR21" s="180">
        <f>MROUND(AR15*$B$21,AR13)</f>
        <v>0</v>
      </c>
      <c r="AS21" s="166"/>
      <c r="AT21" s="167">
        <f t="shared" si="12"/>
        <v>0</v>
      </c>
    </row>
    <row r="22" spans="1:46" x14ac:dyDescent="0.25">
      <c r="A22" s="171" t="s">
        <v>74</v>
      </c>
      <c r="B22" s="172">
        <f t="shared" si="13"/>
        <v>0.5</v>
      </c>
      <c r="C22" s="171">
        <v>5</v>
      </c>
      <c r="D22" s="172">
        <f t="shared" si="0"/>
        <v>2.5</v>
      </c>
      <c r="E22" s="180">
        <v>82.5</v>
      </c>
      <c r="F22" s="166">
        <v>2</v>
      </c>
      <c r="G22" s="167">
        <v>165</v>
      </c>
      <c r="H22" s="180">
        <v>67.5</v>
      </c>
      <c r="I22" s="166">
        <v>4</v>
      </c>
      <c r="J22" s="167">
        <v>270</v>
      </c>
      <c r="K22" s="180">
        <f>MROUND(K15*$B$22,K13)</f>
        <v>65</v>
      </c>
      <c r="L22" s="166">
        <v>3</v>
      </c>
      <c r="M22" s="167">
        <f t="shared" si="1"/>
        <v>195</v>
      </c>
      <c r="N22" s="180">
        <f>MROUND(N15*$B$22,N13)</f>
        <v>70</v>
      </c>
      <c r="O22" s="166">
        <v>6</v>
      </c>
      <c r="P22" s="167">
        <f t="shared" si="2"/>
        <v>420</v>
      </c>
      <c r="Q22" s="180">
        <f>MROUND(Q15*$B$22,Q13)</f>
        <v>82.5</v>
      </c>
      <c r="R22" s="166">
        <v>0</v>
      </c>
      <c r="S22" s="167">
        <f t="shared" si="3"/>
        <v>0</v>
      </c>
      <c r="T22" s="180">
        <f>MROUND(T15*$B$22,T13)</f>
        <v>42.5</v>
      </c>
      <c r="U22" s="166">
        <v>3</v>
      </c>
      <c r="V22" s="167">
        <f t="shared" si="4"/>
        <v>127.5</v>
      </c>
      <c r="W22" s="180">
        <f>MROUND(W15*$B$22,W13)</f>
        <v>42.5</v>
      </c>
      <c r="X22" s="166">
        <v>4</v>
      </c>
      <c r="Y22" s="167">
        <f t="shared" si="5"/>
        <v>170</v>
      </c>
      <c r="Z22" s="180">
        <f>MROUND(Z15*$B$22,Z13)</f>
        <v>50</v>
      </c>
      <c r="AA22" s="166">
        <v>4</v>
      </c>
      <c r="AB22" s="167">
        <f t="shared" si="6"/>
        <v>200</v>
      </c>
      <c r="AC22" s="180">
        <f>MROUND(AC15*$B$22,AC13)</f>
        <v>65</v>
      </c>
      <c r="AD22" s="166">
        <v>0</v>
      </c>
      <c r="AE22" s="167">
        <f t="shared" si="7"/>
        <v>0</v>
      </c>
      <c r="AF22" s="180">
        <f>MROUND(AF15*$B$22,AF13)</f>
        <v>60</v>
      </c>
      <c r="AG22" s="166">
        <v>4</v>
      </c>
      <c r="AH22" s="167">
        <f t="shared" si="8"/>
        <v>240</v>
      </c>
      <c r="AI22" s="180">
        <f>MROUND(AI15*$B$22,AI13)</f>
        <v>40</v>
      </c>
      <c r="AJ22" s="166">
        <v>4</v>
      </c>
      <c r="AK22" s="167">
        <f t="shared" si="9"/>
        <v>160</v>
      </c>
      <c r="AL22" s="180">
        <f>MROUND(AL15*$B$22,AL13)</f>
        <v>45</v>
      </c>
      <c r="AM22" s="166"/>
      <c r="AN22" s="167">
        <f t="shared" si="10"/>
        <v>0</v>
      </c>
      <c r="AO22" s="180">
        <f>MROUND(AO15*$B$22,AO13)</f>
        <v>0</v>
      </c>
      <c r="AP22" s="166"/>
      <c r="AQ22" s="167">
        <f t="shared" si="11"/>
        <v>0</v>
      </c>
      <c r="AR22" s="180">
        <f>MROUND(AR15*$B$22,AR13)</f>
        <v>0</v>
      </c>
      <c r="AS22" s="166"/>
      <c r="AT22" s="167">
        <f t="shared" si="12"/>
        <v>0</v>
      </c>
    </row>
    <row r="23" spans="1:46" x14ac:dyDescent="0.25">
      <c r="A23" s="171" t="s">
        <v>75</v>
      </c>
      <c r="B23" s="172">
        <f t="shared" si="13"/>
        <v>0.5</v>
      </c>
      <c r="C23" s="171">
        <v>5</v>
      </c>
      <c r="D23" s="172">
        <f t="shared" si="0"/>
        <v>2.5</v>
      </c>
      <c r="E23" s="180">
        <v>82.5</v>
      </c>
      <c r="F23" s="166">
        <v>0</v>
      </c>
      <c r="G23" s="167">
        <v>0</v>
      </c>
      <c r="H23" s="180">
        <v>67.5</v>
      </c>
      <c r="I23" s="166">
        <v>4</v>
      </c>
      <c r="J23" s="167">
        <v>270</v>
      </c>
      <c r="K23" s="180">
        <f>MROUND(K15*$B$23,K13)</f>
        <v>65</v>
      </c>
      <c r="L23" s="166">
        <v>3</v>
      </c>
      <c r="M23" s="167">
        <f t="shared" si="1"/>
        <v>195</v>
      </c>
      <c r="N23" s="180">
        <f>MROUND(N15*$B$23,N13)</f>
        <v>70</v>
      </c>
      <c r="O23" s="166">
        <v>6</v>
      </c>
      <c r="P23" s="167">
        <f t="shared" si="2"/>
        <v>420</v>
      </c>
      <c r="Q23" s="180">
        <f>MROUND(Q15*$B$23,Q13)</f>
        <v>82.5</v>
      </c>
      <c r="R23" s="166">
        <v>0</v>
      </c>
      <c r="S23" s="167">
        <f t="shared" si="3"/>
        <v>0</v>
      </c>
      <c r="T23" s="180">
        <f>MROUND(T15*$B$23,T13)</f>
        <v>42.5</v>
      </c>
      <c r="U23" s="166">
        <v>3</v>
      </c>
      <c r="V23" s="167">
        <f t="shared" si="4"/>
        <v>127.5</v>
      </c>
      <c r="W23" s="180">
        <f>MROUND(W15*$B$23,W13)</f>
        <v>42.5</v>
      </c>
      <c r="X23" s="166">
        <v>3</v>
      </c>
      <c r="Y23" s="167">
        <f t="shared" si="5"/>
        <v>127.5</v>
      </c>
      <c r="Z23" s="180">
        <f>MROUND(Z15*$B$23,Z13)</f>
        <v>50</v>
      </c>
      <c r="AA23" s="166">
        <v>4</v>
      </c>
      <c r="AB23" s="167">
        <f t="shared" si="6"/>
        <v>200</v>
      </c>
      <c r="AC23" s="180">
        <f>MROUND(AC15*$B$23,AC13)</f>
        <v>65</v>
      </c>
      <c r="AD23" s="166">
        <v>0</v>
      </c>
      <c r="AE23" s="167">
        <f t="shared" si="7"/>
        <v>0</v>
      </c>
      <c r="AF23" s="180">
        <f>MROUND(AF15*$B$23,AF13)</f>
        <v>60</v>
      </c>
      <c r="AG23" s="166">
        <v>3</v>
      </c>
      <c r="AH23" s="167">
        <f t="shared" si="8"/>
        <v>180</v>
      </c>
      <c r="AI23" s="180">
        <f>MROUND(AI15*$B$23,AI13)</f>
        <v>40</v>
      </c>
      <c r="AJ23" s="166">
        <v>3</v>
      </c>
      <c r="AK23" s="167">
        <f t="shared" si="9"/>
        <v>120</v>
      </c>
      <c r="AL23" s="180">
        <f>MROUND(AL15*$B$23,AL13)</f>
        <v>45</v>
      </c>
      <c r="AM23" s="166"/>
      <c r="AN23" s="167">
        <f t="shared" si="10"/>
        <v>0</v>
      </c>
      <c r="AO23" s="180">
        <f>MROUND(AO15*$B$23,AO13)</f>
        <v>0</v>
      </c>
      <c r="AP23" s="166"/>
      <c r="AQ23" s="167">
        <f t="shared" si="11"/>
        <v>0</v>
      </c>
      <c r="AR23" s="180">
        <f>MROUND(AR15*$B$23,AR13)</f>
        <v>0</v>
      </c>
      <c r="AS23" s="166"/>
      <c r="AT23" s="167">
        <f t="shared" si="12"/>
        <v>0</v>
      </c>
    </row>
    <row r="24" spans="1:46" x14ac:dyDescent="0.25">
      <c r="A24" s="171" t="s">
        <v>76</v>
      </c>
      <c r="B24" s="171">
        <f>IF($A$12="하",0,B23)</f>
        <v>0.5</v>
      </c>
      <c r="C24" s="171">
        <f>IF($A$12="하",0,5)</f>
        <v>5</v>
      </c>
      <c r="D24" s="172">
        <f t="shared" si="0"/>
        <v>2.5</v>
      </c>
      <c r="E24" s="180">
        <v>82.5</v>
      </c>
      <c r="F24" s="166">
        <v>0</v>
      </c>
      <c r="G24" s="167">
        <v>0</v>
      </c>
      <c r="H24" s="180">
        <v>67.5</v>
      </c>
      <c r="I24" s="166">
        <v>4</v>
      </c>
      <c r="J24" s="167">
        <v>270</v>
      </c>
      <c r="K24" s="180">
        <f>MROUND(K15*$B$24,K13)</f>
        <v>65</v>
      </c>
      <c r="L24" s="166">
        <v>2</v>
      </c>
      <c r="M24" s="167">
        <f t="shared" si="1"/>
        <v>130</v>
      </c>
      <c r="N24" s="180">
        <f>MROUND(N15*$B$24,N13)</f>
        <v>70</v>
      </c>
      <c r="O24" s="166">
        <v>5</v>
      </c>
      <c r="P24" s="167">
        <f t="shared" si="2"/>
        <v>350</v>
      </c>
      <c r="Q24" s="180">
        <f>MROUND(Q15*$B$24,Q13)</f>
        <v>82.5</v>
      </c>
      <c r="R24" s="166">
        <v>0</v>
      </c>
      <c r="S24" s="167">
        <f t="shared" si="3"/>
        <v>0</v>
      </c>
      <c r="T24" s="180">
        <f>MROUND(T15*$B$24,T13)</f>
        <v>42.5</v>
      </c>
      <c r="U24" s="166">
        <v>3</v>
      </c>
      <c r="V24" s="167">
        <f t="shared" si="4"/>
        <v>127.5</v>
      </c>
      <c r="W24" s="180">
        <f>MROUND(W15*$B$24,W13)</f>
        <v>42.5</v>
      </c>
      <c r="X24" s="166">
        <v>3</v>
      </c>
      <c r="Y24" s="167">
        <f t="shared" si="5"/>
        <v>127.5</v>
      </c>
      <c r="Z24" s="180">
        <f>MROUND(Z15*$B$24,Z13)</f>
        <v>50</v>
      </c>
      <c r="AA24" s="166">
        <v>4</v>
      </c>
      <c r="AB24" s="167">
        <f t="shared" si="6"/>
        <v>200</v>
      </c>
      <c r="AC24" s="180">
        <f>MROUND(AC15*$B$24,AC13)</f>
        <v>65</v>
      </c>
      <c r="AD24" s="166">
        <v>0</v>
      </c>
      <c r="AE24" s="167">
        <f t="shared" si="7"/>
        <v>0</v>
      </c>
      <c r="AF24" s="180">
        <f>MROUND(AF15*$B$24,AF13)</f>
        <v>60</v>
      </c>
      <c r="AG24" s="166">
        <v>3</v>
      </c>
      <c r="AH24" s="167">
        <f t="shared" si="8"/>
        <v>180</v>
      </c>
      <c r="AI24" s="180">
        <f>MROUND(AI15*$B$24,AI13)</f>
        <v>40</v>
      </c>
      <c r="AJ24" s="166">
        <v>3</v>
      </c>
      <c r="AK24" s="167">
        <f t="shared" si="9"/>
        <v>120</v>
      </c>
      <c r="AL24" s="180">
        <f>MROUND(AL15*$B$24,AL13)</f>
        <v>45</v>
      </c>
      <c r="AM24" s="166"/>
      <c r="AN24" s="167">
        <f t="shared" si="10"/>
        <v>0</v>
      </c>
      <c r="AO24" s="180">
        <f>MROUND(AO15*$B$24,AO13)</f>
        <v>0</v>
      </c>
      <c r="AP24" s="166"/>
      <c r="AQ24" s="167">
        <f t="shared" si="11"/>
        <v>0</v>
      </c>
      <c r="AR24" s="180">
        <f>MROUND(AR15*$B$24,AR13)</f>
        <v>0</v>
      </c>
      <c r="AS24" s="166"/>
      <c r="AT24" s="167">
        <f t="shared" si="12"/>
        <v>0</v>
      </c>
    </row>
    <row r="25" spans="1:46" x14ac:dyDescent="0.25">
      <c r="A25" s="171" t="s">
        <v>77</v>
      </c>
      <c r="B25" s="171">
        <f>IF($A$12="하",0,B24)</f>
        <v>0.5</v>
      </c>
      <c r="C25" s="171">
        <f>IF($A$12="하",0,5)</f>
        <v>5</v>
      </c>
      <c r="D25" s="172">
        <f t="shared" si="0"/>
        <v>2.5</v>
      </c>
      <c r="E25" s="180">
        <v>82.5</v>
      </c>
      <c r="F25" s="166">
        <v>0</v>
      </c>
      <c r="G25" s="167">
        <v>0</v>
      </c>
      <c r="H25" s="180">
        <v>67.5</v>
      </c>
      <c r="I25" s="166">
        <v>3</v>
      </c>
      <c r="J25" s="167">
        <v>202.5</v>
      </c>
      <c r="K25" s="180">
        <f>MROUND(K24*$B$16,K22)</f>
        <v>65</v>
      </c>
      <c r="L25" s="166">
        <v>0</v>
      </c>
      <c r="M25" s="167">
        <f t="shared" si="1"/>
        <v>0</v>
      </c>
      <c r="N25" s="180">
        <f>MROUND(N24*$B$16,N22)</f>
        <v>70</v>
      </c>
      <c r="O25" s="166">
        <v>4</v>
      </c>
      <c r="P25" s="167">
        <f t="shared" si="2"/>
        <v>280</v>
      </c>
      <c r="Q25" s="180">
        <f>MROUND(Q15*$B$25,Q13)</f>
        <v>82.5</v>
      </c>
      <c r="R25" s="166">
        <v>0</v>
      </c>
      <c r="S25" s="167">
        <f t="shared" si="3"/>
        <v>0</v>
      </c>
      <c r="T25" s="180">
        <f>MROUND(T15*$B$25,T13)</f>
        <v>42.5</v>
      </c>
      <c r="U25" s="166">
        <v>3</v>
      </c>
      <c r="V25" s="167">
        <f t="shared" si="4"/>
        <v>127.5</v>
      </c>
      <c r="W25" s="180">
        <f>MROUND(W15*$B$25,W13)</f>
        <v>42.5</v>
      </c>
      <c r="X25" s="166">
        <v>3</v>
      </c>
      <c r="Y25" s="167">
        <f t="shared" si="5"/>
        <v>127.5</v>
      </c>
      <c r="Z25" s="180">
        <f>MROUND(Z15*$B$25,Z13)</f>
        <v>50</v>
      </c>
      <c r="AA25" s="166">
        <v>3</v>
      </c>
      <c r="AB25" s="167">
        <f t="shared" si="6"/>
        <v>150</v>
      </c>
      <c r="AC25" s="180">
        <f>MROUND(AC15*$B$25,AC13)</f>
        <v>65</v>
      </c>
      <c r="AD25" s="166">
        <v>0</v>
      </c>
      <c r="AE25" s="167">
        <f t="shared" si="7"/>
        <v>0</v>
      </c>
      <c r="AF25" s="180">
        <f>MROUND(AF15*$B$25,AF13)</f>
        <v>60</v>
      </c>
      <c r="AG25" s="166">
        <v>3</v>
      </c>
      <c r="AH25" s="167">
        <f t="shared" si="8"/>
        <v>180</v>
      </c>
      <c r="AI25" s="180">
        <f>MROUND(AI15*$B$25,AI13)</f>
        <v>40</v>
      </c>
      <c r="AJ25" s="166">
        <v>3</v>
      </c>
      <c r="AK25" s="167">
        <f t="shared" si="9"/>
        <v>120</v>
      </c>
      <c r="AL25" s="180">
        <f>MROUND(AL15*$B$25,AL13)</f>
        <v>45</v>
      </c>
      <c r="AM25" s="166"/>
      <c r="AN25" s="167">
        <f t="shared" si="10"/>
        <v>0</v>
      </c>
      <c r="AO25" s="180">
        <f>MROUND(AO15*$B$25,AO13)</f>
        <v>0</v>
      </c>
      <c r="AP25" s="166"/>
      <c r="AQ25" s="167">
        <f t="shared" si="11"/>
        <v>0</v>
      </c>
      <c r="AR25" s="180">
        <f>MROUND(AR15*$B$25,AR13)</f>
        <v>0</v>
      </c>
      <c r="AS25" s="166"/>
      <c r="AT25" s="167">
        <f t="shared" si="12"/>
        <v>0</v>
      </c>
    </row>
    <row r="26" spans="1:46" ht="17.25" thickBot="1" x14ac:dyDescent="0.3">
      <c r="A26" s="171" t="s">
        <v>87</v>
      </c>
      <c r="B26" s="171">
        <f>IFERROR(D26/C26/(1-$E$10*C26),0)</f>
        <v>1</v>
      </c>
      <c r="C26" s="173">
        <f>SUM(C16:C25)</f>
        <v>50</v>
      </c>
      <c r="D26" s="172">
        <f>SUM(D15:D25)</f>
        <v>25</v>
      </c>
      <c r="E26" s="181">
        <f>IFERROR(G26/F26/(1-$E$10*F26),0)</f>
        <v>114.58333333333334</v>
      </c>
      <c r="F26" s="168">
        <f>SUM(F16:F25)</f>
        <v>28</v>
      </c>
      <c r="G26" s="169">
        <f>SUM(G16:G25)</f>
        <v>2310</v>
      </c>
      <c r="H26" s="181">
        <f>IFERROR(J26/I26/(1-$E$10*I26),0)</f>
        <v>143.61702127659575</v>
      </c>
      <c r="I26" s="168">
        <f>SUM(I16:I25)</f>
        <v>53</v>
      </c>
      <c r="J26" s="169">
        <f>SUM(J16:J25)</f>
        <v>3577.5</v>
      </c>
      <c r="K26" s="181">
        <f>IFERROR(M26/L26/(1-$E$10*L26),0)</f>
        <v>141.30434782608697</v>
      </c>
      <c r="L26" s="168">
        <f>SUM(L16:L25)</f>
        <v>54</v>
      </c>
      <c r="M26" s="169">
        <f>SUM(M16:M25)</f>
        <v>3510</v>
      </c>
      <c r="N26" s="181">
        <f>IFERROR(P26/O26/(1-$E$10*O26),0)</f>
        <v>166.66666666666666</v>
      </c>
      <c r="O26" s="168">
        <f>SUM(O16:O25)</f>
        <v>58</v>
      </c>
      <c r="P26" s="169">
        <f>SUM(P16:P25)</f>
        <v>4060</v>
      </c>
      <c r="Q26" s="181">
        <f>IFERROR(S26/R26/(1-$E$10*R26),0)</f>
        <v>89.673913043478251</v>
      </c>
      <c r="R26" s="168">
        <f>SUM(R15:R25)</f>
        <v>8</v>
      </c>
      <c r="S26" s="168">
        <f>SUM(S15:S25)</f>
        <v>660</v>
      </c>
      <c r="T26" s="181">
        <f>IFERROR(V26/U26/(1-$E$10*U26),0)</f>
        <v>86.7</v>
      </c>
      <c r="U26" s="168">
        <f>SUM(U15:U25)</f>
        <v>50</v>
      </c>
      <c r="V26" s="168">
        <f>SUM(V15:V25)</f>
        <v>2167.5</v>
      </c>
      <c r="W26" s="181">
        <f>IFERROR(Y26/X26/(1-$E$10*X26),0)</f>
        <v>98.83720930232559</v>
      </c>
      <c r="X26" s="168">
        <f>SUM(X15:X25)</f>
        <v>57</v>
      </c>
      <c r="Y26" s="168">
        <f>SUM(Y15:Y25)</f>
        <v>2422.5</v>
      </c>
      <c r="Z26" s="181">
        <f>IFERROR(AB26/AA26/(1-$E$10*AA26),0)</f>
        <v>89.285714285714278</v>
      </c>
      <c r="AA26" s="168">
        <f>SUM(AA15:AA25)</f>
        <v>44</v>
      </c>
      <c r="AB26" s="168">
        <f>SUM(AB15:AB25)</f>
        <v>2200</v>
      </c>
      <c r="AC26" s="181">
        <f>IFERROR(AE26/AD26/(1-$E$10*AD26),0)</f>
        <v>118.70941558441558</v>
      </c>
      <c r="AD26" s="168">
        <f>SUM(AD15:AD25)</f>
        <v>44</v>
      </c>
      <c r="AE26" s="168">
        <f>SUM(AE15:AE25)</f>
        <v>2925</v>
      </c>
      <c r="AF26" s="181">
        <f>IFERROR(AH26/AG26/(1-$E$10*AG26),0)</f>
        <v>171.42857142857144</v>
      </c>
      <c r="AG26" s="168">
        <f>SUM(AG15:AG25)</f>
        <v>65</v>
      </c>
      <c r="AH26" s="168">
        <f>SUM(AH15:AH25)</f>
        <v>3900</v>
      </c>
      <c r="AI26" s="181">
        <f>IFERROR(AK26/AJ26/(1-$E$10*AJ26),0)</f>
        <v>88.566827697262482</v>
      </c>
      <c r="AJ26" s="168">
        <f>SUM(AJ15:AJ25)</f>
        <v>54</v>
      </c>
      <c r="AK26" s="168">
        <f>SUM(AK15:AK25)</f>
        <v>2200</v>
      </c>
      <c r="AL26" s="181">
        <f>IFERROR(AN26/AM26/(1-$E$10*AM26),0)</f>
        <v>0</v>
      </c>
      <c r="AM26" s="168">
        <f>SUM(AM15:AM25)</f>
        <v>0</v>
      </c>
      <c r="AN26" s="168">
        <f>SUM(AN15:AN25)</f>
        <v>0</v>
      </c>
      <c r="AO26" s="181">
        <f>IFERROR(AQ26/AP26/(1-$E$10*AP26),0)</f>
        <v>0</v>
      </c>
      <c r="AP26" s="168">
        <f>SUM(AP15:AP25)</f>
        <v>0</v>
      </c>
      <c r="AQ26" s="168">
        <f>SUM(AQ15:AQ25)</f>
        <v>0</v>
      </c>
      <c r="AR26" s="181">
        <f>IFERROR(AT26/AS26/(1-$E$10*AS26),0)</f>
        <v>0</v>
      </c>
      <c r="AS26" s="168">
        <f>SUM(AS15:AS25)</f>
        <v>0</v>
      </c>
      <c r="AT26" s="168">
        <f>SUM(AT15:AT25)</f>
        <v>0</v>
      </c>
    </row>
    <row r="27" spans="1:46" s="184" customFormat="1" x14ac:dyDescent="0.25">
      <c r="A27" s="183">
        <f ca="1">ROUNDUP((TODAY()-A11+1)/7,0)</f>
        <v>11</v>
      </c>
    </row>
  </sheetData>
  <phoneticPr fontId="8" alignment="center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A23D-E536-744F-8C96-19861E159BA6}">
  <sheetPr>
    <tabColor theme="0"/>
  </sheetPr>
  <dimension ref="A1:AQ27"/>
  <sheetViews>
    <sheetView zoomScaleNormal="60" zoomScaleSheetLayoutView="100" workbookViewId="0">
      <pane xSplit="4" ySplit="13" topLeftCell="E14" activePane="bottomRight" state="frozen"/>
      <selection activeCell="F15" sqref="F15"/>
      <selection pane="bottomLeft" activeCell="A13" sqref="A13"/>
      <selection pane="topRight" activeCell="E1" sqref="E1"/>
      <selection pane="bottomRight" activeCell="H46" sqref="H46"/>
    </sheetView>
  </sheetViews>
  <sheetFormatPr defaultColWidth="4.94921875" defaultRowHeight="16.5" x14ac:dyDescent="0.25"/>
  <cols>
    <col min="1" max="1" width="10.76953125" customWidth="1"/>
    <col min="2" max="4" width="4.94921875" hidden="1" customWidth="1"/>
    <col min="5" max="5" width="6.8046875" bestFit="1" customWidth="1"/>
    <col min="7" max="8" width="6.8046875" bestFit="1" customWidth="1"/>
    <col min="9" max="9" width="5.19921875" bestFit="1" customWidth="1"/>
    <col min="11" max="11" width="6.8046875" bestFit="1" customWidth="1"/>
    <col min="12" max="12" width="5.19921875" bestFit="1" customWidth="1"/>
    <col min="14" max="14" width="6.8046875" bestFit="1" customWidth="1"/>
    <col min="15" max="15" width="5.19921875" bestFit="1" customWidth="1"/>
    <col min="17" max="17" width="6.8046875" bestFit="1" customWidth="1"/>
    <col min="18" max="18" width="5.19921875" bestFit="1" customWidth="1"/>
    <col min="20" max="20" width="6.8046875" bestFit="1" customWidth="1"/>
    <col min="21" max="21" width="5.19921875" bestFit="1" customWidth="1"/>
    <col min="23" max="23" width="6.8046875" bestFit="1" customWidth="1"/>
    <col min="24" max="24" width="5.19921875" bestFit="1" customWidth="1"/>
    <col min="26" max="26" width="6.8046875" bestFit="1" customWidth="1"/>
    <col min="27" max="27" width="5.19921875" bestFit="1" customWidth="1"/>
    <col min="29" max="29" width="6.8046875" bestFit="1" customWidth="1"/>
    <col min="30" max="30" width="5.19921875" bestFit="1" customWidth="1"/>
    <col min="32" max="32" width="6.8046875" bestFit="1" customWidth="1"/>
    <col min="33" max="33" width="5.19921875" bestFit="1" customWidth="1"/>
    <col min="34" max="34" width="4.94921875" bestFit="1" customWidth="1"/>
    <col min="35" max="35" width="5.4453125" bestFit="1" customWidth="1"/>
    <col min="36" max="36" width="5.19921875" bestFit="1" customWidth="1"/>
    <col min="38" max="38" width="6.8046875" bestFit="1" customWidth="1"/>
    <col min="39" max="39" width="5.19921875" bestFit="1" customWidth="1"/>
    <col min="41" max="41" width="6.8046875" bestFit="1" customWidth="1"/>
    <col min="42" max="42" width="5.19921875" bestFit="1" customWidth="1"/>
  </cols>
  <sheetData>
    <row r="1" spans="1:43" ht="16.5" hidden="1" customHeight="1" x14ac:dyDescent="0.25">
      <c r="A1" s="139">
        <v>1</v>
      </c>
      <c r="B1">
        <v>2</v>
      </c>
      <c r="C1">
        <v>3</v>
      </c>
      <c r="F1" t="s">
        <v>16</v>
      </c>
      <c r="G1">
        <f>B1</f>
        <v>2</v>
      </c>
    </row>
    <row r="2" spans="1:43" ht="16.5" hidden="1" customHeight="1" x14ac:dyDescent="0.25">
      <c r="A2" s="139" t="s">
        <v>60</v>
      </c>
      <c r="B2" t="s">
        <v>16</v>
      </c>
      <c r="C2" t="s">
        <v>8</v>
      </c>
      <c r="D2" s="139" t="s">
        <v>60</v>
      </c>
      <c r="E2" t="str">
        <f>VLOOKUP(D2,$A$2:$C$10,$B$12,0)</f>
        <v>하</v>
      </c>
      <c r="F2" t="s">
        <v>8</v>
      </c>
      <c r="G2">
        <f>C1</f>
        <v>3</v>
      </c>
    </row>
    <row r="3" spans="1:43" ht="59.25" hidden="1" customHeight="1" x14ac:dyDescent="0.25">
      <c r="A3" s="139" t="s">
        <v>65</v>
      </c>
      <c r="B3">
        <v>300</v>
      </c>
      <c r="C3">
        <v>240</v>
      </c>
      <c r="D3" s="139" t="s">
        <v>65</v>
      </c>
      <c r="E3">
        <f>VLOOKUP(D3,$A$2:$C$10,$B$12,0)</f>
        <v>240</v>
      </c>
    </row>
    <row r="4" spans="1:43" ht="59.25" hidden="1" customHeight="1" x14ac:dyDescent="0.25">
      <c r="A4" s="139" t="s">
        <v>66</v>
      </c>
      <c r="B4">
        <v>200</v>
      </c>
      <c r="C4">
        <v>160</v>
      </c>
      <c r="D4" s="139" t="s">
        <v>66</v>
      </c>
      <c r="E4">
        <f>VLOOKUP(D4,$A$2:$C$10,$B$12,0)</f>
        <v>160</v>
      </c>
    </row>
    <row r="5" spans="1:43" ht="59.25" hidden="1" customHeight="1" x14ac:dyDescent="0.25">
      <c r="A5" s="139" t="s">
        <v>61</v>
      </c>
      <c r="B5">
        <f>B3/4</f>
        <v>75</v>
      </c>
      <c r="C5">
        <f>C3/4</f>
        <v>60</v>
      </c>
      <c r="D5" s="139" t="s">
        <v>61</v>
      </c>
      <c r="E5">
        <f>VLOOKUP(D5,$A$2:$C$10,$B$12,0)</f>
        <v>60</v>
      </c>
    </row>
    <row r="6" spans="1:43" ht="59.25" hidden="1" customHeight="1" x14ac:dyDescent="0.25">
      <c r="A6" s="139" t="s">
        <v>62</v>
      </c>
      <c r="B6">
        <f>B4/4</f>
        <v>50</v>
      </c>
      <c r="C6">
        <f>C4/4</f>
        <v>40</v>
      </c>
      <c r="D6" s="139" t="s">
        <v>62</v>
      </c>
      <c r="E6">
        <f>VLOOKUP(D6,$A$2:$C$10,$B$12,0)</f>
        <v>40</v>
      </c>
    </row>
    <row r="7" spans="1:43" ht="30" hidden="1" customHeight="1" x14ac:dyDescent="0.25">
      <c r="A7" s="139" t="s">
        <v>63</v>
      </c>
      <c r="B7">
        <v>5</v>
      </c>
      <c r="C7">
        <v>5</v>
      </c>
      <c r="D7" s="139" t="s">
        <v>63</v>
      </c>
      <c r="E7">
        <f>VLOOKUP(D7,$A$2:$C$10,$B$12,0)</f>
        <v>5</v>
      </c>
    </row>
    <row r="8" spans="1:43" ht="30" hidden="1" customHeight="1" x14ac:dyDescent="0.25">
      <c r="A8" s="139" t="s">
        <v>64</v>
      </c>
      <c r="B8">
        <f>B6/B7</f>
        <v>10</v>
      </c>
      <c r="C8">
        <f>C6/C7</f>
        <v>8</v>
      </c>
      <c r="D8" s="139" t="s">
        <v>64</v>
      </c>
      <c r="E8">
        <f>VLOOKUP(D8,$A$2:$C$10,$B$12,0)</f>
        <v>8</v>
      </c>
    </row>
    <row r="9" spans="1:43" ht="30" hidden="1" customHeight="1" x14ac:dyDescent="0.25">
      <c r="A9" s="139" t="s">
        <v>67</v>
      </c>
      <c r="B9" s="160">
        <f>(1-B10*B6)</f>
        <v>0.5</v>
      </c>
      <c r="C9" s="160">
        <f>(1-C10*C6)</f>
        <v>0.5</v>
      </c>
      <c r="D9" s="139" t="s">
        <v>67</v>
      </c>
      <c r="E9" s="160">
        <f>VLOOKUP(D9,$A$2:$C$10,$B$12,0)</f>
        <v>0.5</v>
      </c>
    </row>
    <row r="10" spans="1:43" ht="16.5" hidden="1" customHeight="1" x14ac:dyDescent="0.25">
      <c r="A10" s="139" t="s">
        <v>80</v>
      </c>
      <c r="B10" s="186">
        <f>50%/B6</f>
        <v>0.01</v>
      </c>
      <c r="C10" s="186">
        <f>50%/C6</f>
        <v>1.2500000000000001E-2</v>
      </c>
      <c r="D10" s="139" t="s">
        <v>80</v>
      </c>
      <c r="E10" s="161">
        <f>VLOOKUP(D10,$A$2:$C$10,$B$12,0)</f>
        <v>1.2500000000000001E-2</v>
      </c>
    </row>
    <row r="11" spans="1:43" ht="16.5" customHeight="1" x14ac:dyDescent="0.25">
      <c r="A11" s="182">
        <v>45767</v>
      </c>
      <c r="B11" s="161"/>
      <c r="C11" s="161"/>
      <c r="D11" s="139"/>
      <c r="E11" s="185">
        <v>1</v>
      </c>
      <c r="F11" s="184" t="str">
        <f ca="1">IF($A$27&lt;=E11,"MIN","")</f>
        <v/>
      </c>
      <c r="G11" s="184">
        <f ca="1">IF($A$27&lt;E11,0,$E$6*E11-G13)</f>
        <v>10</v>
      </c>
      <c r="H11" s="185">
        <f>ROUNDUP(G13/$E$6,0)</f>
        <v>1</v>
      </c>
      <c r="I11" s="184" t="str">
        <f ca="1">IF($A$27&lt;=H11,"MIN","")</f>
        <v/>
      </c>
      <c r="J11" s="184">
        <f ca="1">IF($A$27&lt;H11,0,$E$6*H11-J13)</f>
        <v>-24</v>
      </c>
      <c r="K11" s="185">
        <f>ROUNDUP(J13/$E$6,0)</f>
        <v>2</v>
      </c>
      <c r="L11" s="184" t="str">
        <f ca="1">IF($A$27&lt;=K11,"MIN","")</f>
        <v/>
      </c>
      <c r="M11" s="184">
        <f ca="1">IF($A$27&lt;K11,0,$E$6*K11-M13)</f>
        <v>-41</v>
      </c>
      <c r="N11" s="185">
        <f>ROUNDUP(M13/$E$6,0)</f>
        <v>4</v>
      </c>
      <c r="O11" s="184" t="str">
        <f ca="1">IF($A$27&lt;=N11,"MIN","")</f>
        <v/>
      </c>
      <c r="P11" s="184">
        <f ca="1">IF($A$27&lt;N11,0,$E$6*N11-P13)</f>
        <v>0</v>
      </c>
      <c r="Q11" s="185">
        <f>ROUNDUP(P13/$E$6,0)</f>
        <v>4</v>
      </c>
      <c r="R11" s="184" t="str">
        <f ca="1">IF($A$27&lt;=Q11,"MIN","")</f>
        <v/>
      </c>
      <c r="S11" s="184">
        <f ca="1">IF($A$27&lt;Q11,0,$E$6*Q11-S13)</f>
        <v>-40</v>
      </c>
      <c r="T11" s="185">
        <f>ROUNDUP(S13/$E$6,0)</f>
        <v>5</v>
      </c>
      <c r="U11" s="184" t="str">
        <f ca="1">IF($A$27&lt;=T11,"MIN","")</f>
        <v/>
      </c>
      <c r="V11" s="184">
        <f ca="1">IF($A$27&lt;T11,0,$E$6*T11-V13)</f>
        <v>-42</v>
      </c>
      <c r="W11" s="185">
        <f>ROUNDUP(V13/$E$6,0)</f>
        <v>7</v>
      </c>
      <c r="X11" s="184" t="str">
        <f ca="1">IF($A$27&lt;=W11,"MIN","")</f>
        <v/>
      </c>
      <c r="Y11" s="184">
        <f ca="1">IF($A$27&lt;W11,0,$E$6*W11-Y13)</f>
        <v>-3</v>
      </c>
      <c r="Z11" s="185">
        <f>ROUNDUP(Y13/$E$6,0)</f>
        <v>8</v>
      </c>
      <c r="AA11" s="184" t="str">
        <f ca="1">IF($A$27&lt;=Z11,"MIN","")</f>
        <v/>
      </c>
      <c r="AB11" s="184">
        <f ca="1">IF($A$27&lt;Z11,0,$E$6*Z11-AB13)</f>
        <v>-9</v>
      </c>
      <c r="AC11" s="185">
        <f>ROUNDUP(AB13/$E$6,0)</f>
        <v>9</v>
      </c>
      <c r="AD11" s="184" t="str">
        <f ca="1">IF($A$27&lt;=AC11,"MIN","")</f>
        <v/>
      </c>
      <c r="AE11" s="184">
        <f ca="1">IF($A$27&lt;AC11,0,$E$6*AC11-AE13)</f>
        <v>-3</v>
      </c>
      <c r="AF11" s="185">
        <f>ROUNDUP(AE13/$E$6,0)</f>
        <v>10</v>
      </c>
      <c r="AG11" s="184" t="str">
        <f ca="1">IF($A$27&lt;=AF11,"MIN","")</f>
        <v/>
      </c>
      <c r="AH11" s="184">
        <f ca="1">IF($A$27&lt;AF11,0,$E$6*AF11-AH13)</f>
        <v>-8</v>
      </c>
      <c r="AI11" s="185">
        <f>ROUNDUP(AH13/$E$6,0)</f>
        <v>11</v>
      </c>
      <c r="AJ11" s="184" t="str">
        <f ca="1">IF($A$27&lt;=AI11,"MIN","")</f>
        <v>MIN</v>
      </c>
      <c r="AK11" s="184">
        <f ca="1">IF($A$27&lt;AI11,0,$E$6*AI11-AK13)</f>
        <v>31</v>
      </c>
      <c r="AL11" s="185">
        <f>ROUNDUP(AK13/$E$6,0)</f>
        <v>11</v>
      </c>
      <c r="AM11" s="184" t="str">
        <f ca="1">IF($A$27&lt;=AL11,"MIN","")</f>
        <v>MIN</v>
      </c>
      <c r="AN11" s="184">
        <f ca="1">IF($A$27&lt;AL11,0,$E$6*AL11-AN13)</f>
        <v>31</v>
      </c>
      <c r="AO11" s="185">
        <f>ROUNDUP(AN13/$E$6,0)</f>
        <v>11</v>
      </c>
      <c r="AP11" s="184" t="str">
        <f ca="1">IF($A$27&lt;=AO11,"MIN","")</f>
        <v>MIN</v>
      </c>
      <c r="AQ11" s="184">
        <f ca="1">IF($A$27&lt;AO11,0,$E$6*AO11-AQ13)</f>
        <v>31</v>
      </c>
    </row>
    <row r="12" spans="1:43" s="164" customFormat="1" x14ac:dyDescent="0.25">
      <c r="A12" s="165" t="s">
        <v>8</v>
      </c>
      <c r="B12" s="174">
        <f>VLOOKUP(A12,$F$1:$G$2,2,0)</f>
        <v>3</v>
      </c>
      <c r="C12" s="163"/>
      <c r="D12" s="162"/>
      <c r="E12"/>
      <c r="F12" s="184" t="str">
        <f ca="1">IF($A$27=E12,"MAX","")</f>
        <v/>
      </c>
      <c r="G12" s="184">
        <f>$E$5*E12-G13</f>
        <v>-30</v>
      </c>
      <c r="H12" s="185">
        <f>ROUNDUP(G13/$E$5,0)</f>
        <v>1</v>
      </c>
      <c r="I12" s="184" t="str">
        <f ca="1">IF($A$27=H12,"MAX","")</f>
        <v/>
      </c>
      <c r="J12" s="184">
        <f>$E$5*H12-J13</f>
        <v>-4</v>
      </c>
      <c r="K12" s="185">
        <f>ROUNDUP(J13/$E$5,0)</f>
        <v>2</v>
      </c>
      <c r="L12" s="184" t="str">
        <f ca="1">IF($A$27=K12,"MAX","")</f>
        <v/>
      </c>
      <c r="M12" s="184">
        <f>$E$5*K12-M13</f>
        <v>-1</v>
      </c>
      <c r="N12" s="185">
        <f>ROUNDUP(M13/$E$5,0)</f>
        <v>3</v>
      </c>
      <c r="O12" s="184" t="str">
        <f ca="1">IF($A$27=N12,"MAX","")</f>
        <v/>
      </c>
      <c r="P12" s="184">
        <f>$E$5*N12-P13</f>
        <v>20</v>
      </c>
      <c r="Q12" s="185">
        <f>ROUNDUP(P13/$E$5,0)</f>
        <v>3</v>
      </c>
      <c r="R12" s="184" t="str">
        <f ca="1">IF($A$27=Q12,"MAX","")</f>
        <v/>
      </c>
      <c r="S12" s="184">
        <f>$E$5*Q12-S13</f>
        <v>-20</v>
      </c>
      <c r="T12" s="185">
        <f>ROUNDUP(S13/$E$5,0)</f>
        <v>4</v>
      </c>
      <c r="U12" s="184" t="str">
        <f ca="1">IF($A$27=T12,"MAX","")</f>
        <v/>
      </c>
      <c r="V12" s="184">
        <f>$E$5*T12-V13</f>
        <v>-2</v>
      </c>
      <c r="W12" s="185">
        <f>ROUNDUP(V13/$E$5,0)</f>
        <v>5</v>
      </c>
      <c r="X12" s="184" t="str">
        <f ca="1">IF($A$27=W12,"MAX","")</f>
        <v/>
      </c>
      <c r="Y12" s="184">
        <f>$E$5*W12-Y13</f>
        <v>17</v>
      </c>
      <c r="Z12" s="185">
        <f>ROUNDUP(Y13/$E$5,0)</f>
        <v>5</v>
      </c>
      <c r="AA12" s="184" t="str">
        <f ca="1">IF($A$27=Z12,"MAX","")</f>
        <v/>
      </c>
      <c r="AB12" s="184">
        <f>$E$5*Z12-AB13</f>
        <v>-29</v>
      </c>
      <c r="AC12" s="185">
        <f>ROUNDUP(AB13/$E$5,0)</f>
        <v>6</v>
      </c>
      <c r="AD12" s="184" t="str">
        <f ca="1">IF($A$27=AC12,"MAX","")</f>
        <v/>
      </c>
      <c r="AE12" s="184">
        <f>$E$5*AC12-AE13</f>
        <v>-3</v>
      </c>
      <c r="AF12" s="185">
        <f>ROUNDUP(AE13/$E$5,0)</f>
        <v>7</v>
      </c>
      <c r="AG12" s="184" t="str">
        <f ca="1">IF($A$27=AF12,"MAX","")</f>
        <v/>
      </c>
      <c r="AH12" s="184">
        <f>$E$5*AF12-AH13</f>
        <v>12</v>
      </c>
      <c r="AI12" s="185">
        <f>ROUNDUP(AH13/$E$5,0)</f>
        <v>7</v>
      </c>
      <c r="AJ12" s="184" t="str">
        <f ca="1">IF($A$27=AI12,"MAX","")</f>
        <v/>
      </c>
      <c r="AK12" s="184">
        <f>$E$5*AI12-AK13</f>
        <v>11</v>
      </c>
      <c r="AL12" s="185">
        <f>ROUNDUP(AK13/$E$5,0)</f>
        <v>7</v>
      </c>
      <c r="AM12" s="184" t="str">
        <f ca="1">IF($A$27=AL12,"MAX","")</f>
        <v/>
      </c>
      <c r="AN12" s="184">
        <f>$E$5*AL12-AN13</f>
        <v>11</v>
      </c>
      <c r="AO12" s="185">
        <f>ROUNDUP(AN13/$E$5,0)</f>
        <v>7</v>
      </c>
      <c r="AP12" s="184" t="str">
        <f ca="1">IF($A$27=AO12,"MAX","")</f>
        <v/>
      </c>
      <c r="AQ12" s="184">
        <f>$E$5*AO12-AQ13</f>
        <v>11</v>
      </c>
    </row>
    <row r="13" spans="1:43" ht="17.25" thickBot="1" x14ac:dyDescent="0.3">
      <c r="A13" s="170" t="s">
        <v>79</v>
      </c>
      <c r="E13" s="35">
        <v>2.5</v>
      </c>
      <c r="F13" s="177" t="s">
        <v>88</v>
      </c>
      <c r="G13" s="178">
        <f>D13+F26</f>
        <v>30</v>
      </c>
      <c r="H13" s="35">
        <f>E13</f>
        <v>2.5</v>
      </c>
      <c r="I13" s="177" t="s">
        <v>88</v>
      </c>
      <c r="J13" s="178">
        <f>G13+I26</f>
        <v>64</v>
      </c>
      <c r="K13" s="35">
        <f>H13</f>
        <v>2.5</v>
      </c>
      <c r="L13" s="177" t="s">
        <v>88</v>
      </c>
      <c r="M13" s="178">
        <f>J13+L26</f>
        <v>121</v>
      </c>
      <c r="N13" s="35">
        <f>K13</f>
        <v>2.5</v>
      </c>
      <c r="O13" s="177" t="s">
        <v>88</v>
      </c>
      <c r="P13" s="178">
        <f>M13+O26</f>
        <v>160</v>
      </c>
      <c r="Q13" s="35">
        <f>N13</f>
        <v>2.5</v>
      </c>
      <c r="R13" s="177" t="s">
        <v>88</v>
      </c>
      <c r="S13" s="178">
        <f>P13+R26</f>
        <v>200</v>
      </c>
      <c r="T13" s="35">
        <f>Q13</f>
        <v>2.5</v>
      </c>
      <c r="U13" s="177" t="s">
        <v>88</v>
      </c>
      <c r="V13" s="178">
        <f>S13+U26</f>
        <v>242</v>
      </c>
      <c r="W13" s="35">
        <f>T13</f>
        <v>2.5</v>
      </c>
      <c r="X13" s="177" t="s">
        <v>88</v>
      </c>
      <c r="Y13" s="178">
        <f>V13+X26</f>
        <v>283</v>
      </c>
      <c r="Z13" s="35">
        <f>W13</f>
        <v>2.5</v>
      </c>
      <c r="AA13" s="177" t="s">
        <v>88</v>
      </c>
      <c r="AB13" s="178">
        <f>Y13+AA26</f>
        <v>329</v>
      </c>
      <c r="AC13" s="35">
        <f>Z13</f>
        <v>2.5</v>
      </c>
      <c r="AD13" s="177" t="s">
        <v>88</v>
      </c>
      <c r="AE13" s="178">
        <f>AB13+AD26</f>
        <v>363</v>
      </c>
      <c r="AF13" s="35">
        <f>AC13</f>
        <v>2.5</v>
      </c>
      <c r="AG13" s="177" t="s">
        <v>88</v>
      </c>
      <c r="AH13" s="178">
        <f>AE13+AG26</f>
        <v>408</v>
      </c>
      <c r="AI13" s="35">
        <f>AF13</f>
        <v>2.5</v>
      </c>
      <c r="AJ13" s="177" t="s">
        <v>88</v>
      </c>
      <c r="AK13" s="178">
        <f>AH13+AJ26</f>
        <v>409</v>
      </c>
      <c r="AL13" s="35">
        <f>AI13</f>
        <v>2.5</v>
      </c>
      <c r="AM13" s="177" t="s">
        <v>88</v>
      </c>
      <c r="AN13" s="178">
        <f>AK13+AM26</f>
        <v>409</v>
      </c>
      <c r="AO13" s="35">
        <f>AL13</f>
        <v>2.5</v>
      </c>
      <c r="AP13" s="177" t="s">
        <v>88</v>
      </c>
      <c r="AQ13" s="178">
        <f>AN13+AP26</f>
        <v>409</v>
      </c>
    </row>
    <row r="14" spans="1:43" x14ac:dyDescent="0.25">
      <c r="A14" s="171" t="s">
        <v>60</v>
      </c>
      <c r="B14" s="171" t="s">
        <v>83</v>
      </c>
      <c r="C14" s="171" t="s">
        <v>82</v>
      </c>
      <c r="D14" s="171" t="s">
        <v>84</v>
      </c>
      <c r="E14" s="9" t="s">
        <v>78</v>
      </c>
      <c r="F14" s="175" t="s">
        <v>81</v>
      </c>
      <c r="G14" s="176" t="s">
        <v>85</v>
      </c>
      <c r="H14" s="9" t="str">
        <f>E14</f>
        <v>SQ</v>
      </c>
      <c r="I14" s="175" t="str">
        <f>F14</f>
        <v>개수</v>
      </c>
      <c r="J14" s="176" t="str">
        <f>G14</f>
        <v>볼륨</v>
      </c>
      <c r="K14" s="9" t="str">
        <f>H14</f>
        <v>SQ</v>
      </c>
      <c r="L14" s="175" t="str">
        <f>I14</f>
        <v>개수</v>
      </c>
      <c r="M14" s="176" t="str">
        <f>J14</f>
        <v>볼륨</v>
      </c>
      <c r="N14" s="9" t="s">
        <v>44</v>
      </c>
      <c r="O14" s="175" t="str">
        <f>L14</f>
        <v>개수</v>
      </c>
      <c r="P14" s="176" t="str">
        <f>M14</f>
        <v>볼륨</v>
      </c>
      <c r="Q14" s="9" t="str">
        <f>N14</f>
        <v>FSQ</v>
      </c>
      <c r="R14" s="175" t="str">
        <f>O14</f>
        <v>개수</v>
      </c>
      <c r="S14" s="176" t="str">
        <f>P14</f>
        <v>볼륨</v>
      </c>
      <c r="T14" s="9" t="str">
        <f>Q14</f>
        <v>FSQ</v>
      </c>
      <c r="U14" s="175" t="str">
        <f>R14</f>
        <v>개수</v>
      </c>
      <c r="V14" s="176" t="str">
        <f>S14</f>
        <v>볼륨</v>
      </c>
      <c r="W14" s="9" t="s">
        <v>89</v>
      </c>
      <c r="X14" s="175" t="str">
        <f>U14</f>
        <v>개수</v>
      </c>
      <c r="Y14" s="176" t="str">
        <f>V14</f>
        <v>볼륨</v>
      </c>
      <c r="Z14" s="9" t="s">
        <v>90</v>
      </c>
      <c r="AA14" s="175" t="str">
        <f>X14</f>
        <v>개수</v>
      </c>
      <c r="AB14" s="176" t="str">
        <f>Y14</f>
        <v>볼륨</v>
      </c>
      <c r="AC14" s="9" t="str">
        <f>Z14</f>
        <v>렉8CDL</v>
      </c>
      <c r="AD14" s="175" t="str">
        <f>AA14</f>
        <v>개수</v>
      </c>
      <c r="AE14" s="176" t="str">
        <f>AB14</f>
        <v>볼륨</v>
      </c>
      <c r="AF14" s="9" t="s">
        <v>91</v>
      </c>
      <c r="AG14" s="175" t="str">
        <f>AD14</f>
        <v>개수</v>
      </c>
      <c r="AH14" s="176" t="str">
        <f>AE14</f>
        <v>볼륨</v>
      </c>
      <c r="AI14" s="9" t="s">
        <v>93</v>
      </c>
      <c r="AJ14" s="175" t="str">
        <f>AG14</f>
        <v>개수</v>
      </c>
      <c r="AK14" s="176" t="str">
        <f>AH14</f>
        <v>볼륨</v>
      </c>
      <c r="AL14" s="9" t="str">
        <f>AI14</f>
        <v>ATGHBSQ</v>
      </c>
      <c r="AM14" s="175" t="str">
        <f>AJ14</f>
        <v>개수</v>
      </c>
      <c r="AN14" s="176" t="str">
        <f>AK14</f>
        <v>볼륨</v>
      </c>
      <c r="AO14" s="9" t="str">
        <f>AL14</f>
        <v>ATGHBSQ</v>
      </c>
      <c r="AP14" s="175" t="str">
        <f>AM14</f>
        <v>개수</v>
      </c>
      <c r="AQ14" s="176" t="str">
        <f>AN14</f>
        <v>볼륨</v>
      </c>
    </row>
    <row r="15" spans="1:43" x14ac:dyDescent="0.25">
      <c r="A15" s="171" t="s">
        <v>86</v>
      </c>
      <c r="B15" s="172">
        <v>1</v>
      </c>
      <c r="C15" s="171">
        <v>0</v>
      </c>
      <c r="D15" s="172">
        <f>B15*C15</f>
        <v>0</v>
      </c>
      <c r="E15" s="179">
        <v>180</v>
      </c>
      <c r="F15" s="166"/>
      <c r="G15" s="167">
        <v>0</v>
      </c>
      <c r="H15" s="179">
        <f>E26</f>
        <v>196</v>
      </c>
      <c r="I15" s="166"/>
      <c r="J15" s="167">
        <f>H15*I15</f>
        <v>0</v>
      </c>
      <c r="K15" s="179">
        <f>H26</f>
        <v>169.56521739130437</v>
      </c>
      <c r="L15" s="166"/>
      <c r="M15" s="167">
        <f>K15*L15</f>
        <v>0</v>
      </c>
      <c r="N15" s="179">
        <f>160</f>
        <v>160</v>
      </c>
      <c r="O15" s="166">
        <v>1</v>
      </c>
      <c r="P15" s="167">
        <f>N15*O15</f>
        <v>160</v>
      </c>
      <c r="Q15" s="179">
        <f>N26</f>
        <v>160.10006253908696</v>
      </c>
      <c r="R15" s="166"/>
      <c r="S15" s="167">
        <f>Q15*R15</f>
        <v>0</v>
      </c>
      <c r="T15" s="179">
        <f>Q26</f>
        <v>160</v>
      </c>
      <c r="U15" s="166"/>
      <c r="V15" s="167">
        <f>T15*U15</f>
        <v>0</v>
      </c>
      <c r="W15" s="179">
        <v>180</v>
      </c>
      <c r="X15" s="166">
        <v>1</v>
      </c>
      <c r="Y15" s="167">
        <f>W15*X15</f>
        <v>180</v>
      </c>
      <c r="Z15" s="179">
        <v>200</v>
      </c>
      <c r="AA15" s="166">
        <v>1</v>
      </c>
      <c r="AB15" s="167">
        <f>Z15*AA15</f>
        <v>200</v>
      </c>
      <c r="AC15" s="179">
        <f>Z26</f>
        <v>240.40920716112538</v>
      </c>
      <c r="AD15" s="166"/>
      <c r="AE15" s="167">
        <f>AC15*AD15</f>
        <v>0</v>
      </c>
      <c r="AF15" s="179">
        <v>220</v>
      </c>
      <c r="AG15" s="166">
        <v>1</v>
      </c>
      <c r="AH15" s="167">
        <f>AF15*AG15</f>
        <v>220</v>
      </c>
      <c r="AI15" s="179">
        <v>175</v>
      </c>
      <c r="AJ15" s="166">
        <v>1</v>
      </c>
      <c r="AK15" s="167">
        <f>AI15*AJ15</f>
        <v>175</v>
      </c>
      <c r="AL15" s="179">
        <f>AI26</f>
        <v>177.2151898734177</v>
      </c>
      <c r="AM15" s="166"/>
      <c r="AN15" s="167">
        <f>AL15*AM15</f>
        <v>0</v>
      </c>
      <c r="AO15" s="179">
        <f>AL26</f>
        <v>0</v>
      </c>
      <c r="AP15" s="166"/>
      <c r="AQ15" s="167">
        <f>AO15*AP15</f>
        <v>0</v>
      </c>
    </row>
    <row r="16" spans="1:43" x14ac:dyDescent="0.25">
      <c r="A16" s="171" t="s">
        <v>68</v>
      </c>
      <c r="B16" s="172">
        <f>E9</f>
        <v>0.5</v>
      </c>
      <c r="C16" s="171">
        <v>5</v>
      </c>
      <c r="D16" s="172">
        <f t="shared" ref="D16:D25" si="0">B16*C16</f>
        <v>2.5</v>
      </c>
      <c r="E16" s="180">
        <v>122.5</v>
      </c>
      <c r="F16" s="166">
        <v>6</v>
      </c>
      <c r="G16" s="167">
        <v>735</v>
      </c>
      <c r="H16" s="180">
        <f>MROUND(H15*$B$16,H13)</f>
        <v>97.5</v>
      </c>
      <c r="I16" s="166">
        <v>12</v>
      </c>
      <c r="J16" s="167">
        <f t="shared" ref="J16:J25" si="1">H16*I16</f>
        <v>1170</v>
      </c>
      <c r="K16" s="180">
        <f>MROUND(K15*$B$16,K13)</f>
        <v>85</v>
      </c>
      <c r="L16" s="166">
        <v>17</v>
      </c>
      <c r="M16" s="167">
        <f t="shared" ref="M16:M25" si="2">K16*L16</f>
        <v>1445</v>
      </c>
      <c r="N16" s="180">
        <f>MROUND(N15*$B$16,N13)</f>
        <v>80</v>
      </c>
      <c r="O16" s="166">
        <v>10</v>
      </c>
      <c r="P16" s="167">
        <f t="shared" ref="P16:P25" si="3">N16*O16</f>
        <v>800</v>
      </c>
      <c r="Q16" s="180">
        <f>MROUND(Q15*$B$16,Q13)</f>
        <v>80</v>
      </c>
      <c r="R16" s="166">
        <v>10</v>
      </c>
      <c r="S16" s="167">
        <f t="shared" ref="S16:S25" si="4">Q16*R16</f>
        <v>800</v>
      </c>
      <c r="T16" s="180">
        <f>MROUND(T15*$B$16,T13)</f>
        <v>80</v>
      </c>
      <c r="U16" s="166">
        <v>12</v>
      </c>
      <c r="V16" s="167">
        <f t="shared" ref="V16:V25" si="5">T16*U16</f>
        <v>960</v>
      </c>
      <c r="W16" s="180">
        <f>MROUND(W15*$B$16,W13)</f>
        <v>90</v>
      </c>
      <c r="X16" s="166">
        <v>12</v>
      </c>
      <c r="Y16" s="167">
        <f t="shared" ref="Y16:Y25" si="6">W16*X16</f>
        <v>1080</v>
      </c>
      <c r="Z16" s="180">
        <f>MROUND(Z15*$B$16,Z13)</f>
        <v>100</v>
      </c>
      <c r="AA16" s="166">
        <v>15</v>
      </c>
      <c r="AB16" s="167">
        <f t="shared" ref="AB16:AB25" si="7">Z16*AA16</f>
        <v>1500</v>
      </c>
      <c r="AC16" s="180">
        <f>MROUND(AC15*$B$16,AC13)</f>
        <v>120</v>
      </c>
      <c r="AD16" s="166">
        <v>10</v>
      </c>
      <c r="AE16" s="167">
        <f t="shared" ref="AE16:AE25" si="8">AC16*AD16</f>
        <v>1200</v>
      </c>
      <c r="AF16" s="180">
        <f>MROUND(AF15*$B$16,AF13)</f>
        <v>110</v>
      </c>
      <c r="AG16" s="166">
        <v>16</v>
      </c>
      <c r="AH16" s="167">
        <f t="shared" ref="AH16:AH25" si="9">AF16*AG16</f>
        <v>1760</v>
      </c>
      <c r="AI16" s="180">
        <f>MROUND(AI15*$B$16,AI13)</f>
        <v>87.5</v>
      </c>
      <c r="AJ16" s="166"/>
      <c r="AK16" s="167">
        <f t="shared" ref="AK16:AK25" si="10">AI16*AJ16</f>
        <v>0</v>
      </c>
      <c r="AL16" s="180">
        <f>MROUND(AL15*$B$16,AL13)</f>
        <v>87.5</v>
      </c>
      <c r="AM16" s="166"/>
      <c r="AN16" s="167">
        <f t="shared" ref="AN16:AN25" si="11">AL16*AM16</f>
        <v>0</v>
      </c>
      <c r="AO16" s="180">
        <f>MROUND(AO15*$B$16,AO13)</f>
        <v>0</v>
      </c>
      <c r="AP16" s="166"/>
      <c r="AQ16" s="167">
        <f t="shared" ref="AQ16:AQ25" si="12">AO16*AP16</f>
        <v>0</v>
      </c>
    </row>
    <row r="17" spans="1:43" x14ac:dyDescent="0.25">
      <c r="A17" s="171" t="s">
        <v>69</v>
      </c>
      <c r="B17" s="172">
        <f>B16</f>
        <v>0.5</v>
      </c>
      <c r="C17" s="171">
        <v>5</v>
      </c>
      <c r="D17" s="172">
        <f t="shared" si="0"/>
        <v>2.5</v>
      </c>
      <c r="E17" s="180">
        <v>122.5</v>
      </c>
      <c r="F17" s="166">
        <v>4</v>
      </c>
      <c r="G17" s="167">
        <v>490</v>
      </c>
      <c r="H17" s="180">
        <f>MROUND(H15*$B$17,H13)</f>
        <v>97.5</v>
      </c>
      <c r="I17" s="166">
        <v>4</v>
      </c>
      <c r="J17" s="167">
        <f t="shared" si="1"/>
        <v>390</v>
      </c>
      <c r="K17" s="180">
        <f>MROUND(K15*$B$17,K13)</f>
        <v>85</v>
      </c>
      <c r="L17" s="166">
        <v>10</v>
      </c>
      <c r="M17" s="167">
        <f t="shared" si="2"/>
        <v>850</v>
      </c>
      <c r="N17" s="180">
        <f>MROUND(N15*$B$17,N13)</f>
        <v>80</v>
      </c>
      <c r="O17" s="166">
        <v>4</v>
      </c>
      <c r="P17" s="167">
        <f t="shared" si="3"/>
        <v>320</v>
      </c>
      <c r="Q17" s="180">
        <f>MROUND(Q15*$B$17,Q13)</f>
        <v>80</v>
      </c>
      <c r="R17" s="166">
        <v>6</v>
      </c>
      <c r="S17" s="167">
        <f t="shared" si="4"/>
        <v>480</v>
      </c>
      <c r="T17" s="180">
        <f>MROUND(T15*$B$17,T13)</f>
        <v>80</v>
      </c>
      <c r="U17" s="166">
        <v>6</v>
      </c>
      <c r="V17" s="167">
        <f t="shared" si="5"/>
        <v>480</v>
      </c>
      <c r="W17" s="180">
        <f>MROUND(W15*$B$17,W13)</f>
        <v>90</v>
      </c>
      <c r="X17" s="166">
        <v>4</v>
      </c>
      <c r="Y17" s="167">
        <f t="shared" si="6"/>
        <v>360</v>
      </c>
      <c r="Z17" s="180">
        <f>MROUND(Z15*$B$17,Z13)</f>
        <v>100</v>
      </c>
      <c r="AA17" s="166">
        <v>6</v>
      </c>
      <c r="AB17" s="167">
        <f t="shared" si="7"/>
        <v>600</v>
      </c>
      <c r="AC17" s="180">
        <f>MROUND(AC15*$B$17,AC13)</f>
        <v>120</v>
      </c>
      <c r="AD17" s="166">
        <v>4</v>
      </c>
      <c r="AE17" s="167">
        <f t="shared" si="8"/>
        <v>480</v>
      </c>
      <c r="AF17" s="180">
        <f>MROUND(AF15*$B$17,AF13)</f>
        <v>110</v>
      </c>
      <c r="AG17" s="166">
        <v>5</v>
      </c>
      <c r="AH17" s="167">
        <f t="shared" si="9"/>
        <v>550</v>
      </c>
      <c r="AI17" s="180">
        <f>MROUND(AI15*$B$17,AI13)</f>
        <v>87.5</v>
      </c>
      <c r="AJ17" s="166"/>
      <c r="AK17" s="167">
        <f t="shared" si="10"/>
        <v>0</v>
      </c>
      <c r="AL17" s="180">
        <f>MROUND(AL15*$B$17,AL13)</f>
        <v>87.5</v>
      </c>
      <c r="AM17" s="166"/>
      <c r="AN17" s="167">
        <f t="shared" si="11"/>
        <v>0</v>
      </c>
      <c r="AO17" s="180">
        <f>MROUND(AO15*$B$17,AO13)</f>
        <v>0</v>
      </c>
      <c r="AP17" s="166"/>
      <c r="AQ17" s="167">
        <f t="shared" si="12"/>
        <v>0</v>
      </c>
    </row>
    <row r="18" spans="1:43" x14ac:dyDescent="0.25">
      <c r="A18" s="171" t="s">
        <v>70</v>
      </c>
      <c r="B18" s="172">
        <f t="shared" ref="B18:B23" si="13">B17</f>
        <v>0.5</v>
      </c>
      <c r="C18" s="171">
        <v>5</v>
      </c>
      <c r="D18" s="172">
        <f t="shared" si="0"/>
        <v>2.5</v>
      </c>
      <c r="E18" s="180">
        <v>122.5</v>
      </c>
      <c r="F18" s="166">
        <v>3</v>
      </c>
      <c r="G18" s="167">
        <v>367.5</v>
      </c>
      <c r="H18" s="180">
        <f>MROUND(H15*$B$18,H13)</f>
        <v>97.5</v>
      </c>
      <c r="I18" s="166">
        <v>3</v>
      </c>
      <c r="J18" s="167">
        <f t="shared" si="1"/>
        <v>292.5</v>
      </c>
      <c r="K18" s="180">
        <f>MROUND(K15*$B$18,K13)</f>
        <v>85</v>
      </c>
      <c r="L18" s="166">
        <v>6</v>
      </c>
      <c r="M18" s="167">
        <f t="shared" si="2"/>
        <v>510</v>
      </c>
      <c r="N18" s="180">
        <f>MROUND(N15*$B$18,N13)</f>
        <v>80</v>
      </c>
      <c r="O18" s="166">
        <v>4</v>
      </c>
      <c r="P18" s="167">
        <f t="shared" si="3"/>
        <v>320</v>
      </c>
      <c r="Q18" s="180">
        <f>MROUND(Q15*$B$18,Q13)</f>
        <v>80</v>
      </c>
      <c r="R18" s="166">
        <v>4</v>
      </c>
      <c r="S18" s="167">
        <f t="shared" si="4"/>
        <v>320</v>
      </c>
      <c r="T18" s="180">
        <f>MROUND(T15*$B$18,T13)</f>
        <v>80</v>
      </c>
      <c r="U18" s="166">
        <v>5</v>
      </c>
      <c r="V18" s="167">
        <f t="shared" si="5"/>
        <v>400</v>
      </c>
      <c r="W18" s="180">
        <f>MROUND(W15*$B$18,W13)</f>
        <v>90</v>
      </c>
      <c r="X18" s="166">
        <v>5</v>
      </c>
      <c r="Y18" s="167">
        <f t="shared" si="6"/>
        <v>450</v>
      </c>
      <c r="Z18" s="180">
        <f>MROUND(Z15*$B$18,Z13)</f>
        <v>100</v>
      </c>
      <c r="AA18" s="166">
        <v>6</v>
      </c>
      <c r="AB18" s="167">
        <f t="shared" si="7"/>
        <v>600</v>
      </c>
      <c r="AC18" s="180">
        <f>MROUND(AC15*$B$18,AC13)</f>
        <v>120</v>
      </c>
      <c r="AD18" s="166">
        <v>4</v>
      </c>
      <c r="AE18" s="167">
        <f t="shared" si="8"/>
        <v>480</v>
      </c>
      <c r="AF18" s="180">
        <f>MROUND(AF15*$B$18,AF13)</f>
        <v>110</v>
      </c>
      <c r="AG18" s="166">
        <v>5</v>
      </c>
      <c r="AH18" s="167">
        <f t="shared" si="9"/>
        <v>550</v>
      </c>
      <c r="AI18" s="180">
        <f>MROUND(AI15*$B$18,AI13)</f>
        <v>87.5</v>
      </c>
      <c r="AJ18" s="166"/>
      <c r="AK18" s="167">
        <f t="shared" si="10"/>
        <v>0</v>
      </c>
      <c r="AL18" s="180">
        <f>MROUND(AL15*$B$18,AL13)</f>
        <v>87.5</v>
      </c>
      <c r="AM18" s="166"/>
      <c r="AN18" s="167">
        <f t="shared" si="11"/>
        <v>0</v>
      </c>
      <c r="AO18" s="180">
        <f>MROUND(AO15*$B$18,AO13)</f>
        <v>0</v>
      </c>
      <c r="AP18" s="166"/>
      <c r="AQ18" s="167">
        <f t="shared" si="12"/>
        <v>0</v>
      </c>
    </row>
    <row r="19" spans="1:43" x14ac:dyDescent="0.25">
      <c r="A19" s="171" t="s">
        <v>71</v>
      </c>
      <c r="B19" s="172">
        <f t="shared" si="13"/>
        <v>0.5</v>
      </c>
      <c r="C19" s="171">
        <v>5</v>
      </c>
      <c r="D19" s="172">
        <f t="shared" si="0"/>
        <v>2.5</v>
      </c>
      <c r="E19" s="180">
        <v>122.5</v>
      </c>
      <c r="F19" s="166">
        <v>3</v>
      </c>
      <c r="G19" s="167">
        <v>367.5</v>
      </c>
      <c r="H19" s="180">
        <f>MROUND(H15*$B$19,H13)</f>
        <v>97.5</v>
      </c>
      <c r="I19" s="166">
        <v>3</v>
      </c>
      <c r="J19" s="167">
        <f t="shared" si="1"/>
        <v>292.5</v>
      </c>
      <c r="K19" s="180">
        <f>MROUND(K15*$B$19,K13)</f>
        <v>85</v>
      </c>
      <c r="L19" s="166">
        <v>6</v>
      </c>
      <c r="M19" s="167">
        <f t="shared" si="2"/>
        <v>510</v>
      </c>
      <c r="N19" s="180">
        <f>MROUND(N15*$B$19,N13)</f>
        <v>80</v>
      </c>
      <c r="O19" s="166">
        <v>4</v>
      </c>
      <c r="P19" s="167">
        <f t="shared" si="3"/>
        <v>320</v>
      </c>
      <c r="Q19" s="180">
        <f>MROUND(Q15*$B$19,Q13)</f>
        <v>80</v>
      </c>
      <c r="R19" s="166">
        <v>4</v>
      </c>
      <c r="S19" s="167">
        <f t="shared" si="4"/>
        <v>320</v>
      </c>
      <c r="T19" s="180">
        <f>MROUND(T15*$B$19,T13)</f>
        <v>80</v>
      </c>
      <c r="U19" s="166">
        <v>5</v>
      </c>
      <c r="V19" s="167">
        <f t="shared" si="5"/>
        <v>400</v>
      </c>
      <c r="W19" s="180">
        <f>MROUND(W15*$B$19,W13)</f>
        <v>90</v>
      </c>
      <c r="X19" s="166">
        <v>4</v>
      </c>
      <c r="Y19" s="167">
        <f t="shared" si="6"/>
        <v>360</v>
      </c>
      <c r="Z19" s="180">
        <f>MROUND(Z15*$B$19,Z13)</f>
        <v>100</v>
      </c>
      <c r="AA19" s="166">
        <v>5</v>
      </c>
      <c r="AB19" s="167">
        <f t="shared" si="7"/>
        <v>500</v>
      </c>
      <c r="AC19" s="180">
        <f>MROUND(AC15*$B$19,AC13)</f>
        <v>120</v>
      </c>
      <c r="AD19" s="166">
        <v>4</v>
      </c>
      <c r="AE19" s="167">
        <f t="shared" si="8"/>
        <v>480</v>
      </c>
      <c r="AF19" s="180">
        <f>MROUND(AF15*$B$19,AF13)</f>
        <v>110</v>
      </c>
      <c r="AG19" s="166">
        <v>5</v>
      </c>
      <c r="AH19" s="167">
        <f t="shared" si="9"/>
        <v>550</v>
      </c>
      <c r="AI19" s="180">
        <f>MROUND(AI15*$B$19,AI13)</f>
        <v>87.5</v>
      </c>
      <c r="AJ19" s="166"/>
      <c r="AK19" s="167">
        <f t="shared" si="10"/>
        <v>0</v>
      </c>
      <c r="AL19" s="180">
        <f>MROUND(AL15*$B$19,AL13)</f>
        <v>87.5</v>
      </c>
      <c r="AM19" s="166"/>
      <c r="AN19" s="167">
        <f t="shared" si="11"/>
        <v>0</v>
      </c>
      <c r="AO19" s="180">
        <f>MROUND(AO15*$B$19,AO13)</f>
        <v>0</v>
      </c>
      <c r="AP19" s="166"/>
      <c r="AQ19" s="167">
        <f t="shared" si="12"/>
        <v>0</v>
      </c>
    </row>
    <row r="20" spans="1:43" x14ac:dyDescent="0.25">
      <c r="A20" s="171" t="s">
        <v>72</v>
      </c>
      <c r="B20" s="172">
        <f t="shared" si="13"/>
        <v>0.5</v>
      </c>
      <c r="C20" s="171">
        <v>5</v>
      </c>
      <c r="D20" s="172">
        <f t="shared" si="0"/>
        <v>2.5</v>
      </c>
      <c r="E20" s="180">
        <v>122.5</v>
      </c>
      <c r="F20" s="166">
        <v>3</v>
      </c>
      <c r="G20" s="167">
        <v>367.5</v>
      </c>
      <c r="H20" s="180">
        <f>MROUND(H15*$B$20,H13)</f>
        <v>97.5</v>
      </c>
      <c r="I20" s="166">
        <v>3</v>
      </c>
      <c r="J20" s="167">
        <f t="shared" si="1"/>
        <v>292.5</v>
      </c>
      <c r="K20" s="180">
        <f>MROUND(K15*$B$20,K13)</f>
        <v>85</v>
      </c>
      <c r="L20" s="166">
        <v>6</v>
      </c>
      <c r="M20" s="167">
        <f t="shared" si="2"/>
        <v>510</v>
      </c>
      <c r="N20" s="180">
        <f>MROUND(N15*$B$20,N13)</f>
        <v>80</v>
      </c>
      <c r="O20" s="166">
        <v>4</v>
      </c>
      <c r="P20" s="167">
        <f t="shared" si="3"/>
        <v>320</v>
      </c>
      <c r="Q20" s="180">
        <f>MROUND(Q15*$B$20,Q13)</f>
        <v>80</v>
      </c>
      <c r="R20" s="166">
        <v>4</v>
      </c>
      <c r="S20" s="167">
        <f t="shared" si="4"/>
        <v>320</v>
      </c>
      <c r="T20" s="180">
        <f>MROUND(T15*$B$20,T13)</f>
        <v>80</v>
      </c>
      <c r="U20" s="166">
        <v>5</v>
      </c>
      <c r="V20" s="167">
        <f t="shared" si="5"/>
        <v>400</v>
      </c>
      <c r="W20" s="180">
        <f>MROUND(W15*$B$20,W13)</f>
        <v>90</v>
      </c>
      <c r="X20" s="166">
        <v>4</v>
      </c>
      <c r="Y20" s="167">
        <f t="shared" si="6"/>
        <v>360</v>
      </c>
      <c r="Z20" s="180">
        <f>MROUND(Z15*$B$20,Z13)</f>
        <v>100</v>
      </c>
      <c r="AA20" s="166">
        <v>4</v>
      </c>
      <c r="AB20" s="167">
        <f t="shared" si="7"/>
        <v>400</v>
      </c>
      <c r="AC20" s="180">
        <f>MROUND(AC15*$B$20,AC13)</f>
        <v>120</v>
      </c>
      <c r="AD20" s="166">
        <v>3</v>
      </c>
      <c r="AE20" s="167">
        <f t="shared" si="8"/>
        <v>360</v>
      </c>
      <c r="AF20" s="180">
        <f>MROUND(AF15*$B$20,AF13)</f>
        <v>110</v>
      </c>
      <c r="AG20" s="166">
        <v>3</v>
      </c>
      <c r="AH20" s="167">
        <f t="shared" si="9"/>
        <v>330</v>
      </c>
      <c r="AI20" s="180">
        <f>MROUND(AI15*$B$20,AI13)</f>
        <v>87.5</v>
      </c>
      <c r="AJ20" s="166"/>
      <c r="AK20" s="167">
        <f t="shared" si="10"/>
        <v>0</v>
      </c>
      <c r="AL20" s="180">
        <f>MROUND(AL15*$B$20,AL13)</f>
        <v>87.5</v>
      </c>
      <c r="AM20" s="166"/>
      <c r="AN20" s="167">
        <f t="shared" si="11"/>
        <v>0</v>
      </c>
      <c r="AO20" s="180">
        <f>MROUND(AO15*$B$20,AO13)</f>
        <v>0</v>
      </c>
      <c r="AP20" s="166"/>
      <c r="AQ20" s="167">
        <f t="shared" si="12"/>
        <v>0</v>
      </c>
    </row>
    <row r="21" spans="1:43" x14ac:dyDescent="0.25">
      <c r="A21" s="171" t="s">
        <v>73</v>
      </c>
      <c r="B21" s="172">
        <f t="shared" si="13"/>
        <v>0.5</v>
      </c>
      <c r="C21" s="171">
        <v>5</v>
      </c>
      <c r="D21" s="172">
        <f t="shared" si="0"/>
        <v>2.5</v>
      </c>
      <c r="E21" s="180">
        <v>122.5</v>
      </c>
      <c r="F21" s="166">
        <v>3</v>
      </c>
      <c r="G21" s="167">
        <v>367.5</v>
      </c>
      <c r="H21" s="180">
        <f>MROUND(H15*$B$21,H13)</f>
        <v>97.5</v>
      </c>
      <c r="I21" s="166">
        <v>3</v>
      </c>
      <c r="J21" s="167">
        <f t="shared" si="1"/>
        <v>292.5</v>
      </c>
      <c r="K21" s="180">
        <f>MROUND(K15*$B$21,K13)</f>
        <v>85</v>
      </c>
      <c r="L21" s="166">
        <v>6</v>
      </c>
      <c r="M21" s="167">
        <f t="shared" si="2"/>
        <v>510</v>
      </c>
      <c r="N21" s="180">
        <f>MROUND(N15*$B$21,N13)</f>
        <v>80</v>
      </c>
      <c r="O21" s="166">
        <v>5</v>
      </c>
      <c r="P21" s="167">
        <f t="shared" si="3"/>
        <v>400</v>
      </c>
      <c r="Q21" s="180">
        <f>MROUND(Q15*$B$21,Q13)</f>
        <v>80</v>
      </c>
      <c r="R21" s="166">
        <v>4</v>
      </c>
      <c r="S21" s="167">
        <f t="shared" si="4"/>
        <v>320</v>
      </c>
      <c r="T21" s="180">
        <f>MROUND(T15*$B$21,T13)</f>
        <v>80</v>
      </c>
      <c r="U21" s="166">
        <v>3</v>
      </c>
      <c r="V21" s="167">
        <f t="shared" si="5"/>
        <v>240</v>
      </c>
      <c r="W21" s="180">
        <f>MROUND(W15*$B$21,W13)</f>
        <v>90</v>
      </c>
      <c r="X21" s="166">
        <v>4</v>
      </c>
      <c r="Y21" s="167">
        <f t="shared" si="6"/>
        <v>360</v>
      </c>
      <c r="Z21" s="180">
        <f>MROUND(Z15*$B$21,Z13)</f>
        <v>100</v>
      </c>
      <c r="AA21" s="166">
        <v>3</v>
      </c>
      <c r="AB21" s="167">
        <f t="shared" si="7"/>
        <v>300</v>
      </c>
      <c r="AC21" s="180">
        <f>MROUND(AC15*$B$21,AC13)</f>
        <v>120</v>
      </c>
      <c r="AD21" s="166">
        <v>3</v>
      </c>
      <c r="AE21" s="167">
        <f t="shared" si="8"/>
        <v>360</v>
      </c>
      <c r="AF21" s="180">
        <f>MROUND(AF15*$B$21,AF13)</f>
        <v>110</v>
      </c>
      <c r="AG21" s="166">
        <v>4</v>
      </c>
      <c r="AH21" s="167">
        <f t="shared" si="9"/>
        <v>440</v>
      </c>
      <c r="AI21" s="180">
        <f>MROUND(AI15*$B$21,AI13)</f>
        <v>87.5</v>
      </c>
      <c r="AJ21" s="166"/>
      <c r="AK21" s="167">
        <f t="shared" si="10"/>
        <v>0</v>
      </c>
      <c r="AL21" s="180">
        <f>MROUND(AL15*$B$21,AL13)</f>
        <v>87.5</v>
      </c>
      <c r="AM21" s="166"/>
      <c r="AN21" s="167">
        <f t="shared" si="11"/>
        <v>0</v>
      </c>
      <c r="AO21" s="180">
        <f>MROUND(AO15*$B$21,AO13)</f>
        <v>0</v>
      </c>
      <c r="AP21" s="166"/>
      <c r="AQ21" s="167">
        <f t="shared" si="12"/>
        <v>0</v>
      </c>
    </row>
    <row r="22" spans="1:43" x14ac:dyDescent="0.25">
      <c r="A22" s="171" t="s">
        <v>74</v>
      </c>
      <c r="B22" s="172">
        <f t="shared" si="13"/>
        <v>0.5</v>
      </c>
      <c r="C22" s="171">
        <v>5</v>
      </c>
      <c r="D22" s="172">
        <f t="shared" si="0"/>
        <v>2.5</v>
      </c>
      <c r="E22" s="180">
        <v>122.5</v>
      </c>
      <c r="F22" s="166">
        <v>3</v>
      </c>
      <c r="G22" s="167">
        <v>367.5</v>
      </c>
      <c r="H22" s="180">
        <f>MROUND(H15*$B$22,H13)</f>
        <v>97.5</v>
      </c>
      <c r="I22" s="166">
        <v>3</v>
      </c>
      <c r="J22" s="167">
        <f t="shared" si="1"/>
        <v>292.5</v>
      </c>
      <c r="K22" s="180">
        <f>MROUND(K15*$B$22,K13)</f>
        <v>85</v>
      </c>
      <c r="L22" s="166">
        <v>3</v>
      </c>
      <c r="M22" s="167">
        <f t="shared" si="2"/>
        <v>255</v>
      </c>
      <c r="N22" s="180">
        <f>MROUND(N15*$B$22,N13)</f>
        <v>80</v>
      </c>
      <c r="O22" s="166">
        <v>4</v>
      </c>
      <c r="P22" s="167">
        <f t="shared" si="3"/>
        <v>320</v>
      </c>
      <c r="Q22" s="180">
        <f>MROUND(Q15*$B$22,Q13)</f>
        <v>80</v>
      </c>
      <c r="R22" s="166">
        <v>4</v>
      </c>
      <c r="S22" s="167">
        <f t="shared" si="4"/>
        <v>320</v>
      </c>
      <c r="T22" s="180">
        <f>MROUND(T15*$B$22,T13)</f>
        <v>80</v>
      </c>
      <c r="U22" s="166">
        <v>3</v>
      </c>
      <c r="V22" s="167">
        <f t="shared" si="5"/>
        <v>240</v>
      </c>
      <c r="W22" s="180">
        <f>MROUND(W15*$B$22,W13)</f>
        <v>90</v>
      </c>
      <c r="X22" s="166">
        <v>4</v>
      </c>
      <c r="Y22" s="167">
        <f t="shared" si="6"/>
        <v>360</v>
      </c>
      <c r="Z22" s="180">
        <f>MROUND(Z15*$B$22,Z13)</f>
        <v>100</v>
      </c>
      <c r="AA22" s="166">
        <v>3</v>
      </c>
      <c r="AB22" s="167">
        <f t="shared" si="7"/>
        <v>300</v>
      </c>
      <c r="AC22" s="180">
        <f>MROUND(AC15*$B$22,AC13)</f>
        <v>120</v>
      </c>
      <c r="AD22" s="166">
        <v>3</v>
      </c>
      <c r="AE22" s="167">
        <f t="shared" si="8"/>
        <v>360</v>
      </c>
      <c r="AF22" s="180">
        <f>MROUND(AF15*$B$22,AF13)</f>
        <v>110</v>
      </c>
      <c r="AG22" s="166">
        <v>3</v>
      </c>
      <c r="AH22" s="167">
        <f t="shared" si="9"/>
        <v>330</v>
      </c>
      <c r="AI22" s="180">
        <f>MROUND(AI15*$B$22,AI13)</f>
        <v>87.5</v>
      </c>
      <c r="AJ22" s="166"/>
      <c r="AK22" s="167">
        <f t="shared" si="10"/>
        <v>0</v>
      </c>
      <c r="AL22" s="180">
        <f>MROUND(AL15*$B$22,AL13)</f>
        <v>87.5</v>
      </c>
      <c r="AM22" s="166"/>
      <c r="AN22" s="167">
        <f t="shared" si="11"/>
        <v>0</v>
      </c>
      <c r="AO22" s="180">
        <f>MROUND(AO15*$B$22,AO13)</f>
        <v>0</v>
      </c>
      <c r="AP22" s="166"/>
      <c r="AQ22" s="167">
        <f t="shared" si="12"/>
        <v>0</v>
      </c>
    </row>
    <row r="23" spans="1:43" x14ac:dyDescent="0.25">
      <c r="A23" s="171" t="s">
        <v>75</v>
      </c>
      <c r="B23" s="172">
        <f t="shared" si="13"/>
        <v>0.5</v>
      </c>
      <c r="C23" s="171">
        <v>5</v>
      </c>
      <c r="D23" s="172">
        <f t="shared" si="0"/>
        <v>2.5</v>
      </c>
      <c r="E23" s="180">
        <v>122.5</v>
      </c>
      <c r="F23" s="166">
        <v>5</v>
      </c>
      <c r="G23" s="167">
        <v>612.5</v>
      </c>
      <c r="H23" s="180">
        <f>MROUND(H15*$B$23,H13)</f>
        <v>97.5</v>
      </c>
      <c r="I23" s="166">
        <v>3</v>
      </c>
      <c r="J23" s="167">
        <f t="shared" si="1"/>
        <v>292.5</v>
      </c>
      <c r="K23" s="180">
        <f>MROUND(K15*$B$23,K13)</f>
        <v>85</v>
      </c>
      <c r="L23" s="166">
        <v>3</v>
      </c>
      <c r="M23" s="167">
        <f t="shared" si="2"/>
        <v>255</v>
      </c>
      <c r="N23" s="180">
        <f>MROUND(N15*$B$23,N13)</f>
        <v>80</v>
      </c>
      <c r="O23" s="166">
        <v>3</v>
      </c>
      <c r="P23" s="167">
        <f t="shared" si="3"/>
        <v>240</v>
      </c>
      <c r="Q23" s="180">
        <f>MROUND(Q15*$B$23,Q13)</f>
        <v>80</v>
      </c>
      <c r="R23" s="166">
        <v>4</v>
      </c>
      <c r="S23" s="167">
        <f t="shared" si="4"/>
        <v>320</v>
      </c>
      <c r="T23" s="180">
        <f>MROUND(T15*$B$23,T13)</f>
        <v>80</v>
      </c>
      <c r="U23" s="166">
        <v>3</v>
      </c>
      <c r="V23" s="167">
        <f t="shared" si="5"/>
        <v>240</v>
      </c>
      <c r="W23" s="180">
        <f>MROUND(W15*$B$23,W13)</f>
        <v>90</v>
      </c>
      <c r="X23" s="166">
        <v>3</v>
      </c>
      <c r="Y23" s="167">
        <f t="shared" si="6"/>
        <v>270</v>
      </c>
      <c r="Z23" s="180">
        <f>MROUND(Z15*$B$23,Z13)</f>
        <v>100</v>
      </c>
      <c r="AA23" s="166">
        <v>3</v>
      </c>
      <c r="AB23" s="167">
        <f t="shared" si="7"/>
        <v>300</v>
      </c>
      <c r="AC23" s="180">
        <f>MROUND(AC15*$B$23,AC13)</f>
        <v>120</v>
      </c>
      <c r="AD23" s="166">
        <v>3</v>
      </c>
      <c r="AE23" s="167">
        <f t="shared" si="8"/>
        <v>360</v>
      </c>
      <c r="AF23" s="180">
        <f>MROUND(AF15*$B$23,AF13)</f>
        <v>110</v>
      </c>
      <c r="AG23" s="166">
        <v>3</v>
      </c>
      <c r="AH23" s="167">
        <f t="shared" si="9"/>
        <v>330</v>
      </c>
      <c r="AI23" s="180">
        <f>MROUND(AI15*$B$23,AI13)</f>
        <v>87.5</v>
      </c>
      <c r="AJ23" s="166"/>
      <c r="AK23" s="167">
        <f t="shared" si="10"/>
        <v>0</v>
      </c>
      <c r="AL23" s="180">
        <f>MROUND(AL15*$B$23,AL13)</f>
        <v>87.5</v>
      </c>
      <c r="AM23" s="166"/>
      <c r="AN23" s="167">
        <f t="shared" si="11"/>
        <v>0</v>
      </c>
      <c r="AO23" s="180">
        <f>MROUND(AO15*$B$23,AO13)</f>
        <v>0</v>
      </c>
      <c r="AP23" s="166"/>
      <c r="AQ23" s="167">
        <f t="shared" si="12"/>
        <v>0</v>
      </c>
    </row>
    <row r="24" spans="1:43" hidden="1" x14ac:dyDescent="0.25">
      <c r="A24" s="171" t="s">
        <v>76</v>
      </c>
      <c r="B24" s="171">
        <f>IF($A$12="하",0,B23)</f>
        <v>0</v>
      </c>
      <c r="C24" s="171">
        <f>IF($A$12="하",0,5)</f>
        <v>0</v>
      </c>
      <c r="D24" s="172">
        <f t="shared" si="0"/>
        <v>0</v>
      </c>
      <c r="E24" s="180">
        <f>MROUND($E$15*$B$24,E13)</f>
        <v>0</v>
      </c>
      <c r="F24" s="166"/>
      <c r="G24" s="167">
        <f t="shared" ref="G16:G25" si="14">E24*F24</f>
        <v>0</v>
      </c>
      <c r="H24" s="180">
        <f>MROUND(H15*$B$24,H13)</f>
        <v>0</v>
      </c>
      <c r="I24" s="166"/>
      <c r="J24" s="167">
        <f t="shared" si="1"/>
        <v>0</v>
      </c>
      <c r="K24" s="180">
        <f>MROUND(K15*$B$24,K13)</f>
        <v>0</v>
      </c>
      <c r="L24" s="166"/>
      <c r="M24" s="167">
        <f t="shared" si="2"/>
        <v>0</v>
      </c>
      <c r="N24" s="180">
        <f>MROUND(N15*$B$24,N13)</f>
        <v>0</v>
      </c>
      <c r="O24" s="166"/>
      <c r="P24" s="167">
        <f t="shared" si="3"/>
        <v>0</v>
      </c>
      <c r="Q24" s="180">
        <f>MROUND(Q15*$B$24,Q13)</f>
        <v>0</v>
      </c>
      <c r="R24" s="166"/>
      <c r="S24" s="167">
        <f t="shared" si="4"/>
        <v>0</v>
      </c>
      <c r="T24" s="180">
        <f>MROUND(T15*$B$24,T13)</f>
        <v>0</v>
      </c>
      <c r="U24" s="166"/>
      <c r="V24" s="167">
        <f t="shared" si="5"/>
        <v>0</v>
      </c>
      <c r="W24" s="180">
        <f>MROUND(W15*$B$24,W13)</f>
        <v>0</v>
      </c>
      <c r="X24" s="166"/>
      <c r="Y24" s="167">
        <f t="shared" si="6"/>
        <v>0</v>
      </c>
      <c r="Z24" s="180">
        <f>MROUND(Z15*$B$24,Z13)</f>
        <v>0</v>
      </c>
      <c r="AA24" s="166"/>
      <c r="AB24" s="167">
        <f t="shared" si="7"/>
        <v>0</v>
      </c>
      <c r="AC24" s="180">
        <f>MROUND(AC15*$B$24,AC13)</f>
        <v>0</v>
      </c>
      <c r="AD24" s="166"/>
      <c r="AE24" s="167">
        <f t="shared" si="8"/>
        <v>0</v>
      </c>
      <c r="AF24" s="180">
        <f>MROUND(AF15*$B$24,AF13)</f>
        <v>0</v>
      </c>
      <c r="AG24" s="166"/>
      <c r="AH24" s="167">
        <f t="shared" si="9"/>
        <v>0</v>
      </c>
      <c r="AI24" s="180">
        <f>MROUND(AI15*$B$24,AI13)</f>
        <v>0</v>
      </c>
      <c r="AJ24" s="166"/>
      <c r="AK24" s="167">
        <f t="shared" si="10"/>
        <v>0</v>
      </c>
      <c r="AL24" s="180">
        <f>MROUND(AL15*$B$24,AL13)</f>
        <v>0</v>
      </c>
      <c r="AM24" s="166"/>
      <c r="AN24" s="167">
        <f t="shared" si="11"/>
        <v>0</v>
      </c>
      <c r="AO24" s="180">
        <f>MROUND(AO15*$B$24,AO13)</f>
        <v>0</v>
      </c>
      <c r="AP24" s="166"/>
      <c r="AQ24" s="167">
        <f t="shared" si="12"/>
        <v>0</v>
      </c>
    </row>
    <row r="25" spans="1:43" hidden="1" x14ac:dyDescent="0.25">
      <c r="A25" s="171" t="s">
        <v>77</v>
      </c>
      <c r="B25" s="171">
        <f>IF($A$12="하",0,B24)</f>
        <v>0</v>
      </c>
      <c r="C25" s="171">
        <f>IF($A$12="하",0,5)</f>
        <v>0</v>
      </c>
      <c r="D25" s="172">
        <f t="shared" si="0"/>
        <v>0</v>
      </c>
      <c r="E25" s="180">
        <f>MROUND($E$15*$B$25,E13)</f>
        <v>0</v>
      </c>
      <c r="F25" s="166"/>
      <c r="G25" s="167">
        <f t="shared" si="14"/>
        <v>0</v>
      </c>
      <c r="H25" s="180">
        <f>MROUND(H15*$B$25,H13)</f>
        <v>0</v>
      </c>
      <c r="I25" s="166"/>
      <c r="J25" s="167">
        <f t="shared" si="1"/>
        <v>0</v>
      </c>
      <c r="K25" s="180">
        <f>MROUND(K15*$B$25,K13)</f>
        <v>0</v>
      </c>
      <c r="L25" s="166"/>
      <c r="M25" s="167">
        <f t="shared" si="2"/>
        <v>0</v>
      </c>
      <c r="N25" s="180">
        <f>MROUND(N15*$B$25,N13)</f>
        <v>0</v>
      </c>
      <c r="O25" s="166"/>
      <c r="P25" s="167">
        <f t="shared" si="3"/>
        <v>0</v>
      </c>
      <c r="Q25" s="180">
        <f>MROUND(Q15*$B$25,Q13)</f>
        <v>0</v>
      </c>
      <c r="R25" s="166"/>
      <c r="S25" s="167">
        <f t="shared" si="4"/>
        <v>0</v>
      </c>
      <c r="T25" s="180">
        <f>MROUND(T15*$B$25,T13)</f>
        <v>0</v>
      </c>
      <c r="U25" s="166"/>
      <c r="V25" s="167">
        <f t="shared" si="5"/>
        <v>0</v>
      </c>
      <c r="W25" s="180">
        <f>MROUND(W15*$B$25,W13)</f>
        <v>0</v>
      </c>
      <c r="X25" s="166"/>
      <c r="Y25" s="167">
        <f t="shared" si="6"/>
        <v>0</v>
      </c>
      <c r="Z25" s="180">
        <f>MROUND(Z15*$B$25,Z13)</f>
        <v>0</v>
      </c>
      <c r="AA25" s="166"/>
      <c r="AB25" s="167">
        <f t="shared" si="7"/>
        <v>0</v>
      </c>
      <c r="AC25" s="180">
        <f>MROUND(AC15*$B$25,AC13)</f>
        <v>0</v>
      </c>
      <c r="AD25" s="166"/>
      <c r="AE25" s="167">
        <f t="shared" si="8"/>
        <v>0</v>
      </c>
      <c r="AF25" s="180">
        <f>MROUND(AF15*$B$25,AF13)</f>
        <v>0</v>
      </c>
      <c r="AG25" s="166"/>
      <c r="AH25" s="167">
        <f t="shared" si="9"/>
        <v>0</v>
      </c>
      <c r="AI25" s="180">
        <f>MROUND(AI15*$B$25,AI13)</f>
        <v>0</v>
      </c>
      <c r="AJ25" s="166"/>
      <c r="AK25" s="167">
        <f t="shared" si="10"/>
        <v>0</v>
      </c>
      <c r="AL25" s="180">
        <f>MROUND(AL15*$B$25,AL13)</f>
        <v>0</v>
      </c>
      <c r="AM25" s="166"/>
      <c r="AN25" s="167">
        <f t="shared" si="11"/>
        <v>0</v>
      </c>
      <c r="AO25" s="180">
        <f>MROUND(AO15*$B$25,AO13)</f>
        <v>0</v>
      </c>
      <c r="AP25" s="166"/>
      <c r="AQ25" s="167">
        <f t="shared" si="12"/>
        <v>0</v>
      </c>
    </row>
    <row r="26" spans="1:43" ht="17.25" thickBot="1" x14ac:dyDescent="0.3">
      <c r="A26" s="171" t="s">
        <v>87</v>
      </c>
      <c r="B26" s="171">
        <f>IFERROR(D26/C26/(1-$E$10*C26),0)</f>
        <v>1</v>
      </c>
      <c r="C26" s="173">
        <f>SUM(C16:C25)</f>
        <v>40</v>
      </c>
      <c r="D26" s="172">
        <f>SUM(D15:D25)</f>
        <v>20</v>
      </c>
      <c r="E26" s="181">
        <f>IFERROR(G26/F26/(1-$E$10*F26),0)</f>
        <v>196</v>
      </c>
      <c r="F26" s="168">
        <f>SUM(F16:F25)</f>
        <v>30</v>
      </c>
      <c r="G26" s="169">
        <f>SUM(G16:G25)</f>
        <v>3675</v>
      </c>
      <c r="H26" s="181">
        <f>IFERROR(J26/I26/(1-$E$10*I26),0)</f>
        <v>169.56521739130437</v>
      </c>
      <c r="I26" s="168">
        <f>SUM(I16:I25)</f>
        <v>34</v>
      </c>
      <c r="J26" s="169">
        <f>SUM(J16:J25)</f>
        <v>3315</v>
      </c>
      <c r="K26" s="181">
        <f>IFERROR(M26/L26/(1-$E$10*L26),0)</f>
        <v>295.6521739130435</v>
      </c>
      <c r="L26" s="168">
        <f>SUM(L16:L25)</f>
        <v>57</v>
      </c>
      <c r="M26" s="169">
        <f>SUM(M16:M25)</f>
        <v>4845</v>
      </c>
      <c r="N26" s="181">
        <f>IFERROR(P26/O26/(1-$E$10*O26),0)</f>
        <v>160.10006253908696</v>
      </c>
      <c r="O26" s="168">
        <f>SUM(O15:O25)</f>
        <v>39</v>
      </c>
      <c r="P26" s="168">
        <f>SUM(P15:P25)</f>
        <v>3200</v>
      </c>
      <c r="Q26" s="181">
        <f>IFERROR(S26/R26/(1-$E$10*R26),0)</f>
        <v>160</v>
      </c>
      <c r="R26" s="168">
        <f>SUM(R15:R25)</f>
        <v>40</v>
      </c>
      <c r="S26" s="168">
        <f>SUM(S15:S25)</f>
        <v>3200</v>
      </c>
      <c r="T26" s="181">
        <f>IFERROR(V26/U26/(1-$E$10*U26),0)</f>
        <v>168.42105263157896</v>
      </c>
      <c r="U26" s="168">
        <f>SUM(U15:U25)</f>
        <v>42</v>
      </c>
      <c r="V26" s="168">
        <f>SUM(V15:V25)</f>
        <v>3360</v>
      </c>
      <c r="W26" s="181">
        <f>IFERROR(Y26/X26/(1-$E$10*X26),0)</f>
        <v>189.11819887429644</v>
      </c>
      <c r="X26" s="168">
        <f>SUM(X15:X25)</f>
        <v>41</v>
      </c>
      <c r="Y26" s="168">
        <f>SUM(Y15:Y25)</f>
        <v>3780</v>
      </c>
      <c r="Z26" s="181">
        <f>IFERROR(AB26/AA26/(1-$E$10*AA26),0)</f>
        <v>240.40920716112538</v>
      </c>
      <c r="AA26" s="168">
        <f>SUM(AA15:AA25)</f>
        <v>46</v>
      </c>
      <c r="AB26" s="168">
        <f>SUM(AB15:AB25)</f>
        <v>4700</v>
      </c>
      <c r="AC26" s="181">
        <f>IFERROR(AE26/AD26/(1-$E$10*AD26),0)</f>
        <v>208.69565217391306</v>
      </c>
      <c r="AD26" s="168">
        <f>SUM(AD15:AD25)</f>
        <v>34</v>
      </c>
      <c r="AE26" s="168">
        <f>SUM(AE15:AE25)</f>
        <v>4080</v>
      </c>
      <c r="AF26" s="181">
        <f>IFERROR(AH26/AG26/(1-$E$10*AG26),0)</f>
        <v>257.01587301587301</v>
      </c>
      <c r="AG26" s="168">
        <f>SUM(AG15:AG25)</f>
        <v>45</v>
      </c>
      <c r="AH26" s="168">
        <f>SUM(AH15:AH25)</f>
        <v>5060</v>
      </c>
      <c r="AI26" s="181">
        <f>IFERROR(AK26/AJ26/(1-$E$10*AJ26),0)</f>
        <v>177.2151898734177</v>
      </c>
      <c r="AJ26" s="168">
        <f>SUM(AJ15:AJ25)</f>
        <v>1</v>
      </c>
      <c r="AK26" s="168">
        <f>SUM(AK15:AK25)</f>
        <v>175</v>
      </c>
      <c r="AL26" s="181">
        <f>IFERROR(AN26/AM26/(1-$E$10*AM26),0)</f>
        <v>0</v>
      </c>
      <c r="AM26" s="168">
        <f>SUM(AM15:AM25)</f>
        <v>0</v>
      </c>
      <c r="AN26" s="168">
        <f>SUM(AN15:AN25)</f>
        <v>0</v>
      </c>
      <c r="AO26" s="181">
        <f>IFERROR(AQ26/AP26/(1-$E$10*AP26),0)</f>
        <v>0</v>
      </c>
      <c r="AP26" s="168">
        <f>SUM(AP15:AP25)</f>
        <v>0</v>
      </c>
      <c r="AQ26" s="168">
        <f>SUM(AQ15:AQ25)</f>
        <v>0</v>
      </c>
    </row>
    <row r="27" spans="1:43" s="184" customFormat="1" x14ac:dyDescent="0.25">
      <c r="A27" s="183">
        <f ca="1">ROUNDUP((TODAY()-A11+1)/7,0)</f>
        <v>11</v>
      </c>
    </row>
  </sheetData>
  <phoneticPr fontId="8" alignment="center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17C3-89AB-A84F-8687-01D634E13B53}">
  <sheetPr>
    <tabColor rgb="FFFFFF00"/>
  </sheetPr>
  <dimension ref="A1:Y41"/>
  <sheetViews>
    <sheetView zoomScaleNormal="60" zoomScaleSheetLayoutView="100" workbookViewId="0">
      <pane xSplit="4" ySplit="13" topLeftCell="E14" activePane="bottomRight" state="frozen"/>
      <selection activeCell="F15" sqref="F15"/>
      <selection pane="bottomLeft" activeCell="A13" sqref="A13"/>
      <selection pane="topRight" activeCell="E1" sqref="E1"/>
      <selection pane="bottomRight" activeCell="E14" sqref="E14"/>
    </sheetView>
  </sheetViews>
  <sheetFormatPr defaultColWidth="4.94921875" defaultRowHeight="16.5" x14ac:dyDescent="0.25"/>
  <cols>
    <col min="1" max="1" width="15.47265625" customWidth="1"/>
    <col min="2" max="3" width="4.94921875" hidden="1" customWidth="1"/>
    <col min="4" max="4" width="8.16796875" hidden="1" customWidth="1"/>
    <col min="5" max="5" width="6.8046875" bestFit="1" customWidth="1"/>
    <col min="7" max="8" width="6.8046875" bestFit="1" customWidth="1"/>
    <col min="9" max="9" width="5.19921875" bestFit="1" customWidth="1"/>
    <col min="11" max="11" width="6.8046875" bestFit="1" customWidth="1"/>
    <col min="12" max="12" width="5.19921875" bestFit="1" customWidth="1"/>
    <col min="14" max="14" width="6.8046875" bestFit="1" customWidth="1"/>
    <col min="15" max="15" width="5.19921875" bestFit="1" customWidth="1"/>
    <col min="17" max="17" width="6.8046875" bestFit="1" customWidth="1"/>
    <col min="18" max="18" width="5.19921875" bestFit="1" customWidth="1"/>
    <col min="20" max="20" width="6.8046875" bestFit="1" customWidth="1"/>
    <col min="21" max="21" width="5.19921875" bestFit="1" customWidth="1"/>
    <col min="23" max="23" width="6.8046875" bestFit="1" customWidth="1"/>
    <col min="24" max="24" width="5.19921875" bestFit="1" customWidth="1"/>
  </cols>
  <sheetData>
    <row r="1" spans="1:25" ht="16.5" hidden="1" customHeight="1" x14ac:dyDescent="0.25">
      <c r="A1" s="139">
        <v>1</v>
      </c>
      <c r="B1">
        <v>2</v>
      </c>
      <c r="C1">
        <v>3</v>
      </c>
      <c r="F1" t="s">
        <v>16</v>
      </c>
      <c r="G1">
        <f>B1</f>
        <v>2</v>
      </c>
    </row>
    <row r="2" spans="1:25" ht="16.5" hidden="1" customHeight="1" x14ac:dyDescent="0.25">
      <c r="A2" s="187" t="s">
        <v>60</v>
      </c>
      <c r="B2" s="178" t="s">
        <v>16</v>
      </c>
      <c r="C2" s="178" t="s">
        <v>8</v>
      </c>
      <c r="D2" s="139" t="s">
        <v>60</v>
      </c>
      <c r="E2" t="str">
        <f>VLOOKUP(D2,$A$2:$C$10,$B$12,0)</f>
        <v>상</v>
      </c>
      <c r="F2" t="s">
        <v>8</v>
      </c>
      <c r="G2">
        <f>C1</f>
        <v>3</v>
      </c>
    </row>
    <row r="3" spans="1:25" ht="59.25" hidden="1" customHeight="1" x14ac:dyDescent="0.25">
      <c r="A3" s="187" t="s">
        <v>65</v>
      </c>
      <c r="B3" s="178">
        <v>300</v>
      </c>
      <c r="C3" s="178">
        <v>240</v>
      </c>
      <c r="D3" s="139" t="s">
        <v>65</v>
      </c>
      <c r="E3">
        <f>VLOOKUP(D3,$A$2:$C$10,$B$12,0)</f>
        <v>300</v>
      </c>
    </row>
    <row r="4" spans="1:25" ht="59.25" hidden="1" customHeight="1" x14ac:dyDescent="0.25">
      <c r="A4" s="187" t="s">
        <v>66</v>
      </c>
      <c r="B4" s="178">
        <v>200</v>
      </c>
      <c r="C4" s="178">
        <v>160</v>
      </c>
      <c r="D4" s="139" t="s">
        <v>66</v>
      </c>
      <c r="E4">
        <f>VLOOKUP(D4,$A$2:$C$10,$B$12,0)</f>
        <v>200</v>
      </c>
    </row>
    <row r="5" spans="1:25" ht="59.25" hidden="1" customHeight="1" x14ac:dyDescent="0.25">
      <c r="A5" s="187" t="s">
        <v>61</v>
      </c>
      <c r="B5" s="178">
        <f>B3/4</f>
        <v>75</v>
      </c>
      <c r="C5" s="178">
        <f>C3/4</f>
        <v>60</v>
      </c>
      <c r="D5" s="139" t="s">
        <v>61</v>
      </c>
      <c r="E5">
        <f>VLOOKUP(D5,$A$2:$C$10,$B$12,0)</f>
        <v>75</v>
      </c>
    </row>
    <row r="6" spans="1:25" ht="59.25" hidden="1" customHeight="1" x14ac:dyDescent="0.25">
      <c r="A6" s="187" t="s">
        <v>62</v>
      </c>
      <c r="B6" s="178">
        <f>B4/4</f>
        <v>50</v>
      </c>
      <c r="C6" s="178">
        <f>C4/4</f>
        <v>40</v>
      </c>
      <c r="D6" s="139" t="s">
        <v>62</v>
      </c>
      <c r="E6">
        <f>VLOOKUP(D6,$A$2:$C$10,$B$12,0)</f>
        <v>50</v>
      </c>
    </row>
    <row r="7" spans="1:25" ht="30" hidden="1" customHeight="1" x14ac:dyDescent="0.25">
      <c r="A7" s="187" t="s">
        <v>63</v>
      </c>
      <c r="B7">
        <v>5</v>
      </c>
      <c r="C7">
        <v>5</v>
      </c>
      <c r="D7" s="139" t="s">
        <v>63</v>
      </c>
      <c r="E7">
        <f>VLOOKUP(D7,$A$2:$C$10,$B$12,0)</f>
        <v>5</v>
      </c>
    </row>
    <row r="8" spans="1:25" ht="30" hidden="1" customHeight="1" x14ac:dyDescent="0.25">
      <c r="A8" s="187" t="s">
        <v>64</v>
      </c>
      <c r="B8" s="178">
        <f>B6/B7</f>
        <v>10</v>
      </c>
      <c r="C8" s="178">
        <f>C6/C7</f>
        <v>8</v>
      </c>
      <c r="D8" s="139" t="s">
        <v>64</v>
      </c>
      <c r="E8">
        <f>VLOOKUP(D8,$A$2:$C$10,$B$12,0)</f>
        <v>10</v>
      </c>
    </row>
    <row r="9" spans="1:25" ht="30" hidden="1" customHeight="1" x14ac:dyDescent="0.25">
      <c r="A9" s="187" t="s">
        <v>67</v>
      </c>
      <c r="B9" s="160">
        <v>0.7</v>
      </c>
      <c r="C9" s="160">
        <f>B9</f>
        <v>0.7</v>
      </c>
      <c r="D9" s="139" t="s">
        <v>67</v>
      </c>
      <c r="E9" s="160">
        <f>VLOOKUP(D9,$A$2:$C$10,$B$12,0)</f>
        <v>0.7</v>
      </c>
    </row>
    <row r="10" spans="1:25" ht="16.5" hidden="1" customHeight="1" x14ac:dyDescent="0.25">
      <c r="A10" s="187" t="s">
        <v>80</v>
      </c>
      <c r="B10" s="188">
        <f>(1-B9)/B6</f>
        <v>6.000000000000001E-3</v>
      </c>
      <c r="C10" s="188">
        <f>(1-C9)/C6</f>
        <v>7.5000000000000015E-3</v>
      </c>
      <c r="D10" s="139" t="s">
        <v>80</v>
      </c>
      <c r="E10" s="161">
        <f>VLOOKUP(D10,$A$2:$C$10,$B$12,0)</f>
        <v>6.000000000000001E-3</v>
      </c>
    </row>
    <row r="11" spans="1:25" ht="16.5" customHeight="1" x14ac:dyDescent="0.25">
      <c r="A11" s="182">
        <v>45837</v>
      </c>
      <c r="B11" s="161"/>
      <c r="C11" s="161"/>
      <c r="D11" s="139"/>
      <c r="E11" s="185">
        <v>1</v>
      </c>
      <c r="F11" s="184" t="str">
        <f ca="1">IF($A$27&lt;=E11,"MIN","")</f>
        <v>MIN</v>
      </c>
      <c r="G11" s="184">
        <f ca="1">IF($A$27&lt;E11,0,$E$6*E11-G13)</f>
        <v>50</v>
      </c>
      <c r="H11" s="185">
        <f>ROUNDUP(G13/$E$6,0)</f>
        <v>0</v>
      </c>
      <c r="I11" s="184" t="str">
        <f ca="1">IF($A$27&lt;=H11,"MIN","")</f>
        <v/>
      </c>
      <c r="J11" s="184">
        <f ca="1">IF($A$27&lt;H11,0,$E$6*H11-J13)</f>
        <v>0</v>
      </c>
      <c r="K11" s="185">
        <f>ROUNDUP(J13/$E$6,0)</f>
        <v>0</v>
      </c>
      <c r="L11" s="184" t="str">
        <f ca="1">IF($A$27&lt;=K11,"MIN","")</f>
        <v/>
      </c>
      <c r="M11" s="184">
        <f ca="1">IF($A$27&lt;K11,0,$E$6*K11-M13)</f>
        <v>0</v>
      </c>
      <c r="N11" s="185">
        <f>ROUNDUP(M13/$E$6,0)</f>
        <v>0</v>
      </c>
      <c r="O11" s="184" t="str">
        <f ca="1">IF($A$27&lt;=N11,"MIN","")</f>
        <v/>
      </c>
      <c r="P11" s="184">
        <f ca="1">IF($A$27&lt;N11,0,$E$6*N11-P13)</f>
        <v>0</v>
      </c>
      <c r="Q11" s="185">
        <f>ROUNDUP(P13/$E$6,0)</f>
        <v>0</v>
      </c>
      <c r="R11" s="184" t="str">
        <f ca="1">IF($A$27&lt;=Q11,"MIN","")</f>
        <v/>
      </c>
      <c r="S11" s="184">
        <f ca="1">IF($A$27&lt;Q11,0,$E$6*Q11-S13)</f>
        <v>0</v>
      </c>
      <c r="T11" s="185">
        <f>ROUNDUP(S13/$E$6,0)</f>
        <v>0</v>
      </c>
      <c r="U11" s="184" t="str">
        <f ca="1">IF($A$27&lt;=T11,"MIN","")</f>
        <v/>
      </c>
      <c r="V11" s="184">
        <f ca="1">IF($A$27&lt;T11,0,$E$6*T11-V13)</f>
        <v>0</v>
      </c>
      <c r="W11" s="185">
        <f>ROUNDUP(V13/$E$6,0)</f>
        <v>0</v>
      </c>
      <c r="X11" s="184" t="str">
        <f ca="1">IF($A$27&lt;=W11,"MIN","")</f>
        <v/>
      </c>
      <c r="Y11" s="184">
        <f ca="1">IF($A$27&lt;W11,0,$E$6*W11-Y13)</f>
        <v>0</v>
      </c>
    </row>
    <row r="12" spans="1:25" s="164" customFormat="1" x14ac:dyDescent="0.25">
      <c r="A12" s="165" t="s">
        <v>16</v>
      </c>
      <c r="B12" s="174">
        <f>VLOOKUP(A12,$F$1:$G$2,2,0)</f>
        <v>2</v>
      </c>
      <c r="C12" s="163"/>
      <c r="D12" s="162"/>
      <c r="E12"/>
      <c r="F12" s="184" t="str">
        <f ca="1">IF($A$27=E12,"MAX","")</f>
        <v/>
      </c>
      <c r="G12" s="184">
        <f>$E$5*E12-G13</f>
        <v>0</v>
      </c>
      <c r="H12" s="185">
        <f>ROUNDUP(G13/$E$5,0)</f>
        <v>0</v>
      </c>
      <c r="I12" s="184" t="str">
        <f ca="1">IF($A$27=H12,"MAX","")</f>
        <v/>
      </c>
      <c r="J12" s="184">
        <f>$E$5*H12-J13</f>
        <v>0</v>
      </c>
      <c r="K12" s="185">
        <f>ROUNDUP(J13/$E$5,0)</f>
        <v>0</v>
      </c>
      <c r="L12" s="184" t="str">
        <f ca="1">IF($A$27=K12,"MAX","")</f>
        <v/>
      </c>
      <c r="M12" s="184">
        <f>$E$5*K12-M13</f>
        <v>0</v>
      </c>
      <c r="N12" s="185">
        <f>ROUNDUP(M13/$E$5,0)</f>
        <v>0</v>
      </c>
      <c r="O12" s="184" t="str">
        <f ca="1">IF($A$27=N12,"MAX","")</f>
        <v/>
      </c>
      <c r="P12" s="184">
        <f>$E$5*N12-P13</f>
        <v>0</v>
      </c>
      <c r="Q12" s="185">
        <f>ROUNDUP(P13/$E$5,0)</f>
        <v>0</v>
      </c>
      <c r="R12" s="184" t="str">
        <f ca="1">IF($A$27=Q12,"MAX","")</f>
        <v/>
      </c>
      <c r="S12" s="184">
        <f>$E$5*Q12-S13</f>
        <v>0</v>
      </c>
      <c r="T12" s="185">
        <f>ROUNDUP(S13/$E$5,0)</f>
        <v>0</v>
      </c>
      <c r="U12" s="184" t="str">
        <f ca="1">IF($A$27=T12,"MAX","")</f>
        <v/>
      </c>
      <c r="V12" s="184">
        <f>$E$5*T12-V13</f>
        <v>0</v>
      </c>
      <c r="W12" s="185">
        <f>ROUNDUP(V13/$E$5,0)</f>
        <v>0</v>
      </c>
      <c r="X12" s="184" t="str">
        <f ca="1">IF($A$27=W12,"MAX","")</f>
        <v/>
      </c>
      <c r="Y12" s="184">
        <f>$E$5*W12-Y13</f>
        <v>0</v>
      </c>
    </row>
    <row r="13" spans="1:25" ht="17.25" thickBot="1" x14ac:dyDescent="0.3">
      <c r="A13" s="170" t="s">
        <v>79</v>
      </c>
      <c r="E13" s="35">
        <v>2.5</v>
      </c>
      <c r="F13" s="177" t="s">
        <v>88</v>
      </c>
      <c r="G13" s="178">
        <f>D13+F26</f>
        <v>0</v>
      </c>
      <c r="H13" s="35">
        <f>E13</f>
        <v>2.5</v>
      </c>
      <c r="I13" s="177" t="s">
        <v>88</v>
      </c>
      <c r="J13" s="178">
        <f>G13+I26</f>
        <v>0</v>
      </c>
      <c r="K13" s="35">
        <f>H13</f>
        <v>2.5</v>
      </c>
      <c r="L13" s="177" t="s">
        <v>88</v>
      </c>
      <c r="M13" s="178">
        <f>J13+L26</f>
        <v>0</v>
      </c>
      <c r="N13" s="35">
        <f>K13</f>
        <v>2.5</v>
      </c>
      <c r="O13" s="177" t="s">
        <v>88</v>
      </c>
      <c r="P13" s="178">
        <f>M13+O26</f>
        <v>0</v>
      </c>
      <c r="Q13" s="35">
        <f>N13</f>
        <v>2.5</v>
      </c>
      <c r="R13" s="177" t="s">
        <v>88</v>
      </c>
      <c r="S13" s="178">
        <f>P13+R26</f>
        <v>0</v>
      </c>
      <c r="T13" s="35">
        <f>Q13</f>
        <v>2.5</v>
      </c>
      <c r="U13" s="177" t="s">
        <v>88</v>
      </c>
      <c r="V13" s="178">
        <f>S13+U26</f>
        <v>0</v>
      </c>
      <c r="W13" s="35">
        <f>T13</f>
        <v>2.5</v>
      </c>
      <c r="X13" s="177" t="s">
        <v>88</v>
      </c>
      <c r="Y13" s="178">
        <f>V13+X26</f>
        <v>0</v>
      </c>
    </row>
    <row r="14" spans="1:25" x14ac:dyDescent="0.25">
      <c r="A14" s="171" t="s">
        <v>60</v>
      </c>
      <c r="B14" s="171" t="s">
        <v>83</v>
      </c>
      <c r="C14" s="171" t="s">
        <v>82</v>
      </c>
      <c r="D14" s="171" t="s">
        <v>84</v>
      </c>
      <c r="E14" s="9" t="s">
        <v>78</v>
      </c>
      <c r="F14" s="175" t="s">
        <v>81</v>
      </c>
      <c r="G14" s="176" t="s">
        <v>85</v>
      </c>
      <c r="H14" s="9" t="str">
        <f>E14</f>
        <v>SQ</v>
      </c>
      <c r="I14" s="175" t="str">
        <f>F14</f>
        <v>개수</v>
      </c>
      <c r="J14" s="176" t="str">
        <f>G14</f>
        <v>볼륨</v>
      </c>
      <c r="K14" s="9" t="str">
        <f>H14</f>
        <v>SQ</v>
      </c>
      <c r="L14" s="175" t="str">
        <f>I14</f>
        <v>개수</v>
      </c>
      <c r="M14" s="176" t="str">
        <f>J14</f>
        <v>볼륨</v>
      </c>
      <c r="N14" s="9" t="str">
        <f>K14</f>
        <v>SQ</v>
      </c>
      <c r="O14" s="175" t="str">
        <f>L14</f>
        <v>개수</v>
      </c>
      <c r="P14" s="176" t="str">
        <f>M14</f>
        <v>볼륨</v>
      </c>
      <c r="Q14" s="9" t="str">
        <f>N14</f>
        <v>SQ</v>
      </c>
      <c r="R14" s="175" t="str">
        <f>O14</f>
        <v>개수</v>
      </c>
      <c r="S14" s="176" t="str">
        <f>P14</f>
        <v>볼륨</v>
      </c>
      <c r="T14" s="9" t="str">
        <f>Q14</f>
        <v>SQ</v>
      </c>
      <c r="U14" s="175" t="str">
        <f>R14</f>
        <v>개수</v>
      </c>
      <c r="V14" s="176" t="str">
        <f>S14</f>
        <v>볼륨</v>
      </c>
      <c r="W14" s="9" t="str">
        <f>T14</f>
        <v>SQ</v>
      </c>
      <c r="X14" s="175" t="str">
        <f>U14</f>
        <v>개수</v>
      </c>
      <c r="Y14" s="176" t="str">
        <f>V14</f>
        <v>볼륨</v>
      </c>
    </row>
    <row r="15" spans="1:25" x14ac:dyDescent="0.25">
      <c r="A15" s="171" t="s">
        <v>86</v>
      </c>
      <c r="B15" s="172">
        <v>1</v>
      </c>
      <c r="C15" s="171">
        <v>0</v>
      </c>
      <c r="D15" s="172">
        <f>B15*C15</f>
        <v>0</v>
      </c>
      <c r="E15" s="179">
        <v>200</v>
      </c>
      <c r="F15" s="166"/>
      <c r="G15" s="167">
        <f>E15*F15</f>
        <v>0</v>
      </c>
      <c r="H15" s="179">
        <f>E26</f>
        <v>0</v>
      </c>
      <c r="I15" s="166"/>
      <c r="J15" s="167">
        <f>H15*I15</f>
        <v>0</v>
      </c>
      <c r="K15" s="179">
        <f>H26</f>
        <v>0</v>
      </c>
      <c r="L15" s="166"/>
      <c r="M15" s="167">
        <f>K15*L15</f>
        <v>0</v>
      </c>
      <c r="N15" s="179">
        <f>K26</f>
        <v>0</v>
      </c>
      <c r="O15" s="166"/>
      <c r="P15" s="167">
        <f>N15*O15</f>
        <v>0</v>
      </c>
      <c r="Q15" s="179">
        <f>N26</f>
        <v>0</v>
      </c>
      <c r="R15" s="166"/>
      <c r="S15" s="167">
        <f>Q15*R15</f>
        <v>0</v>
      </c>
      <c r="T15" s="179">
        <f>Q26</f>
        <v>0</v>
      </c>
      <c r="U15" s="166"/>
      <c r="V15" s="167">
        <f>T15*U15</f>
        <v>0</v>
      </c>
      <c r="W15" s="179">
        <f>T26</f>
        <v>0</v>
      </c>
      <c r="X15" s="166"/>
      <c r="Y15" s="167">
        <f>W15*X15</f>
        <v>0</v>
      </c>
    </row>
    <row r="16" spans="1:25" x14ac:dyDescent="0.25">
      <c r="A16" s="171" t="s">
        <v>68</v>
      </c>
      <c r="B16" s="172">
        <f>E9</f>
        <v>0.7</v>
      </c>
      <c r="C16" s="171">
        <v>5</v>
      </c>
      <c r="D16" s="172">
        <f t="shared" ref="D16:D25" si="0">B16*C16</f>
        <v>3.5</v>
      </c>
      <c r="E16" s="180">
        <f>MROUND($E$15*$B$16,E13)</f>
        <v>140</v>
      </c>
      <c r="F16" s="166"/>
      <c r="G16" s="167">
        <f t="shared" ref="G16:G25" si="1">E16*F16</f>
        <v>0</v>
      </c>
      <c r="H16" s="180">
        <f>MROUND(H15*$B$16,H13)</f>
        <v>0</v>
      </c>
      <c r="I16" s="166"/>
      <c r="J16" s="167">
        <f t="shared" ref="J16:J25" si="2">H16*I16</f>
        <v>0</v>
      </c>
      <c r="K16" s="180">
        <f>MROUND(K15*$B$16,K13)</f>
        <v>0</v>
      </c>
      <c r="L16" s="166"/>
      <c r="M16" s="167">
        <f t="shared" ref="M16:M25" si="3">K16*L16</f>
        <v>0</v>
      </c>
      <c r="N16" s="180">
        <f>MROUND(N15*$B$16,N13)</f>
        <v>0</v>
      </c>
      <c r="O16" s="166"/>
      <c r="P16" s="167">
        <f t="shared" ref="P16:P25" si="4">N16*O16</f>
        <v>0</v>
      </c>
      <c r="Q16" s="180">
        <f>MROUND(Q15*$B$16,Q13)</f>
        <v>0</v>
      </c>
      <c r="R16" s="166"/>
      <c r="S16" s="167">
        <f t="shared" ref="S16:S25" si="5">Q16*R16</f>
        <v>0</v>
      </c>
      <c r="T16" s="180">
        <f>MROUND(T15*$B$16,T13)</f>
        <v>0</v>
      </c>
      <c r="U16" s="166"/>
      <c r="V16" s="167">
        <f t="shared" ref="V16:V25" si="6">T16*U16</f>
        <v>0</v>
      </c>
      <c r="W16" s="180">
        <f>MROUND(W15*$B$16,W13)</f>
        <v>0</v>
      </c>
      <c r="X16" s="166"/>
      <c r="Y16" s="167">
        <f t="shared" ref="Y16:Y25" si="7">W16*X16</f>
        <v>0</v>
      </c>
    </row>
    <row r="17" spans="1:25" x14ac:dyDescent="0.25">
      <c r="A17" s="171" t="s">
        <v>69</v>
      </c>
      <c r="B17" s="172">
        <f>B16</f>
        <v>0.7</v>
      </c>
      <c r="C17" s="171">
        <v>5</v>
      </c>
      <c r="D17" s="172">
        <f t="shared" si="0"/>
        <v>3.5</v>
      </c>
      <c r="E17" s="180">
        <f>MROUND($E$15*$B$17,E13)</f>
        <v>140</v>
      </c>
      <c r="F17" s="166"/>
      <c r="G17" s="167">
        <f t="shared" si="1"/>
        <v>0</v>
      </c>
      <c r="H17" s="180">
        <f>MROUND(H15*$B$17,H13)</f>
        <v>0</v>
      </c>
      <c r="I17" s="166"/>
      <c r="J17" s="167">
        <f t="shared" si="2"/>
        <v>0</v>
      </c>
      <c r="K17" s="180">
        <f>MROUND(K15*$B$17,K13)</f>
        <v>0</v>
      </c>
      <c r="L17" s="166"/>
      <c r="M17" s="167">
        <f t="shared" si="3"/>
        <v>0</v>
      </c>
      <c r="N17" s="180">
        <f>MROUND(N15*$B$17,N13)</f>
        <v>0</v>
      </c>
      <c r="O17" s="166"/>
      <c r="P17" s="167">
        <f t="shared" si="4"/>
        <v>0</v>
      </c>
      <c r="Q17" s="180">
        <f>MROUND(Q15*$B$17,Q13)</f>
        <v>0</v>
      </c>
      <c r="R17" s="166"/>
      <c r="S17" s="167">
        <f t="shared" si="5"/>
        <v>0</v>
      </c>
      <c r="T17" s="180">
        <f>MROUND(T15*$B$17,T13)</f>
        <v>0</v>
      </c>
      <c r="U17" s="166"/>
      <c r="V17" s="167">
        <f t="shared" si="6"/>
        <v>0</v>
      </c>
      <c r="W17" s="180">
        <f>MROUND(W15*$B$17,W13)</f>
        <v>0</v>
      </c>
      <c r="X17" s="166"/>
      <c r="Y17" s="167">
        <f t="shared" si="7"/>
        <v>0</v>
      </c>
    </row>
    <row r="18" spans="1:25" x14ac:dyDescent="0.25">
      <c r="A18" s="171" t="s">
        <v>70</v>
      </c>
      <c r="B18" s="172">
        <f t="shared" ref="B18:B23" si="8">B17</f>
        <v>0.7</v>
      </c>
      <c r="C18" s="171">
        <v>5</v>
      </c>
      <c r="D18" s="172">
        <f t="shared" si="0"/>
        <v>3.5</v>
      </c>
      <c r="E18" s="180">
        <f>MROUND($E$15*$B$18,E13)</f>
        <v>140</v>
      </c>
      <c r="F18" s="166"/>
      <c r="G18" s="167">
        <f t="shared" si="1"/>
        <v>0</v>
      </c>
      <c r="H18" s="180">
        <f>MROUND(H15*$B$18,H13)</f>
        <v>0</v>
      </c>
      <c r="I18" s="166"/>
      <c r="J18" s="167">
        <f t="shared" si="2"/>
        <v>0</v>
      </c>
      <c r="K18" s="180">
        <f>MROUND(K15*$B$18,K13)</f>
        <v>0</v>
      </c>
      <c r="L18" s="166"/>
      <c r="M18" s="167">
        <f t="shared" si="3"/>
        <v>0</v>
      </c>
      <c r="N18" s="180">
        <f>MROUND(N15*$B$18,N13)</f>
        <v>0</v>
      </c>
      <c r="O18" s="166"/>
      <c r="P18" s="167">
        <f t="shared" si="4"/>
        <v>0</v>
      </c>
      <c r="Q18" s="180">
        <f>MROUND(Q15*$B$18,Q13)</f>
        <v>0</v>
      </c>
      <c r="R18" s="166"/>
      <c r="S18" s="167">
        <f t="shared" si="5"/>
        <v>0</v>
      </c>
      <c r="T18" s="180">
        <f>MROUND(T15*$B$18,T13)</f>
        <v>0</v>
      </c>
      <c r="U18" s="166"/>
      <c r="V18" s="167">
        <f t="shared" si="6"/>
        <v>0</v>
      </c>
      <c r="W18" s="180">
        <f>MROUND(W15*$B$18,W13)</f>
        <v>0</v>
      </c>
      <c r="X18" s="166"/>
      <c r="Y18" s="167">
        <f t="shared" si="7"/>
        <v>0</v>
      </c>
    </row>
    <row r="19" spans="1:25" x14ac:dyDescent="0.25">
      <c r="A19" s="171" t="s">
        <v>71</v>
      </c>
      <c r="B19" s="172">
        <f t="shared" si="8"/>
        <v>0.7</v>
      </c>
      <c r="C19" s="171">
        <v>5</v>
      </c>
      <c r="D19" s="172">
        <f t="shared" si="0"/>
        <v>3.5</v>
      </c>
      <c r="E19" s="180">
        <f>MROUND($E$15*$B$19,E13)</f>
        <v>140</v>
      </c>
      <c r="F19" s="166"/>
      <c r="G19" s="167">
        <f t="shared" si="1"/>
        <v>0</v>
      </c>
      <c r="H19" s="180">
        <f>MROUND(H15*$B$19,H13)</f>
        <v>0</v>
      </c>
      <c r="I19" s="166"/>
      <c r="J19" s="167">
        <f t="shared" si="2"/>
        <v>0</v>
      </c>
      <c r="K19" s="180">
        <f>MROUND(K15*$B$19,K13)</f>
        <v>0</v>
      </c>
      <c r="L19" s="166"/>
      <c r="M19" s="167">
        <f t="shared" si="3"/>
        <v>0</v>
      </c>
      <c r="N19" s="180">
        <f>MROUND(N15*$B$19,N13)</f>
        <v>0</v>
      </c>
      <c r="O19" s="166"/>
      <c r="P19" s="167">
        <f t="shared" si="4"/>
        <v>0</v>
      </c>
      <c r="Q19" s="180">
        <f>MROUND(Q15*$B$19,Q13)</f>
        <v>0</v>
      </c>
      <c r="R19" s="166"/>
      <c r="S19" s="167">
        <f t="shared" si="5"/>
        <v>0</v>
      </c>
      <c r="T19" s="180">
        <f>MROUND(T15*$B$19,T13)</f>
        <v>0</v>
      </c>
      <c r="U19" s="166"/>
      <c r="V19" s="167">
        <f t="shared" si="6"/>
        <v>0</v>
      </c>
      <c r="W19" s="180">
        <f>MROUND(W15*$B$19,W13)</f>
        <v>0</v>
      </c>
      <c r="X19" s="166"/>
      <c r="Y19" s="167">
        <f t="shared" si="7"/>
        <v>0</v>
      </c>
    </row>
    <row r="20" spans="1:25" x14ac:dyDescent="0.25">
      <c r="A20" s="171" t="s">
        <v>72</v>
      </c>
      <c r="B20" s="172">
        <f t="shared" si="8"/>
        <v>0.7</v>
      </c>
      <c r="C20" s="171">
        <v>5</v>
      </c>
      <c r="D20" s="172">
        <f t="shared" si="0"/>
        <v>3.5</v>
      </c>
      <c r="E20" s="180">
        <f>MROUND($E$15*$B$20,E13)</f>
        <v>140</v>
      </c>
      <c r="F20" s="166"/>
      <c r="G20" s="167">
        <f t="shared" si="1"/>
        <v>0</v>
      </c>
      <c r="H20" s="180">
        <f>MROUND(H15*$B$20,H13)</f>
        <v>0</v>
      </c>
      <c r="I20" s="166"/>
      <c r="J20" s="167">
        <f t="shared" si="2"/>
        <v>0</v>
      </c>
      <c r="K20" s="180">
        <f>MROUND(K15*$B$20,K13)</f>
        <v>0</v>
      </c>
      <c r="L20" s="166"/>
      <c r="M20" s="167">
        <f t="shared" si="3"/>
        <v>0</v>
      </c>
      <c r="N20" s="180">
        <f>MROUND(N15*$B$20,N13)</f>
        <v>0</v>
      </c>
      <c r="O20" s="166"/>
      <c r="P20" s="167">
        <f t="shared" si="4"/>
        <v>0</v>
      </c>
      <c r="Q20" s="180">
        <f>MROUND(Q15*$B$20,Q13)</f>
        <v>0</v>
      </c>
      <c r="R20" s="166"/>
      <c r="S20" s="167">
        <f t="shared" si="5"/>
        <v>0</v>
      </c>
      <c r="T20" s="180">
        <f>MROUND(T15*$B$20,T13)</f>
        <v>0</v>
      </c>
      <c r="U20" s="166"/>
      <c r="V20" s="167">
        <f t="shared" si="6"/>
        <v>0</v>
      </c>
      <c r="W20" s="180">
        <f>MROUND(W15*$B$20,W13)</f>
        <v>0</v>
      </c>
      <c r="X20" s="166"/>
      <c r="Y20" s="167">
        <f t="shared" si="7"/>
        <v>0</v>
      </c>
    </row>
    <row r="21" spans="1:25" x14ac:dyDescent="0.25">
      <c r="A21" s="171" t="s">
        <v>73</v>
      </c>
      <c r="B21" s="172">
        <f t="shared" si="8"/>
        <v>0.7</v>
      </c>
      <c r="C21" s="171">
        <v>5</v>
      </c>
      <c r="D21" s="172">
        <f t="shared" si="0"/>
        <v>3.5</v>
      </c>
      <c r="E21" s="180">
        <f>MROUND($E$15*$B$21,E13)</f>
        <v>140</v>
      </c>
      <c r="F21" s="166"/>
      <c r="G21" s="167">
        <f t="shared" si="1"/>
        <v>0</v>
      </c>
      <c r="H21" s="180">
        <f>MROUND(H15*$B$21,H13)</f>
        <v>0</v>
      </c>
      <c r="I21" s="166"/>
      <c r="J21" s="167">
        <f t="shared" si="2"/>
        <v>0</v>
      </c>
      <c r="K21" s="180">
        <f>MROUND(K15*$B$21,K13)</f>
        <v>0</v>
      </c>
      <c r="L21" s="166"/>
      <c r="M21" s="167">
        <f t="shared" si="3"/>
        <v>0</v>
      </c>
      <c r="N21" s="180">
        <f>MROUND(N15*$B$21,N13)</f>
        <v>0</v>
      </c>
      <c r="O21" s="166"/>
      <c r="P21" s="167">
        <f t="shared" si="4"/>
        <v>0</v>
      </c>
      <c r="Q21" s="180">
        <f>MROUND(Q15*$B$21,Q13)</f>
        <v>0</v>
      </c>
      <c r="R21" s="166"/>
      <c r="S21" s="167">
        <f t="shared" si="5"/>
        <v>0</v>
      </c>
      <c r="T21" s="180">
        <f>MROUND(T15*$B$21,T13)</f>
        <v>0</v>
      </c>
      <c r="U21" s="166"/>
      <c r="V21" s="167">
        <f t="shared" si="6"/>
        <v>0</v>
      </c>
      <c r="W21" s="180">
        <f>MROUND(W15*$B$21,W13)</f>
        <v>0</v>
      </c>
      <c r="X21" s="166"/>
      <c r="Y21" s="167">
        <f t="shared" si="7"/>
        <v>0</v>
      </c>
    </row>
    <row r="22" spans="1:25" x14ac:dyDescent="0.25">
      <c r="A22" s="171" t="s">
        <v>74</v>
      </c>
      <c r="B22" s="172">
        <f t="shared" si="8"/>
        <v>0.7</v>
      </c>
      <c r="C22" s="171">
        <v>5</v>
      </c>
      <c r="D22" s="172">
        <f t="shared" si="0"/>
        <v>3.5</v>
      </c>
      <c r="E22" s="180">
        <f>MROUND($E$15*$B$22,E13)</f>
        <v>140</v>
      </c>
      <c r="F22" s="166"/>
      <c r="G22" s="167">
        <f t="shared" si="1"/>
        <v>0</v>
      </c>
      <c r="H22" s="180">
        <f>MROUND(H15*$B$22,H13)</f>
        <v>0</v>
      </c>
      <c r="I22" s="166"/>
      <c r="J22" s="167">
        <f t="shared" si="2"/>
        <v>0</v>
      </c>
      <c r="K22" s="180">
        <f>MROUND(K15*$B$22,K13)</f>
        <v>0</v>
      </c>
      <c r="L22" s="166"/>
      <c r="M22" s="167">
        <f t="shared" si="3"/>
        <v>0</v>
      </c>
      <c r="N22" s="180">
        <f>MROUND(N15*$B$22,N13)</f>
        <v>0</v>
      </c>
      <c r="O22" s="166"/>
      <c r="P22" s="167">
        <f t="shared" si="4"/>
        <v>0</v>
      </c>
      <c r="Q22" s="180">
        <f>MROUND(Q15*$B$22,Q13)</f>
        <v>0</v>
      </c>
      <c r="R22" s="166"/>
      <c r="S22" s="167">
        <f t="shared" si="5"/>
        <v>0</v>
      </c>
      <c r="T22" s="180">
        <f>MROUND(T15*$B$22,T13)</f>
        <v>0</v>
      </c>
      <c r="U22" s="166"/>
      <c r="V22" s="167">
        <f t="shared" si="6"/>
        <v>0</v>
      </c>
      <c r="W22" s="180">
        <f>MROUND(W15*$B$22,W13)</f>
        <v>0</v>
      </c>
      <c r="X22" s="166"/>
      <c r="Y22" s="167">
        <f t="shared" si="7"/>
        <v>0</v>
      </c>
    </row>
    <row r="23" spans="1:25" x14ac:dyDescent="0.25">
      <c r="A23" s="171" t="s">
        <v>75</v>
      </c>
      <c r="B23" s="172">
        <f t="shared" si="8"/>
        <v>0.7</v>
      </c>
      <c r="C23" s="171">
        <v>5</v>
      </c>
      <c r="D23" s="172">
        <f t="shared" si="0"/>
        <v>3.5</v>
      </c>
      <c r="E23" s="180">
        <f>MROUND($E$15*$B$23,E13)</f>
        <v>140</v>
      </c>
      <c r="F23" s="166"/>
      <c r="G23" s="167">
        <f t="shared" si="1"/>
        <v>0</v>
      </c>
      <c r="H23" s="180">
        <f>MROUND(H15*$B$23,H13)</f>
        <v>0</v>
      </c>
      <c r="I23" s="166"/>
      <c r="J23" s="167">
        <f t="shared" si="2"/>
        <v>0</v>
      </c>
      <c r="K23" s="180">
        <f>MROUND(K15*$B$23,K13)</f>
        <v>0</v>
      </c>
      <c r="L23" s="166"/>
      <c r="M23" s="167">
        <f t="shared" si="3"/>
        <v>0</v>
      </c>
      <c r="N23" s="180">
        <f>MROUND(N15*$B$23,N13)</f>
        <v>0</v>
      </c>
      <c r="O23" s="166"/>
      <c r="P23" s="167">
        <f t="shared" si="4"/>
        <v>0</v>
      </c>
      <c r="Q23" s="180">
        <f>MROUND(Q15*$B$23,Q13)</f>
        <v>0</v>
      </c>
      <c r="R23" s="166"/>
      <c r="S23" s="167">
        <f t="shared" si="5"/>
        <v>0</v>
      </c>
      <c r="T23" s="180">
        <f>MROUND(T15*$B$23,T13)</f>
        <v>0</v>
      </c>
      <c r="U23" s="166"/>
      <c r="V23" s="167">
        <f t="shared" si="6"/>
        <v>0</v>
      </c>
      <c r="W23" s="180">
        <f>MROUND(W15*$B$23,W13)</f>
        <v>0</v>
      </c>
      <c r="X23" s="166"/>
      <c r="Y23" s="167">
        <f t="shared" si="7"/>
        <v>0</v>
      </c>
    </row>
    <row r="24" spans="1:25" x14ac:dyDescent="0.25">
      <c r="A24" s="171" t="s">
        <v>76</v>
      </c>
      <c r="B24" s="171">
        <f>IF($A$12="하",0,B23)</f>
        <v>0.7</v>
      </c>
      <c r="C24" s="171">
        <f>IF($A$12="하",0,5)</f>
        <v>5</v>
      </c>
      <c r="D24" s="172">
        <f t="shared" si="0"/>
        <v>3.5</v>
      </c>
      <c r="E24" s="180">
        <f>MROUND($E$15*$B$24,E13)</f>
        <v>140</v>
      </c>
      <c r="F24" s="166"/>
      <c r="G24" s="167">
        <f t="shared" si="1"/>
        <v>0</v>
      </c>
      <c r="H24" s="180">
        <f>MROUND(H15*$B$24,H13)</f>
        <v>0</v>
      </c>
      <c r="I24" s="166"/>
      <c r="J24" s="167">
        <f t="shared" si="2"/>
        <v>0</v>
      </c>
      <c r="K24" s="180">
        <f>MROUND(K15*$B$24,K13)</f>
        <v>0</v>
      </c>
      <c r="L24" s="166"/>
      <c r="M24" s="167">
        <f t="shared" si="3"/>
        <v>0</v>
      </c>
      <c r="N24" s="180">
        <f>MROUND(N15*$B$24,N13)</f>
        <v>0</v>
      </c>
      <c r="O24" s="166"/>
      <c r="P24" s="167">
        <f t="shared" si="4"/>
        <v>0</v>
      </c>
      <c r="Q24" s="180">
        <f>MROUND(Q15*$B$24,Q13)</f>
        <v>0</v>
      </c>
      <c r="R24" s="166"/>
      <c r="S24" s="167">
        <f t="shared" si="5"/>
        <v>0</v>
      </c>
      <c r="T24" s="180">
        <f>MROUND(T15*$B$24,T13)</f>
        <v>0</v>
      </c>
      <c r="U24" s="166"/>
      <c r="V24" s="167">
        <f t="shared" si="6"/>
        <v>0</v>
      </c>
      <c r="W24" s="180">
        <f>MROUND(W15*$B$24,W13)</f>
        <v>0</v>
      </c>
      <c r="X24" s="166"/>
      <c r="Y24" s="167">
        <f t="shared" si="7"/>
        <v>0</v>
      </c>
    </row>
    <row r="25" spans="1:25" x14ac:dyDescent="0.25">
      <c r="A25" s="171" t="s">
        <v>77</v>
      </c>
      <c r="B25" s="171">
        <f>IF($A$12="하",0,B24)</f>
        <v>0.7</v>
      </c>
      <c r="C25" s="171">
        <f>IF($A$12="하",0,5)</f>
        <v>5</v>
      </c>
      <c r="D25" s="172">
        <f t="shared" si="0"/>
        <v>3.5</v>
      </c>
      <c r="E25" s="180">
        <f>MROUND($E$15*$B$25,E13)</f>
        <v>140</v>
      </c>
      <c r="F25" s="166"/>
      <c r="G25" s="167">
        <f t="shared" si="1"/>
        <v>0</v>
      </c>
      <c r="H25" s="180">
        <f>MROUND(H15*$B$25,H13)</f>
        <v>0</v>
      </c>
      <c r="I25" s="166"/>
      <c r="J25" s="167">
        <f t="shared" si="2"/>
        <v>0</v>
      </c>
      <c r="K25" s="180">
        <f>MROUND(K15*$B$25,K13)</f>
        <v>0</v>
      </c>
      <c r="L25" s="166"/>
      <c r="M25" s="167">
        <f t="shared" si="3"/>
        <v>0</v>
      </c>
      <c r="N25" s="180">
        <f>MROUND(N15*$B$25,N13)</f>
        <v>0</v>
      </c>
      <c r="O25" s="166"/>
      <c r="P25" s="167">
        <f t="shared" si="4"/>
        <v>0</v>
      </c>
      <c r="Q25" s="180">
        <f>MROUND(Q15*$B$25,Q13)</f>
        <v>0</v>
      </c>
      <c r="R25" s="166"/>
      <c r="S25" s="167">
        <f t="shared" si="5"/>
        <v>0</v>
      </c>
      <c r="T25" s="180">
        <f>MROUND(T15*$B$25,T13)</f>
        <v>0</v>
      </c>
      <c r="U25" s="166"/>
      <c r="V25" s="167">
        <f t="shared" si="6"/>
        <v>0</v>
      </c>
      <c r="W25" s="180">
        <f>MROUND(W15*$B$25,W13)</f>
        <v>0</v>
      </c>
      <c r="X25" s="166"/>
      <c r="Y25" s="167">
        <f t="shared" si="7"/>
        <v>0</v>
      </c>
    </row>
    <row r="26" spans="1:25" ht="17.25" thickBot="1" x14ac:dyDescent="0.3">
      <c r="A26" s="171" t="s">
        <v>87</v>
      </c>
      <c r="B26" s="172">
        <f>IFERROR(D26/C26/(1-$E$10*C26),0)</f>
        <v>1</v>
      </c>
      <c r="C26" s="173">
        <f>SUM(C15:C25)</f>
        <v>50</v>
      </c>
      <c r="D26" s="172">
        <f>SUM(D15:D25)</f>
        <v>35</v>
      </c>
      <c r="E26" s="181">
        <f>IFERROR(G26/F26/(1-$E$10*F26),0)</f>
        <v>0</v>
      </c>
      <c r="F26" s="168">
        <f>SUM(F15:F25)</f>
        <v>0</v>
      </c>
      <c r="G26" s="169">
        <f>SUM(G15:G25)</f>
        <v>0</v>
      </c>
      <c r="H26" s="181">
        <f>IFERROR(J26/I26/(1-$E$10*I26),0)</f>
        <v>0</v>
      </c>
      <c r="I26" s="168">
        <f>SUM(I15:I25)</f>
        <v>0</v>
      </c>
      <c r="J26" s="168">
        <f>SUM(J15:J25)</f>
        <v>0</v>
      </c>
      <c r="K26" s="181">
        <f>IFERROR(M26/L26/(1-$E$10*L26),0)</f>
        <v>0</v>
      </c>
      <c r="L26" s="168">
        <f>SUM(L15:L25)</f>
        <v>0</v>
      </c>
      <c r="M26" s="168">
        <f>SUM(M15:M25)</f>
        <v>0</v>
      </c>
      <c r="N26" s="181">
        <f>IFERROR(P26/O26/(1-$E$10*O26),0)</f>
        <v>0</v>
      </c>
      <c r="O26" s="168">
        <f>SUM(O15:O25)</f>
        <v>0</v>
      </c>
      <c r="P26" s="168">
        <f>SUM(P15:P25)</f>
        <v>0</v>
      </c>
      <c r="Q26" s="181">
        <f>IFERROR(S26/R26/(1-$E$10*R26),0)</f>
        <v>0</v>
      </c>
      <c r="R26" s="168">
        <f>SUM(R15:R25)</f>
        <v>0</v>
      </c>
      <c r="S26" s="168">
        <f>SUM(S15:S25)</f>
        <v>0</v>
      </c>
      <c r="T26" s="181">
        <f>IFERROR(V26/U26/(1-$E$10*U26),0)</f>
        <v>0</v>
      </c>
      <c r="U26" s="168">
        <f>SUM(U15:U25)</f>
        <v>0</v>
      </c>
      <c r="V26" s="168">
        <f>SUM(V15:V25)</f>
        <v>0</v>
      </c>
      <c r="W26" s="181">
        <f>IFERROR(Y26/X26/(1-$E$10*X26),0)</f>
        <v>0</v>
      </c>
      <c r="X26" s="168">
        <f>SUM(X15:X25)</f>
        <v>0</v>
      </c>
      <c r="Y26" s="168">
        <f>SUM(Y15:Y25)</f>
        <v>0</v>
      </c>
    </row>
    <row r="27" spans="1:25" s="184" customFormat="1" x14ac:dyDescent="0.25">
      <c r="A27" s="183">
        <f ca="1">ROUNDUP((TODAY()-A11+1)/7,0)</f>
        <v>1</v>
      </c>
      <c r="E27" s="184">
        <v>1</v>
      </c>
    </row>
    <row r="28" spans="1:25" s="184" customFormat="1" ht="30" x14ac:dyDescent="0.25">
      <c r="A28" s="183" t="str">
        <f ca="1">A30&amp;" "&amp;A29</f>
        <v xml:space="preserve"> 15sec Rest Amrap</v>
      </c>
      <c r="E28" s="184" t="s">
        <v>121</v>
      </c>
    </row>
    <row r="29" spans="1:25" hidden="1" x14ac:dyDescent="0.25">
      <c r="A29" t="str">
        <f ca="1">VLOOKUP(B29,$A$33:$B$36,2,0)</f>
        <v>15sec Rest Amrap</v>
      </c>
      <c r="B29" cm="1">
        <f t="array" aca="1" ref="B29" ca="1">_xlfn.RANDARRAY(,,1,4,TRUE)</f>
        <v>1</v>
      </c>
    </row>
    <row r="30" spans="1:25" hidden="1" x14ac:dyDescent="0.25">
      <c r="A30" t="str">
        <f ca="1">VLOOKUP(B30,$A$38:$B$41,2,0)</f>
        <v/>
      </c>
      <c r="B30" cm="1">
        <f t="array" aca="1" ref="B30" ca="1">_xlfn.RANDARRAY(,,1,4,TRUE)</f>
        <v>3</v>
      </c>
    </row>
    <row r="31" spans="1:25" hidden="1" x14ac:dyDescent="0.25"/>
    <row r="32" spans="1:25" hidden="1" x14ac:dyDescent="0.25"/>
    <row r="33" spans="1:2" hidden="1" x14ac:dyDescent="0.25">
      <c r="A33">
        <v>1</v>
      </c>
      <c r="B33" t="s">
        <v>94</v>
      </c>
    </row>
    <row r="34" spans="1:2" hidden="1" x14ac:dyDescent="0.25">
      <c r="A34">
        <v>2</v>
      </c>
      <c r="B34" t="s">
        <v>115</v>
      </c>
    </row>
    <row r="35" spans="1:2" hidden="1" x14ac:dyDescent="0.25">
      <c r="A35">
        <v>3</v>
      </c>
      <c r="B35" t="s">
        <v>116</v>
      </c>
    </row>
    <row r="36" spans="1:2" hidden="1" x14ac:dyDescent="0.25">
      <c r="A36">
        <v>4</v>
      </c>
      <c r="B36" t="s">
        <v>117</v>
      </c>
    </row>
    <row r="37" spans="1:2" hidden="1" x14ac:dyDescent="0.25"/>
    <row r="38" spans="1:2" hidden="1" x14ac:dyDescent="0.25">
      <c r="A38">
        <v>1</v>
      </c>
      <c r="B38" t="s">
        <v>118</v>
      </c>
    </row>
    <row r="39" spans="1:2" hidden="1" x14ac:dyDescent="0.25">
      <c r="A39">
        <v>2</v>
      </c>
      <c r="B39" t="s">
        <v>119</v>
      </c>
    </row>
    <row r="40" spans="1:2" hidden="1" x14ac:dyDescent="0.25">
      <c r="A40">
        <v>3</v>
      </c>
      <c r="B40" t="str">
        <f>""</f>
        <v/>
      </c>
    </row>
    <row r="41" spans="1:2" hidden="1" x14ac:dyDescent="0.25">
      <c r="A41">
        <v>4</v>
      </c>
      <c r="B41" t="str">
        <f>""</f>
        <v/>
      </c>
    </row>
  </sheetData>
  <phoneticPr fontId="8" alignment="center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3A7D-B751-1A40-880D-58B093CE917B}">
  <sheetPr>
    <tabColor rgb="FFFFFF00"/>
  </sheetPr>
  <dimension ref="A1:Y41"/>
  <sheetViews>
    <sheetView tabSelected="1" zoomScaleNormal="60" zoomScaleSheetLayoutView="100" workbookViewId="0">
      <pane xSplit="4" ySplit="13" topLeftCell="E14" activePane="bottomRight" state="frozen"/>
      <selection activeCell="F15" sqref="F15"/>
      <selection pane="bottomLeft" activeCell="A13" sqref="A13"/>
      <selection pane="topRight" activeCell="E1" sqref="E1"/>
      <selection pane="bottomRight" activeCell="F16" sqref="F16"/>
    </sheetView>
  </sheetViews>
  <sheetFormatPr defaultColWidth="4.94921875" defaultRowHeight="16.5" x14ac:dyDescent="0.25"/>
  <cols>
    <col min="1" max="1" width="15.47265625" customWidth="1"/>
    <col min="2" max="3" width="4.94921875" hidden="1" customWidth="1"/>
    <col min="4" max="4" width="8.16796875" hidden="1" customWidth="1"/>
    <col min="5" max="5" width="6.8046875" bestFit="1" customWidth="1"/>
    <col min="7" max="8" width="6.8046875" bestFit="1" customWidth="1"/>
    <col min="9" max="9" width="5.19921875" bestFit="1" customWidth="1"/>
    <col min="11" max="11" width="6.8046875" bestFit="1" customWidth="1"/>
    <col min="12" max="12" width="5.19921875" bestFit="1" customWidth="1"/>
    <col min="14" max="14" width="6.8046875" bestFit="1" customWidth="1"/>
    <col min="15" max="15" width="5.19921875" bestFit="1" customWidth="1"/>
    <col min="17" max="17" width="6.8046875" bestFit="1" customWidth="1"/>
    <col min="18" max="18" width="5.19921875" bestFit="1" customWidth="1"/>
    <col min="20" max="20" width="6.8046875" bestFit="1" customWidth="1"/>
    <col min="21" max="21" width="5.19921875" bestFit="1" customWidth="1"/>
    <col min="23" max="23" width="6.8046875" bestFit="1" customWidth="1"/>
    <col min="24" max="24" width="5.19921875" bestFit="1" customWidth="1"/>
  </cols>
  <sheetData>
    <row r="1" spans="1:25" ht="16.5" hidden="1" customHeight="1" x14ac:dyDescent="0.25">
      <c r="A1" s="139">
        <v>1</v>
      </c>
      <c r="B1">
        <v>2</v>
      </c>
      <c r="C1">
        <v>3</v>
      </c>
      <c r="F1" t="s">
        <v>16</v>
      </c>
      <c r="G1">
        <f>B1</f>
        <v>2</v>
      </c>
    </row>
    <row r="2" spans="1:25" ht="16.5" hidden="1" customHeight="1" x14ac:dyDescent="0.25">
      <c r="A2" s="187" t="s">
        <v>60</v>
      </c>
      <c r="B2" s="178" t="s">
        <v>16</v>
      </c>
      <c r="C2" s="178" t="s">
        <v>8</v>
      </c>
      <c r="D2" s="139" t="s">
        <v>60</v>
      </c>
      <c r="E2" t="str">
        <f>VLOOKUP(D2,$A$2:$C$10,$B$12,0)</f>
        <v>하</v>
      </c>
      <c r="F2" t="s">
        <v>8</v>
      </c>
      <c r="G2">
        <f>C1</f>
        <v>3</v>
      </c>
    </row>
    <row r="3" spans="1:25" ht="59.25" hidden="1" customHeight="1" x14ac:dyDescent="0.25">
      <c r="A3" s="187" t="s">
        <v>65</v>
      </c>
      <c r="B3" s="178">
        <v>300</v>
      </c>
      <c r="C3" s="178">
        <v>240</v>
      </c>
      <c r="D3" s="139" t="s">
        <v>65</v>
      </c>
      <c r="E3">
        <f>VLOOKUP(D3,$A$2:$C$10,$B$12,0)</f>
        <v>240</v>
      </c>
    </row>
    <row r="4" spans="1:25" ht="59.25" hidden="1" customHeight="1" x14ac:dyDescent="0.25">
      <c r="A4" s="187" t="s">
        <v>66</v>
      </c>
      <c r="B4" s="178">
        <v>200</v>
      </c>
      <c r="C4" s="178">
        <v>160</v>
      </c>
      <c r="D4" s="139" t="s">
        <v>66</v>
      </c>
      <c r="E4">
        <f>VLOOKUP(D4,$A$2:$C$10,$B$12,0)</f>
        <v>160</v>
      </c>
    </row>
    <row r="5" spans="1:25" ht="59.25" hidden="1" customHeight="1" x14ac:dyDescent="0.25">
      <c r="A5" s="187" t="s">
        <v>61</v>
      </c>
      <c r="B5" s="178">
        <f>B3/4</f>
        <v>75</v>
      </c>
      <c r="C5" s="178">
        <f>C3/4</f>
        <v>60</v>
      </c>
      <c r="D5" s="139" t="s">
        <v>61</v>
      </c>
      <c r="E5">
        <f>VLOOKUP(D5,$A$2:$C$10,$B$12,0)</f>
        <v>60</v>
      </c>
    </row>
    <row r="6" spans="1:25" ht="59.25" hidden="1" customHeight="1" x14ac:dyDescent="0.25">
      <c r="A6" s="187" t="s">
        <v>62</v>
      </c>
      <c r="B6" s="178">
        <f>B4/4</f>
        <v>50</v>
      </c>
      <c r="C6" s="178">
        <f>C4/4</f>
        <v>40</v>
      </c>
      <c r="D6" s="139" t="s">
        <v>62</v>
      </c>
      <c r="E6">
        <f>VLOOKUP(D6,$A$2:$C$10,$B$12,0)</f>
        <v>40</v>
      </c>
    </row>
    <row r="7" spans="1:25" ht="30" hidden="1" customHeight="1" x14ac:dyDescent="0.25">
      <c r="A7" s="187" t="s">
        <v>63</v>
      </c>
      <c r="B7">
        <v>5</v>
      </c>
      <c r="C7">
        <v>5</v>
      </c>
      <c r="D7" s="139" t="s">
        <v>63</v>
      </c>
      <c r="E7">
        <f>VLOOKUP(D7,$A$2:$C$10,$B$12,0)</f>
        <v>5</v>
      </c>
    </row>
    <row r="8" spans="1:25" ht="30" hidden="1" customHeight="1" x14ac:dyDescent="0.25">
      <c r="A8" s="187" t="s">
        <v>64</v>
      </c>
      <c r="B8" s="178">
        <f>B6/B7</f>
        <v>10</v>
      </c>
      <c r="C8" s="178">
        <f>C6/C7</f>
        <v>8</v>
      </c>
      <c r="D8" s="139" t="s">
        <v>64</v>
      </c>
      <c r="E8">
        <f>VLOOKUP(D8,$A$2:$C$10,$B$12,0)</f>
        <v>8</v>
      </c>
    </row>
    <row r="9" spans="1:25" ht="30" hidden="1" customHeight="1" x14ac:dyDescent="0.25">
      <c r="A9" s="187" t="s">
        <v>67</v>
      </c>
      <c r="B9" s="160">
        <v>0.7</v>
      </c>
      <c r="C9" s="160">
        <f>B9</f>
        <v>0.7</v>
      </c>
      <c r="D9" s="139" t="s">
        <v>67</v>
      </c>
      <c r="E9" s="160">
        <f>VLOOKUP(D9,$A$2:$C$10,$B$12,0)</f>
        <v>0.7</v>
      </c>
    </row>
    <row r="10" spans="1:25" ht="16.5" hidden="1" customHeight="1" x14ac:dyDescent="0.25">
      <c r="A10" s="187" t="s">
        <v>80</v>
      </c>
      <c r="B10" s="188">
        <f>(1-B9)/B6</f>
        <v>6.000000000000001E-3</v>
      </c>
      <c r="C10" s="188">
        <f>(1-C9)/C6</f>
        <v>7.5000000000000015E-3</v>
      </c>
      <c r="D10" s="139" t="s">
        <v>80</v>
      </c>
      <c r="E10" s="161">
        <f>VLOOKUP(D10,$A$2:$C$10,$B$12,0)</f>
        <v>7.5000000000000015E-3</v>
      </c>
    </row>
    <row r="11" spans="1:25" ht="16.5" customHeight="1" x14ac:dyDescent="0.25">
      <c r="A11" s="182">
        <v>45837</v>
      </c>
      <c r="B11" s="161"/>
      <c r="C11" s="161"/>
      <c r="D11" s="139"/>
      <c r="E11" s="185">
        <v>1</v>
      </c>
      <c r="F11" s="184" t="str">
        <f ca="1">IF($A$27&lt;=E11,"MIN","")</f>
        <v>MIN</v>
      </c>
      <c r="G11" s="184">
        <f ca="1">IF($A$27&lt;E11,0,$E$6*E11-G13)</f>
        <v>40</v>
      </c>
      <c r="H11" s="185">
        <f>ROUNDUP(G13/$E$6,0)</f>
        <v>0</v>
      </c>
      <c r="I11" s="184" t="str">
        <f ca="1">IF($A$27&lt;=H11,"MIN","")</f>
        <v/>
      </c>
      <c r="J11" s="184">
        <f ca="1">IF($A$27&lt;H11,0,$E$6*H11-J13)</f>
        <v>0</v>
      </c>
      <c r="K11" s="185">
        <f>ROUNDUP(J13/$E$6,0)</f>
        <v>0</v>
      </c>
      <c r="L11" s="184" t="str">
        <f ca="1">IF($A$27&lt;=K11,"MIN","")</f>
        <v/>
      </c>
      <c r="M11" s="184">
        <f ca="1">IF($A$27&lt;K11,0,$E$6*K11-M13)</f>
        <v>0</v>
      </c>
      <c r="N11" s="185">
        <f>ROUNDUP(M13/$E$6,0)</f>
        <v>0</v>
      </c>
      <c r="O11" s="184" t="str">
        <f ca="1">IF($A$27&lt;=N11,"MIN","")</f>
        <v/>
      </c>
      <c r="P11" s="184">
        <f ca="1">IF($A$27&lt;N11,0,$E$6*N11-P13)</f>
        <v>0</v>
      </c>
      <c r="Q11" s="185">
        <f>ROUNDUP(P13/$E$6,0)</f>
        <v>0</v>
      </c>
      <c r="R11" s="184" t="str">
        <f ca="1">IF($A$27&lt;=Q11,"MIN","")</f>
        <v/>
      </c>
      <c r="S11" s="184">
        <f ca="1">IF($A$27&lt;Q11,0,$E$6*Q11-S13)</f>
        <v>0</v>
      </c>
      <c r="T11" s="185">
        <f>ROUNDUP(S13/$E$6,0)</f>
        <v>0</v>
      </c>
      <c r="U11" s="184" t="str">
        <f ca="1">IF($A$27&lt;=T11,"MIN","")</f>
        <v/>
      </c>
      <c r="V11" s="184">
        <f ca="1">IF($A$27&lt;T11,0,$E$6*T11-V13)</f>
        <v>0</v>
      </c>
      <c r="W11" s="185">
        <f>ROUNDUP(V13/$E$6,0)</f>
        <v>0</v>
      </c>
      <c r="X11" s="184" t="str">
        <f ca="1">IF($A$27&lt;=W11,"MIN","")</f>
        <v/>
      </c>
      <c r="Y11" s="184">
        <f ca="1">IF($A$27&lt;W11,0,$E$6*W11-Y13)</f>
        <v>0</v>
      </c>
    </row>
    <row r="12" spans="1:25" s="164" customFormat="1" x14ac:dyDescent="0.25">
      <c r="A12" s="165" t="s">
        <v>8</v>
      </c>
      <c r="B12" s="174">
        <f>VLOOKUP(A12,$F$1:$G$2,2,0)</f>
        <v>3</v>
      </c>
      <c r="C12" s="163"/>
      <c r="D12" s="162"/>
      <c r="E12"/>
      <c r="F12" s="184" t="str">
        <f ca="1">IF($A$27=E12,"MAX","")</f>
        <v/>
      </c>
      <c r="G12" s="184">
        <f>$E$5*E12-G13</f>
        <v>0</v>
      </c>
      <c r="H12" s="185">
        <f>ROUNDUP(G13/$E$5,0)</f>
        <v>0</v>
      </c>
      <c r="I12" s="184" t="str">
        <f ca="1">IF($A$27=H12,"MAX","")</f>
        <v/>
      </c>
      <c r="J12" s="184">
        <f>$E$5*H12-J13</f>
        <v>0</v>
      </c>
      <c r="K12" s="185">
        <f>ROUNDUP(J13/$E$5,0)</f>
        <v>0</v>
      </c>
      <c r="L12" s="184" t="str">
        <f ca="1">IF($A$27=K12,"MAX","")</f>
        <v/>
      </c>
      <c r="M12" s="184">
        <f>$E$5*K12-M13</f>
        <v>0</v>
      </c>
      <c r="N12" s="185">
        <f>ROUNDUP(M13/$E$5,0)</f>
        <v>0</v>
      </c>
      <c r="O12" s="184" t="str">
        <f ca="1">IF($A$27=N12,"MAX","")</f>
        <v/>
      </c>
      <c r="P12" s="184">
        <f>$E$5*N12-P13</f>
        <v>0</v>
      </c>
      <c r="Q12" s="185">
        <f>ROUNDUP(P13/$E$5,0)</f>
        <v>0</v>
      </c>
      <c r="R12" s="184" t="str">
        <f ca="1">IF($A$27=Q12,"MAX","")</f>
        <v/>
      </c>
      <c r="S12" s="184">
        <f>$E$5*Q12-S13</f>
        <v>0</v>
      </c>
      <c r="T12" s="185">
        <f>ROUNDUP(S13/$E$5,0)</f>
        <v>0</v>
      </c>
      <c r="U12" s="184" t="str">
        <f ca="1">IF($A$27=T12,"MAX","")</f>
        <v/>
      </c>
      <c r="V12" s="184">
        <f>$E$5*T12-V13</f>
        <v>0</v>
      </c>
      <c r="W12" s="185">
        <f>ROUNDUP(V13/$E$5,0)</f>
        <v>0</v>
      </c>
      <c r="X12" s="184" t="str">
        <f ca="1">IF($A$27=W12,"MAX","")</f>
        <v/>
      </c>
      <c r="Y12" s="184">
        <f>$E$5*W12-Y13</f>
        <v>0</v>
      </c>
    </row>
    <row r="13" spans="1:25" ht="17.25" thickBot="1" x14ac:dyDescent="0.3">
      <c r="A13" s="170" t="s">
        <v>79</v>
      </c>
      <c r="E13" s="35">
        <v>2.5</v>
      </c>
      <c r="F13" s="177" t="s">
        <v>88</v>
      </c>
      <c r="G13" s="178">
        <f>D13+F26</f>
        <v>0</v>
      </c>
      <c r="H13" s="35">
        <f>E13</f>
        <v>2.5</v>
      </c>
      <c r="I13" s="177" t="s">
        <v>88</v>
      </c>
      <c r="J13" s="178">
        <f>G13+I26</f>
        <v>0</v>
      </c>
      <c r="K13" s="35">
        <f>H13</f>
        <v>2.5</v>
      </c>
      <c r="L13" s="177" t="s">
        <v>88</v>
      </c>
      <c r="M13" s="178">
        <f>J13+L26</f>
        <v>0</v>
      </c>
      <c r="N13" s="35">
        <f>K13</f>
        <v>2.5</v>
      </c>
      <c r="O13" s="177" t="s">
        <v>88</v>
      </c>
      <c r="P13" s="178">
        <f>M13+O26</f>
        <v>0</v>
      </c>
      <c r="Q13" s="35">
        <f>N13</f>
        <v>2.5</v>
      </c>
      <c r="R13" s="177" t="s">
        <v>88</v>
      </c>
      <c r="S13" s="178">
        <f>P13+R26</f>
        <v>0</v>
      </c>
      <c r="T13" s="35">
        <f>Q13</f>
        <v>2.5</v>
      </c>
      <c r="U13" s="177" t="s">
        <v>88</v>
      </c>
      <c r="V13" s="178">
        <f>S13+U26</f>
        <v>0</v>
      </c>
      <c r="W13" s="35">
        <f>T13</f>
        <v>2.5</v>
      </c>
      <c r="X13" s="177" t="s">
        <v>88</v>
      </c>
      <c r="Y13" s="178">
        <f>V13+X26</f>
        <v>0</v>
      </c>
    </row>
    <row r="14" spans="1:25" x14ac:dyDescent="0.25">
      <c r="A14" s="171" t="s">
        <v>60</v>
      </c>
      <c r="B14" s="171" t="s">
        <v>83</v>
      </c>
      <c r="C14" s="171" t="s">
        <v>82</v>
      </c>
      <c r="D14" s="171" t="s">
        <v>84</v>
      </c>
      <c r="E14" s="9" t="s">
        <v>78</v>
      </c>
      <c r="F14" s="175" t="s">
        <v>81</v>
      </c>
      <c r="G14" s="176" t="s">
        <v>85</v>
      </c>
      <c r="H14" s="9" t="str">
        <f>E14</f>
        <v>SQ</v>
      </c>
      <c r="I14" s="175" t="str">
        <f>F14</f>
        <v>개수</v>
      </c>
      <c r="J14" s="176" t="str">
        <f>G14</f>
        <v>볼륨</v>
      </c>
      <c r="K14" s="9" t="str">
        <f>H14</f>
        <v>SQ</v>
      </c>
      <c r="L14" s="175" t="str">
        <f>I14</f>
        <v>개수</v>
      </c>
      <c r="M14" s="176" t="str">
        <f>J14</f>
        <v>볼륨</v>
      </c>
      <c r="N14" s="9" t="str">
        <f>K14</f>
        <v>SQ</v>
      </c>
      <c r="O14" s="175" t="str">
        <f>L14</f>
        <v>개수</v>
      </c>
      <c r="P14" s="176" t="str">
        <f>M14</f>
        <v>볼륨</v>
      </c>
      <c r="Q14" s="9" t="str">
        <f>N14</f>
        <v>SQ</v>
      </c>
      <c r="R14" s="175" t="str">
        <f>O14</f>
        <v>개수</v>
      </c>
      <c r="S14" s="176" t="str">
        <f>P14</f>
        <v>볼륨</v>
      </c>
      <c r="T14" s="9" t="str">
        <f>Q14</f>
        <v>SQ</v>
      </c>
      <c r="U14" s="175" t="str">
        <f>R14</f>
        <v>개수</v>
      </c>
      <c r="V14" s="176" t="str">
        <f>S14</f>
        <v>볼륨</v>
      </c>
      <c r="W14" s="9" t="str">
        <f>T14</f>
        <v>SQ</v>
      </c>
      <c r="X14" s="175" t="str">
        <f>U14</f>
        <v>개수</v>
      </c>
      <c r="Y14" s="176" t="str">
        <f>V14</f>
        <v>볼륨</v>
      </c>
    </row>
    <row r="15" spans="1:25" x14ac:dyDescent="0.25">
      <c r="A15" s="171" t="s">
        <v>86</v>
      </c>
      <c r="B15" s="172">
        <v>1</v>
      </c>
      <c r="C15" s="171">
        <v>0</v>
      </c>
      <c r="D15" s="172">
        <f>B15*C15</f>
        <v>0</v>
      </c>
      <c r="E15" s="179">
        <v>175</v>
      </c>
      <c r="F15" s="166"/>
      <c r="G15" s="167">
        <f>E15*F15</f>
        <v>0</v>
      </c>
      <c r="H15" s="179">
        <f>E26</f>
        <v>0</v>
      </c>
      <c r="I15" s="166"/>
      <c r="J15" s="167">
        <f>H15*I15</f>
        <v>0</v>
      </c>
      <c r="K15" s="179">
        <f>H26</f>
        <v>0</v>
      </c>
      <c r="L15" s="166"/>
      <c r="M15" s="167">
        <f>K15*L15</f>
        <v>0</v>
      </c>
      <c r="N15" s="179">
        <f>K26</f>
        <v>0</v>
      </c>
      <c r="O15" s="166"/>
      <c r="P15" s="167">
        <f>N15*O15</f>
        <v>0</v>
      </c>
      <c r="Q15" s="179">
        <f>N26</f>
        <v>0</v>
      </c>
      <c r="R15" s="166"/>
      <c r="S15" s="167">
        <f>Q15*R15</f>
        <v>0</v>
      </c>
      <c r="T15" s="179">
        <f>Q26</f>
        <v>0</v>
      </c>
      <c r="U15" s="166"/>
      <c r="V15" s="167">
        <f>T15*U15</f>
        <v>0</v>
      </c>
      <c r="W15" s="179">
        <f>T26</f>
        <v>0</v>
      </c>
      <c r="X15" s="166"/>
      <c r="Y15" s="167">
        <f>W15*X15</f>
        <v>0</v>
      </c>
    </row>
    <row r="16" spans="1:25" x14ac:dyDescent="0.25">
      <c r="A16" s="171" t="s">
        <v>68</v>
      </c>
      <c r="B16" s="172">
        <f>E9</f>
        <v>0.7</v>
      </c>
      <c r="C16" s="171">
        <v>5</v>
      </c>
      <c r="D16" s="172">
        <f t="shared" ref="D16:D25" si="0">B16*C16</f>
        <v>3.5</v>
      </c>
      <c r="E16" s="180">
        <f>MROUND($E$15*$B$16,E13)</f>
        <v>122.5</v>
      </c>
      <c r="F16" s="166"/>
      <c r="G16" s="167">
        <f t="shared" ref="G16:G25" si="1">E16*F16</f>
        <v>0</v>
      </c>
      <c r="H16" s="180">
        <f>MROUND(H15*$B$16,H13)</f>
        <v>0</v>
      </c>
      <c r="I16" s="166"/>
      <c r="J16" s="167">
        <f t="shared" ref="J16:J25" si="2">H16*I16</f>
        <v>0</v>
      </c>
      <c r="K16" s="180">
        <f>MROUND(K15*$B$16,K13)</f>
        <v>0</v>
      </c>
      <c r="L16" s="166"/>
      <c r="M16" s="167">
        <f t="shared" ref="M16:M25" si="3">K16*L16</f>
        <v>0</v>
      </c>
      <c r="N16" s="180">
        <f>MROUND(N15*$B$16,N13)</f>
        <v>0</v>
      </c>
      <c r="O16" s="166"/>
      <c r="P16" s="167">
        <f t="shared" ref="P16:P25" si="4">N16*O16</f>
        <v>0</v>
      </c>
      <c r="Q16" s="180">
        <f>MROUND(Q15*$B$16,Q13)</f>
        <v>0</v>
      </c>
      <c r="R16" s="166"/>
      <c r="S16" s="167">
        <f t="shared" ref="S16:S25" si="5">Q16*R16</f>
        <v>0</v>
      </c>
      <c r="T16" s="180">
        <f>MROUND(T15*$B$16,T13)</f>
        <v>0</v>
      </c>
      <c r="U16" s="166"/>
      <c r="V16" s="167">
        <f t="shared" ref="V16:V25" si="6">T16*U16</f>
        <v>0</v>
      </c>
      <c r="W16" s="180">
        <f>MROUND(W15*$B$16,W13)</f>
        <v>0</v>
      </c>
      <c r="X16" s="166"/>
      <c r="Y16" s="167">
        <f t="shared" ref="Y16:Y25" si="7">W16*X16</f>
        <v>0</v>
      </c>
    </row>
    <row r="17" spans="1:25" x14ac:dyDescent="0.25">
      <c r="A17" s="171" t="s">
        <v>69</v>
      </c>
      <c r="B17" s="172">
        <f>B16</f>
        <v>0.7</v>
      </c>
      <c r="C17" s="171">
        <v>5</v>
      </c>
      <c r="D17" s="172">
        <f t="shared" si="0"/>
        <v>3.5</v>
      </c>
      <c r="E17" s="180">
        <f>MROUND($E$15*$B$17,E13)</f>
        <v>122.5</v>
      </c>
      <c r="F17" s="166"/>
      <c r="G17" s="167">
        <f t="shared" si="1"/>
        <v>0</v>
      </c>
      <c r="H17" s="180">
        <f>MROUND(H15*$B$17,H13)</f>
        <v>0</v>
      </c>
      <c r="I17" s="166"/>
      <c r="J17" s="167">
        <f t="shared" si="2"/>
        <v>0</v>
      </c>
      <c r="K17" s="180">
        <f>MROUND(K15*$B$17,K13)</f>
        <v>0</v>
      </c>
      <c r="L17" s="166"/>
      <c r="M17" s="167">
        <f t="shared" si="3"/>
        <v>0</v>
      </c>
      <c r="N17" s="180">
        <f>MROUND(N15*$B$17,N13)</f>
        <v>0</v>
      </c>
      <c r="O17" s="166"/>
      <c r="P17" s="167">
        <f t="shared" si="4"/>
        <v>0</v>
      </c>
      <c r="Q17" s="180">
        <f>MROUND(Q15*$B$17,Q13)</f>
        <v>0</v>
      </c>
      <c r="R17" s="166"/>
      <c r="S17" s="167">
        <f t="shared" si="5"/>
        <v>0</v>
      </c>
      <c r="T17" s="180">
        <f>MROUND(T15*$B$17,T13)</f>
        <v>0</v>
      </c>
      <c r="U17" s="166"/>
      <c r="V17" s="167">
        <f t="shared" si="6"/>
        <v>0</v>
      </c>
      <c r="W17" s="180">
        <f>MROUND(W15*$B$17,W13)</f>
        <v>0</v>
      </c>
      <c r="X17" s="166"/>
      <c r="Y17" s="167">
        <f t="shared" si="7"/>
        <v>0</v>
      </c>
    </row>
    <row r="18" spans="1:25" x14ac:dyDescent="0.25">
      <c r="A18" s="171" t="s">
        <v>70</v>
      </c>
      <c r="B18" s="172">
        <f t="shared" ref="B18:B23" si="8">B17</f>
        <v>0.7</v>
      </c>
      <c r="C18" s="171">
        <v>5</v>
      </c>
      <c r="D18" s="172">
        <f t="shared" si="0"/>
        <v>3.5</v>
      </c>
      <c r="E18" s="180">
        <f>MROUND($E$15*$B$18,E13)</f>
        <v>122.5</v>
      </c>
      <c r="F18" s="166"/>
      <c r="G18" s="167">
        <f t="shared" si="1"/>
        <v>0</v>
      </c>
      <c r="H18" s="180">
        <f>MROUND(H15*$B$18,H13)</f>
        <v>0</v>
      </c>
      <c r="I18" s="166"/>
      <c r="J18" s="167">
        <f t="shared" si="2"/>
        <v>0</v>
      </c>
      <c r="K18" s="180">
        <f>MROUND(K15*$B$18,K13)</f>
        <v>0</v>
      </c>
      <c r="L18" s="166"/>
      <c r="M18" s="167">
        <f t="shared" si="3"/>
        <v>0</v>
      </c>
      <c r="N18" s="180">
        <f>MROUND(N15*$B$18,N13)</f>
        <v>0</v>
      </c>
      <c r="O18" s="166"/>
      <c r="P18" s="167">
        <f t="shared" si="4"/>
        <v>0</v>
      </c>
      <c r="Q18" s="180">
        <f>MROUND(Q15*$B$18,Q13)</f>
        <v>0</v>
      </c>
      <c r="R18" s="166"/>
      <c r="S18" s="167">
        <f t="shared" si="5"/>
        <v>0</v>
      </c>
      <c r="T18" s="180">
        <f>MROUND(T15*$B$18,T13)</f>
        <v>0</v>
      </c>
      <c r="U18" s="166"/>
      <c r="V18" s="167">
        <f t="shared" si="6"/>
        <v>0</v>
      </c>
      <c r="W18" s="180">
        <f>MROUND(W15*$B$18,W13)</f>
        <v>0</v>
      </c>
      <c r="X18" s="166"/>
      <c r="Y18" s="167">
        <f t="shared" si="7"/>
        <v>0</v>
      </c>
    </row>
    <row r="19" spans="1:25" x14ac:dyDescent="0.25">
      <c r="A19" s="171" t="s">
        <v>71</v>
      </c>
      <c r="B19" s="172">
        <f t="shared" si="8"/>
        <v>0.7</v>
      </c>
      <c r="C19" s="171">
        <v>5</v>
      </c>
      <c r="D19" s="172">
        <f t="shared" si="0"/>
        <v>3.5</v>
      </c>
      <c r="E19" s="180">
        <f>MROUND($E$15*$B$19,E13)</f>
        <v>122.5</v>
      </c>
      <c r="F19" s="166"/>
      <c r="G19" s="167">
        <f t="shared" si="1"/>
        <v>0</v>
      </c>
      <c r="H19" s="180">
        <f>MROUND(H15*$B$19,H13)</f>
        <v>0</v>
      </c>
      <c r="I19" s="166"/>
      <c r="J19" s="167">
        <f t="shared" si="2"/>
        <v>0</v>
      </c>
      <c r="K19" s="180">
        <f>MROUND(K15*$B$19,K13)</f>
        <v>0</v>
      </c>
      <c r="L19" s="166"/>
      <c r="M19" s="167">
        <f t="shared" si="3"/>
        <v>0</v>
      </c>
      <c r="N19" s="180">
        <f>MROUND(N15*$B$19,N13)</f>
        <v>0</v>
      </c>
      <c r="O19" s="166"/>
      <c r="P19" s="167">
        <f t="shared" si="4"/>
        <v>0</v>
      </c>
      <c r="Q19" s="180">
        <f>MROUND(Q15*$B$19,Q13)</f>
        <v>0</v>
      </c>
      <c r="R19" s="166"/>
      <c r="S19" s="167">
        <f t="shared" si="5"/>
        <v>0</v>
      </c>
      <c r="T19" s="180">
        <f>MROUND(T15*$B$19,T13)</f>
        <v>0</v>
      </c>
      <c r="U19" s="166"/>
      <c r="V19" s="167">
        <f t="shared" si="6"/>
        <v>0</v>
      </c>
      <c r="W19" s="180">
        <f>MROUND(W15*$B$19,W13)</f>
        <v>0</v>
      </c>
      <c r="X19" s="166"/>
      <c r="Y19" s="167">
        <f t="shared" si="7"/>
        <v>0</v>
      </c>
    </row>
    <row r="20" spans="1:25" x14ac:dyDescent="0.25">
      <c r="A20" s="171" t="s">
        <v>72</v>
      </c>
      <c r="B20" s="172">
        <f t="shared" si="8"/>
        <v>0.7</v>
      </c>
      <c r="C20" s="171">
        <v>5</v>
      </c>
      <c r="D20" s="172">
        <f t="shared" si="0"/>
        <v>3.5</v>
      </c>
      <c r="E20" s="180">
        <f>MROUND($E$15*$B$20,E13)</f>
        <v>122.5</v>
      </c>
      <c r="F20" s="166"/>
      <c r="G20" s="167">
        <f t="shared" si="1"/>
        <v>0</v>
      </c>
      <c r="H20" s="180">
        <f>MROUND(H15*$B$20,H13)</f>
        <v>0</v>
      </c>
      <c r="I20" s="166"/>
      <c r="J20" s="167">
        <f t="shared" si="2"/>
        <v>0</v>
      </c>
      <c r="K20" s="180">
        <f>MROUND(K15*$B$20,K13)</f>
        <v>0</v>
      </c>
      <c r="L20" s="166"/>
      <c r="M20" s="167">
        <f t="shared" si="3"/>
        <v>0</v>
      </c>
      <c r="N20" s="180">
        <f>MROUND(N15*$B$20,N13)</f>
        <v>0</v>
      </c>
      <c r="O20" s="166"/>
      <c r="P20" s="167">
        <f t="shared" si="4"/>
        <v>0</v>
      </c>
      <c r="Q20" s="180">
        <f>MROUND(Q15*$B$20,Q13)</f>
        <v>0</v>
      </c>
      <c r="R20" s="166"/>
      <c r="S20" s="167">
        <f t="shared" si="5"/>
        <v>0</v>
      </c>
      <c r="T20" s="180">
        <f>MROUND(T15*$B$20,T13)</f>
        <v>0</v>
      </c>
      <c r="U20" s="166"/>
      <c r="V20" s="167">
        <f t="shared" si="6"/>
        <v>0</v>
      </c>
      <c r="W20" s="180">
        <f>MROUND(W15*$B$20,W13)</f>
        <v>0</v>
      </c>
      <c r="X20" s="166"/>
      <c r="Y20" s="167">
        <f t="shared" si="7"/>
        <v>0</v>
      </c>
    </row>
    <row r="21" spans="1:25" x14ac:dyDescent="0.25">
      <c r="A21" s="171" t="s">
        <v>73</v>
      </c>
      <c r="B21" s="172">
        <f t="shared" si="8"/>
        <v>0.7</v>
      </c>
      <c r="C21" s="171">
        <v>5</v>
      </c>
      <c r="D21" s="172">
        <f t="shared" si="0"/>
        <v>3.5</v>
      </c>
      <c r="E21" s="180">
        <f>MROUND($E$15*$B$21,E13)</f>
        <v>122.5</v>
      </c>
      <c r="F21" s="166"/>
      <c r="G21" s="167">
        <f t="shared" si="1"/>
        <v>0</v>
      </c>
      <c r="H21" s="180">
        <f>MROUND(H15*$B$21,H13)</f>
        <v>0</v>
      </c>
      <c r="I21" s="166"/>
      <c r="J21" s="167">
        <f t="shared" si="2"/>
        <v>0</v>
      </c>
      <c r="K21" s="180">
        <f>MROUND(K15*$B$21,K13)</f>
        <v>0</v>
      </c>
      <c r="L21" s="166"/>
      <c r="M21" s="167">
        <f t="shared" si="3"/>
        <v>0</v>
      </c>
      <c r="N21" s="180">
        <f>MROUND(N15*$B$21,N13)</f>
        <v>0</v>
      </c>
      <c r="O21" s="166"/>
      <c r="P21" s="167">
        <f t="shared" si="4"/>
        <v>0</v>
      </c>
      <c r="Q21" s="180">
        <f>MROUND(Q15*$B$21,Q13)</f>
        <v>0</v>
      </c>
      <c r="R21" s="166"/>
      <c r="S21" s="167">
        <f t="shared" si="5"/>
        <v>0</v>
      </c>
      <c r="T21" s="180">
        <f>MROUND(T15*$B$21,T13)</f>
        <v>0</v>
      </c>
      <c r="U21" s="166"/>
      <c r="V21" s="167">
        <f t="shared" si="6"/>
        <v>0</v>
      </c>
      <c r="W21" s="180">
        <f>MROUND(W15*$B$21,W13)</f>
        <v>0</v>
      </c>
      <c r="X21" s="166"/>
      <c r="Y21" s="167">
        <f t="shared" si="7"/>
        <v>0</v>
      </c>
    </row>
    <row r="22" spans="1:25" x14ac:dyDescent="0.25">
      <c r="A22" s="171" t="s">
        <v>74</v>
      </c>
      <c r="B22" s="172">
        <f t="shared" si="8"/>
        <v>0.7</v>
      </c>
      <c r="C22" s="171">
        <v>5</v>
      </c>
      <c r="D22" s="172">
        <f t="shared" si="0"/>
        <v>3.5</v>
      </c>
      <c r="E22" s="180">
        <f>MROUND($E$15*$B$22,E13)</f>
        <v>122.5</v>
      </c>
      <c r="F22" s="166"/>
      <c r="G22" s="167">
        <f t="shared" si="1"/>
        <v>0</v>
      </c>
      <c r="H22" s="180">
        <f>MROUND(H15*$B$22,H13)</f>
        <v>0</v>
      </c>
      <c r="I22" s="166"/>
      <c r="J22" s="167">
        <f t="shared" si="2"/>
        <v>0</v>
      </c>
      <c r="K22" s="180">
        <f>MROUND(K15*$B$22,K13)</f>
        <v>0</v>
      </c>
      <c r="L22" s="166"/>
      <c r="M22" s="167">
        <f t="shared" si="3"/>
        <v>0</v>
      </c>
      <c r="N22" s="180">
        <f>MROUND(N15*$B$22,N13)</f>
        <v>0</v>
      </c>
      <c r="O22" s="166"/>
      <c r="P22" s="167">
        <f t="shared" si="4"/>
        <v>0</v>
      </c>
      <c r="Q22" s="180">
        <f>MROUND(Q15*$B$22,Q13)</f>
        <v>0</v>
      </c>
      <c r="R22" s="166"/>
      <c r="S22" s="167">
        <f t="shared" si="5"/>
        <v>0</v>
      </c>
      <c r="T22" s="180">
        <f>MROUND(T15*$B$22,T13)</f>
        <v>0</v>
      </c>
      <c r="U22" s="166"/>
      <c r="V22" s="167">
        <f t="shared" si="6"/>
        <v>0</v>
      </c>
      <c r="W22" s="180">
        <f>MROUND(W15*$B$22,W13)</f>
        <v>0</v>
      </c>
      <c r="X22" s="166"/>
      <c r="Y22" s="167">
        <f t="shared" si="7"/>
        <v>0</v>
      </c>
    </row>
    <row r="23" spans="1:25" x14ac:dyDescent="0.25">
      <c r="A23" s="171" t="s">
        <v>75</v>
      </c>
      <c r="B23" s="172">
        <f t="shared" si="8"/>
        <v>0.7</v>
      </c>
      <c r="C23" s="171">
        <v>5</v>
      </c>
      <c r="D23" s="172">
        <f t="shared" si="0"/>
        <v>3.5</v>
      </c>
      <c r="E23" s="180">
        <f>MROUND($E$15*$B$23,E13)</f>
        <v>122.5</v>
      </c>
      <c r="F23" s="166"/>
      <c r="G23" s="167">
        <f t="shared" si="1"/>
        <v>0</v>
      </c>
      <c r="H23" s="180">
        <f>MROUND(H15*$B$23,H13)</f>
        <v>0</v>
      </c>
      <c r="I23" s="166"/>
      <c r="J23" s="167">
        <f t="shared" si="2"/>
        <v>0</v>
      </c>
      <c r="K23" s="180">
        <f>MROUND(K15*$B$23,K13)</f>
        <v>0</v>
      </c>
      <c r="L23" s="166"/>
      <c r="M23" s="167">
        <f t="shared" si="3"/>
        <v>0</v>
      </c>
      <c r="N23" s="180">
        <f>MROUND(N15*$B$23,N13)</f>
        <v>0</v>
      </c>
      <c r="O23" s="166"/>
      <c r="P23" s="167">
        <f t="shared" si="4"/>
        <v>0</v>
      </c>
      <c r="Q23" s="180">
        <f>MROUND(Q15*$B$23,Q13)</f>
        <v>0</v>
      </c>
      <c r="R23" s="166"/>
      <c r="S23" s="167">
        <f t="shared" si="5"/>
        <v>0</v>
      </c>
      <c r="T23" s="180">
        <f>MROUND(T15*$B$23,T13)</f>
        <v>0</v>
      </c>
      <c r="U23" s="166"/>
      <c r="V23" s="167">
        <f t="shared" si="6"/>
        <v>0</v>
      </c>
      <c r="W23" s="180">
        <f>MROUND(W15*$B$23,W13)</f>
        <v>0</v>
      </c>
      <c r="X23" s="166"/>
      <c r="Y23" s="167">
        <f t="shared" si="7"/>
        <v>0</v>
      </c>
    </row>
    <row r="24" spans="1:25" hidden="1" x14ac:dyDescent="0.25">
      <c r="A24" s="171" t="s">
        <v>76</v>
      </c>
      <c r="B24" s="171">
        <f>IF($A$12="하",0,B23)</f>
        <v>0</v>
      </c>
      <c r="C24" s="171">
        <f>IF($A$12="하",0,5)</f>
        <v>0</v>
      </c>
      <c r="D24" s="172">
        <f t="shared" si="0"/>
        <v>0</v>
      </c>
      <c r="E24" s="180">
        <f>MROUND($E$15*$B$24,E13)</f>
        <v>0</v>
      </c>
      <c r="F24" s="166"/>
      <c r="G24" s="167">
        <f t="shared" si="1"/>
        <v>0</v>
      </c>
      <c r="H24" s="180">
        <f>MROUND(H15*$B$24,H13)</f>
        <v>0</v>
      </c>
      <c r="I24" s="166"/>
      <c r="J24" s="167">
        <f t="shared" si="2"/>
        <v>0</v>
      </c>
      <c r="K24" s="180">
        <f>MROUND(K15*$B$24,K13)</f>
        <v>0</v>
      </c>
      <c r="L24" s="166"/>
      <c r="M24" s="167">
        <f t="shared" si="3"/>
        <v>0</v>
      </c>
      <c r="N24" s="180">
        <f>MROUND(N15*$B$24,N13)</f>
        <v>0</v>
      </c>
      <c r="O24" s="166"/>
      <c r="P24" s="167">
        <f t="shared" si="4"/>
        <v>0</v>
      </c>
      <c r="Q24" s="180">
        <f>MROUND(Q15*$B$24,Q13)</f>
        <v>0</v>
      </c>
      <c r="R24" s="166"/>
      <c r="S24" s="167">
        <f t="shared" si="5"/>
        <v>0</v>
      </c>
      <c r="T24" s="180">
        <f>MROUND(T15*$B$24,T13)</f>
        <v>0</v>
      </c>
      <c r="U24" s="166"/>
      <c r="V24" s="167">
        <f t="shared" si="6"/>
        <v>0</v>
      </c>
      <c r="W24" s="180">
        <f>MROUND(W15*$B$24,W13)</f>
        <v>0</v>
      </c>
      <c r="X24" s="166"/>
      <c r="Y24" s="167">
        <f t="shared" si="7"/>
        <v>0</v>
      </c>
    </row>
    <row r="25" spans="1:25" hidden="1" x14ac:dyDescent="0.25">
      <c r="A25" s="171" t="s">
        <v>77</v>
      </c>
      <c r="B25" s="171">
        <f>IF($A$12="하",0,B24)</f>
        <v>0</v>
      </c>
      <c r="C25" s="171">
        <f>IF($A$12="하",0,5)</f>
        <v>0</v>
      </c>
      <c r="D25" s="172">
        <f t="shared" si="0"/>
        <v>0</v>
      </c>
      <c r="E25" s="180">
        <f>MROUND($E$15*$B$25,E13)</f>
        <v>0</v>
      </c>
      <c r="F25" s="166"/>
      <c r="G25" s="167">
        <f t="shared" si="1"/>
        <v>0</v>
      </c>
      <c r="H25" s="180">
        <f>MROUND(H15*$B$25,H13)</f>
        <v>0</v>
      </c>
      <c r="I25" s="166"/>
      <c r="J25" s="167">
        <f t="shared" si="2"/>
        <v>0</v>
      </c>
      <c r="K25" s="180">
        <f>MROUND(K15*$B$25,K13)</f>
        <v>0</v>
      </c>
      <c r="L25" s="166"/>
      <c r="M25" s="167">
        <f t="shared" si="3"/>
        <v>0</v>
      </c>
      <c r="N25" s="180">
        <f>MROUND(N15*$B$25,N13)</f>
        <v>0</v>
      </c>
      <c r="O25" s="166"/>
      <c r="P25" s="167">
        <f t="shared" si="4"/>
        <v>0</v>
      </c>
      <c r="Q25" s="180">
        <f>MROUND(Q15*$B$25,Q13)</f>
        <v>0</v>
      </c>
      <c r="R25" s="166"/>
      <c r="S25" s="167">
        <f t="shared" si="5"/>
        <v>0</v>
      </c>
      <c r="T25" s="180">
        <f>MROUND(T15*$B$25,T13)</f>
        <v>0</v>
      </c>
      <c r="U25" s="166"/>
      <c r="V25" s="167">
        <f t="shared" si="6"/>
        <v>0</v>
      </c>
      <c r="W25" s="180">
        <f>MROUND(W15*$B$25,W13)</f>
        <v>0</v>
      </c>
      <c r="X25" s="166"/>
      <c r="Y25" s="167">
        <f t="shared" si="7"/>
        <v>0</v>
      </c>
    </row>
    <row r="26" spans="1:25" ht="17.25" thickBot="1" x14ac:dyDescent="0.3">
      <c r="A26" s="171" t="s">
        <v>87</v>
      </c>
      <c r="B26" s="172">
        <f>IFERROR(D26/C26/(1-$E$10*C26),0)</f>
        <v>1</v>
      </c>
      <c r="C26" s="173">
        <f>SUM(C15:C25)</f>
        <v>40</v>
      </c>
      <c r="D26" s="172">
        <f>SUM(D15:D25)</f>
        <v>28</v>
      </c>
      <c r="E26" s="181">
        <f>IFERROR(G26/F26/(1-$E$10*F26),0)</f>
        <v>0</v>
      </c>
      <c r="F26" s="168">
        <f>SUM(F15:F25)</f>
        <v>0</v>
      </c>
      <c r="G26" s="169">
        <f>SUM(G15:G25)</f>
        <v>0</v>
      </c>
      <c r="H26" s="181">
        <f>IFERROR(J26/I26/(1-$E$10*I26),0)</f>
        <v>0</v>
      </c>
      <c r="I26" s="168">
        <f>SUM(I15:I25)</f>
        <v>0</v>
      </c>
      <c r="J26" s="168">
        <f>SUM(J15:J25)</f>
        <v>0</v>
      </c>
      <c r="K26" s="181">
        <f>IFERROR(M26/L26/(1-$E$10*L26),0)</f>
        <v>0</v>
      </c>
      <c r="L26" s="168">
        <f>SUM(L15:L25)</f>
        <v>0</v>
      </c>
      <c r="M26" s="168">
        <f>SUM(M15:M25)</f>
        <v>0</v>
      </c>
      <c r="N26" s="181">
        <f>IFERROR(P26/O26/(1-$E$10*O26),0)</f>
        <v>0</v>
      </c>
      <c r="O26" s="168">
        <f>SUM(O15:O25)</f>
        <v>0</v>
      </c>
      <c r="P26" s="168">
        <f>SUM(P15:P25)</f>
        <v>0</v>
      </c>
      <c r="Q26" s="181">
        <f>IFERROR(S26/R26/(1-$E$10*R26),0)</f>
        <v>0</v>
      </c>
      <c r="R26" s="168">
        <f>SUM(R15:R25)</f>
        <v>0</v>
      </c>
      <c r="S26" s="168">
        <f>SUM(S15:S25)</f>
        <v>0</v>
      </c>
      <c r="T26" s="181">
        <f>IFERROR(V26/U26/(1-$E$10*U26),0)</f>
        <v>0</v>
      </c>
      <c r="U26" s="168">
        <f>SUM(U15:U25)</f>
        <v>0</v>
      </c>
      <c r="V26" s="168">
        <f>SUM(V15:V25)</f>
        <v>0</v>
      </c>
      <c r="W26" s="181">
        <f>IFERROR(Y26/X26/(1-$E$10*X26),0)</f>
        <v>0</v>
      </c>
      <c r="X26" s="168">
        <f>SUM(X15:X25)</f>
        <v>0</v>
      </c>
      <c r="Y26" s="168">
        <f>SUM(Y15:Y25)</f>
        <v>0</v>
      </c>
    </row>
    <row r="27" spans="1:25" s="184" customFormat="1" x14ac:dyDescent="0.25">
      <c r="A27" s="183">
        <f ca="1">ROUNDUP((TODAY()-A11+1)/7,0)</f>
        <v>1</v>
      </c>
      <c r="E27" s="184">
        <v>1</v>
      </c>
    </row>
    <row r="28" spans="1:25" s="184" customFormat="1" ht="30" x14ac:dyDescent="0.25">
      <c r="A28" s="183" t="str">
        <f ca="1">A30&amp;" "&amp;A29</f>
        <v>1rm ME 15sec Rest 3-6 Rep</v>
      </c>
      <c r="E28" s="184" t="s">
        <v>120</v>
      </c>
    </row>
    <row r="29" spans="1:25" hidden="1" x14ac:dyDescent="0.25">
      <c r="A29" t="str">
        <f ca="1">VLOOKUP(B29,$A$33:$B$36,2,0)</f>
        <v>15sec Rest 3-6 Rep</v>
      </c>
      <c r="B29" cm="1">
        <f t="array" aca="1" ref="B29" ca="1">_xlfn.RANDARRAY(,,1,4,TRUE)</f>
        <v>2</v>
      </c>
    </row>
    <row r="30" spans="1:25" hidden="1" x14ac:dyDescent="0.25">
      <c r="A30" t="str">
        <f ca="1">VLOOKUP(B30,$A$38:$B$41,2,0)</f>
        <v>1rm ME</v>
      </c>
      <c r="B30" cm="1">
        <f t="array" aca="1" ref="B30" ca="1">_xlfn.RANDARRAY(,,1,4,TRUE)</f>
        <v>1</v>
      </c>
    </row>
    <row r="31" spans="1:25" hidden="1" x14ac:dyDescent="0.25"/>
    <row r="32" spans="1:25" hidden="1" x14ac:dyDescent="0.25"/>
    <row r="33" spans="1:2" hidden="1" x14ac:dyDescent="0.25">
      <c r="A33">
        <v>1</v>
      </c>
      <c r="B33" t="s">
        <v>94</v>
      </c>
    </row>
    <row r="34" spans="1:2" hidden="1" x14ac:dyDescent="0.25">
      <c r="A34">
        <v>2</v>
      </c>
      <c r="B34" t="s">
        <v>115</v>
      </c>
    </row>
    <row r="35" spans="1:2" hidden="1" x14ac:dyDescent="0.25">
      <c r="A35">
        <v>3</v>
      </c>
      <c r="B35" t="s">
        <v>116</v>
      </c>
    </row>
    <row r="36" spans="1:2" hidden="1" x14ac:dyDescent="0.25">
      <c r="A36">
        <v>4</v>
      </c>
      <c r="B36" t="s">
        <v>117</v>
      </c>
    </row>
    <row r="37" spans="1:2" hidden="1" x14ac:dyDescent="0.25"/>
    <row r="38" spans="1:2" hidden="1" x14ac:dyDescent="0.25">
      <c r="A38">
        <v>1</v>
      </c>
      <c r="B38" t="s">
        <v>118</v>
      </c>
    </row>
    <row r="39" spans="1:2" hidden="1" x14ac:dyDescent="0.25">
      <c r="A39">
        <v>2</v>
      </c>
      <c r="B39" t="s">
        <v>119</v>
      </c>
    </row>
    <row r="40" spans="1:2" hidden="1" x14ac:dyDescent="0.25">
      <c r="A40">
        <v>3</v>
      </c>
      <c r="B40" t="str">
        <f>""</f>
        <v/>
      </c>
    </row>
    <row r="41" spans="1:2" hidden="1" x14ac:dyDescent="0.25">
      <c r="A41">
        <v>4</v>
      </c>
      <c r="B41" t="str">
        <f>""</f>
        <v/>
      </c>
    </row>
  </sheetData>
  <phoneticPr fontId="8" alignment="center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5314-A236-2446-9FAB-B6E4D4CB765F}">
  <dimension ref="A1:Y41"/>
  <sheetViews>
    <sheetView zoomScaleNormal="60" zoomScaleSheetLayoutView="100" workbookViewId="0">
      <pane xSplit="4" ySplit="13" topLeftCell="E14" activePane="bottomRight" state="frozen"/>
      <selection activeCell="F15" sqref="F15"/>
      <selection pane="bottomLeft" activeCell="A13" sqref="A13"/>
      <selection pane="topRight" activeCell="E1" sqref="E1"/>
      <selection pane="bottomRight" activeCell="E27" sqref="E27:E28"/>
    </sheetView>
  </sheetViews>
  <sheetFormatPr defaultColWidth="4.94921875" defaultRowHeight="16.5" x14ac:dyDescent="0.25"/>
  <cols>
    <col min="1" max="1" width="15.47265625" customWidth="1"/>
    <col min="2" max="3" width="4.94921875" hidden="1" customWidth="1"/>
    <col min="4" max="4" width="8.16796875" hidden="1" customWidth="1"/>
    <col min="5" max="5" width="6.8046875" bestFit="1" customWidth="1"/>
    <col min="7" max="8" width="6.8046875" bestFit="1" customWidth="1"/>
    <col min="9" max="9" width="5.19921875" bestFit="1" customWidth="1"/>
    <col min="11" max="11" width="6.8046875" bestFit="1" customWidth="1"/>
    <col min="12" max="12" width="5.19921875" bestFit="1" customWidth="1"/>
    <col min="14" max="14" width="6.8046875" bestFit="1" customWidth="1"/>
    <col min="15" max="15" width="5.19921875" bestFit="1" customWidth="1"/>
    <col min="17" max="17" width="6.8046875" bestFit="1" customWidth="1"/>
    <col min="18" max="18" width="5.19921875" bestFit="1" customWidth="1"/>
    <col min="20" max="20" width="6.8046875" bestFit="1" customWidth="1"/>
    <col min="21" max="21" width="5.19921875" bestFit="1" customWidth="1"/>
    <col min="23" max="23" width="6.8046875" bestFit="1" customWidth="1"/>
    <col min="24" max="24" width="5.19921875" bestFit="1" customWidth="1"/>
  </cols>
  <sheetData>
    <row r="1" spans="1:25" ht="16.5" hidden="1" customHeight="1" x14ac:dyDescent="0.25">
      <c r="A1" s="139">
        <v>1</v>
      </c>
      <c r="B1">
        <v>2</v>
      </c>
      <c r="C1">
        <v>3</v>
      </c>
      <c r="F1" t="s">
        <v>16</v>
      </c>
      <c r="G1">
        <f>B1</f>
        <v>2</v>
      </c>
    </row>
    <row r="2" spans="1:25" ht="16.5" hidden="1" customHeight="1" x14ac:dyDescent="0.25">
      <c r="A2" s="187" t="s">
        <v>60</v>
      </c>
      <c r="B2" s="178" t="s">
        <v>16</v>
      </c>
      <c r="C2" s="178" t="s">
        <v>8</v>
      </c>
      <c r="D2" s="139" t="s">
        <v>60</v>
      </c>
      <c r="E2" t="str">
        <f>VLOOKUP(D2,$A$2:$C$10,$B$12,0)</f>
        <v>상</v>
      </c>
      <c r="F2" t="s">
        <v>8</v>
      </c>
      <c r="G2">
        <f>C1</f>
        <v>3</v>
      </c>
    </row>
    <row r="3" spans="1:25" ht="59.25" hidden="1" customHeight="1" x14ac:dyDescent="0.25">
      <c r="A3" s="187" t="s">
        <v>65</v>
      </c>
      <c r="B3" s="178">
        <v>300</v>
      </c>
      <c r="C3" s="178">
        <v>240</v>
      </c>
      <c r="D3" s="139" t="s">
        <v>65</v>
      </c>
      <c r="E3">
        <f>VLOOKUP(D3,$A$2:$C$10,$B$12,0)</f>
        <v>300</v>
      </c>
    </row>
    <row r="4" spans="1:25" ht="59.25" hidden="1" customHeight="1" x14ac:dyDescent="0.25">
      <c r="A4" s="187" t="s">
        <v>66</v>
      </c>
      <c r="B4" s="178">
        <v>200</v>
      </c>
      <c r="C4" s="178">
        <v>160</v>
      </c>
      <c r="D4" s="139" t="s">
        <v>66</v>
      </c>
      <c r="E4">
        <f>VLOOKUP(D4,$A$2:$C$10,$B$12,0)</f>
        <v>200</v>
      </c>
    </row>
    <row r="5" spans="1:25" ht="59.25" hidden="1" customHeight="1" x14ac:dyDescent="0.25">
      <c r="A5" s="187" t="s">
        <v>61</v>
      </c>
      <c r="B5" s="178">
        <f>B3/4</f>
        <v>75</v>
      </c>
      <c r="C5" s="178">
        <f>C3/4</f>
        <v>60</v>
      </c>
      <c r="D5" s="139" t="s">
        <v>61</v>
      </c>
      <c r="E5">
        <f>VLOOKUP(D5,$A$2:$C$10,$B$12,0)</f>
        <v>75</v>
      </c>
    </row>
    <row r="6" spans="1:25" ht="59.25" hidden="1" customHeight="1" x14ac:dyDescent="0.25">
      <c r="A6" s="187" t="s">
        <v>62</v>
      </c>
      <c r="B6" s="178">
        <f>B4/4</f>
        <v>50</v>
      </c>
      <c r="C6" s="178">
        <f>C4/4</f>
        <v>40</v>
      </c>
      <c r="D6" s="139" t="s">
        <v>62</v>
      </c>
      <c r="E6">
        <f>VLOOKUP(D6,$A$2:$C$10,$B$12,0)</f>
        <v>50</v>
      </c>
    </row>
    <row r="7" spans="1:25" ht="30" hidden="1" customHeight="1" x14ac:dyDescent="0.25">
      <c r="A7" s="187" t="s">
        <v>63</v>
      </c>
      <c r="B7">
        <v>5</v>
      </c>
      <c r="C7">
        <v>5</v>
      </c>
      <c r="D7" s="139" t="s">
        <v>63</v>
      </c>
      <c r="E7">
        <f>VLOOKUP(D7,$A$2:$C$10,$B$12,0)</f>
        <v>5</v>
      </c>
    </row>
    <row r="8" spans="1:25" ht="30" hidden="1" customHeight="1" x14ac:dyDescent="0.25">
      <c r="A8" s="187" t="s">
        <v>64</v>
      </c>
      <c r="B8" s="178">
        <f>B6/B7</f>
        <v>10</v>
      </c>
      <c r="C8" s="178">
        <f>C6/C7</f>
        <v>8</v>
      </c>
      <c r="D8" s="139" t="s">
        <v>64</v>
      </c>
      <c r="E8">
        <f>VLOOKUP(D8,$A$2:$C$10,$B$12,0)</f>
        <v>10</v>
      </c>
    </row>
    <row r="9" spans="1:25" ht="30" hidden="1" customHeight="1" x14ac:dyDescent="0.25">
      <c r="A9" s="187" t="s">
        <v>67</v>
      </c>
      <c r="B9" s="160">
        <v>0.7</v>
      </c>
      <c r="C9" s="160">
        <f>B9</f>
        <v>0.7</v>
      </c>
      <c r="D9" s="139" t="s">
        <v>67</v>
      </c>
      <c r="E9" s="160">
        <f>VLOOKUP(D9,$A$2:$C$10,$B$12,0)</f>
        <v>0.7</v>
      </c>
    </row>
    <row r="10" spans="1:25" ht="16.5" hidden="1" customHeight="1" x14ac:dyDescent="0.25">
      <c r="A10" s="187" t="s">
        <v>80</v>
      </c>
      <c r="B10" s="188">
        <f>(1-B9)/B6</f>
        <v>6.000000000000001E-3</v>
      </c>
      <c r="C10" s="188">
        <f>(1-C9)/C6</f>
        <v>7.5000000000000015E-3</v>
      </c>
      <c r="D10" s="139" t="s">
        <v>80</v>
      </c>
      <c r="E10" s="161">
        <f>VLOOKUP(D10,$A$2:$C$10,$B$12,0)</f>
        <v>6.000000000000001E-3</v>
      </c>
    </row>
    <row r="11" spans="1:25" ht="16.5" customHeight="1" x14ac:dyDescent="0.25">
      <c r="A11" s="182">
        <v>45837</v>
      </c>
      <c r="B11" s="161"/>
      <c r="C11" s="161"/>
      <c r="D11" s="139"/>
      <c r="E11" s="185">
        <v>1</v>
      </c>
      <c r="F11" s="184" t="str">
        <f ca="1">IF($A$27&lt;=E11,"MIN","")</f>
        <v>MIN</v>
      </c>
      <c r="G11" s="184">
        <f ca="1">IF($A$27&lt;E11,0,$E$6*E11-G13)</f>
        <v>50</v>
      </c>
      <c r="H11" s="185">
        <f>ROUNDUP(G13/$E$6,0)</f>
        <v>0</v>
      </c>
      <c r="I11" s="184" t="str">
        <f ca="1">IF($A$27&lt;=H11,"MIN","")</f>
        <v/>
      </c>
      <c r="J11" s="184">
        <f ca="1">IF($A$27&lt;H11,0,$E$6*H11-J13)</f>
        <v>0</v>
      </c>
      <c r="K11" s="185">
        <f>ROUNDUP(J13/$E$6,0)</f>
        <v>0</v>
      </c>
      <c r="L11" s="184" t="str">
        <f ca="1">IF($A$27&lt;=K11,"MIN","")</f>
        <v/>
      </c>
      <c r="M11" s="184">
        <f ca="1">IF($A$27&lt;K11,0,$E$6*K11-M13)</f>
        <v>0</v>
      </c>
      <c r="N11" s="185">
        <f>ROUNDUP(M13/$E$6,0)</f>
        <v>0</v>
      </c>
      <c r="O11" s="184" t="str">
        <f ca="1">IF($A$27&lt;=N11,"MIN","")</f>
        <v/>
      </c>
      <c r="P11" s="184">
        <f ca="1">IF($A$27&lt;N11,0,$E$6*N11-P13)</f>
        <v>0</v>
      </c>
      <c r="Q11" s="185">
        <f>ROUNDUP(P13/$E$6,0)</f>
        <v>0</v>
      </c>
      <c r="R11" s="184" t="str">
        <f ca="1">IF($A$27&lt;=Q11,"MIN","")</f>
        <v/>
      </c>
      <c r="S11" s="184">
        <f ca="1">IF($A$27&lt;Q11,0,$E$6*Q11-S13)</f>
        <v>0</v>
      </c>
      <c r="T11" s="185">
        <f>ROUNDUP(S13/$E$6,0)</f>
        <v>0</v>
      </c>
      <c r="U11" s="184" t="str">
        <f ca="1">IF($A$27&lt;=T11,"MIN","")</f>
        <v/>
      </c>
      <c r="V11" s="184">
        <f ca="1">IF($A$27&lt;T11,0,$E$6*T11-V13)</f>
        <v>0</v>
      </c>
      <c r="W11" s="185">
        <f>ROUNDUP(V13/$E$6,0)</f>
        <v>0</v>
      </c>
      <c r="X11" s="184" t="str">
        <f ca="1">IF($A$27&lt;=W11,"MIN","")</f>
        <v/>
      </c>
      <c r="Y11" s="184">
        <f ca="1">IF($A$27&lt;W11,0,$E$6*W11-Y13)</f>
        <v>0</v>
      </c>
    </row>
    <row r="12" spans="1:25" s="164" customFormat="1" x14ac:dyDescent="0.25">
      <c r="A12" s="165" t="s">
        <v>16</v>
      </c>
      <c r="B12" s="174">
        <f>VLOOKUP(A12,$F$1:$G$2,2,0)</f>
        <v>2</v>
      </c>
      <c r="C12" s="163"/>
      <c r="D12" s="162"/>
      <c r="E12"/>
      <c r="F12" s="184" t="str">
        <f ca="1">IF($A$27=E12,"MAX","")</f>
        <v/>
      </c>
      <c r="G12" s="184">
        <f>$E$5*E12-G13</f>
        <v>0</v>
      </c>
      <c r="H12" s="185">
        <f>ROUNDUP(G13/$E$5,0)</f>
        <v>0</v>
      </c>
      <c r="I12" s="184" t="str">
        <f ca="1">IF($A$27=H12,"MAX","")</f>
        <v/>
      </c>
      <c r="J12" s="184">
        <f>$E$5*H12-J13</f>
        <v>0</v>
      </c>
      <c r="K12" s="185">
        <f>ROUNDUP(J13/$E$5,0)</f>
        <v>0</v>
      </c>
      <c r="L12" s="184" t="str">
        <f ca="1">IF($A$27=K12,"MAX","")</f>
        <v/>
      </c>
      <c r="M12" s="184">
        <f>$E$5*K12-M13</f>
        <v>0</v>
      </c>
      <c r="N12" s="185">
        <f>ROUNDUP(M13/$E$5,0)</f>
        <v>0</v>
      </c>
      <c r="O12" s="184" t="str">
        <f ca="1">IF($A$27=N12,"MAX","")</f>
        <v/>
      </c>
      <c r="P12" s="184">
        <f>$E$5*N12-P13</f>
        <v>0</v>
      </c>
      <c r="Q12" s="185">
        <f>ROUNDUP(P13/$E$5,0)</f>
        <v>0</v>
      </c>
      <c r="R12" s="184" t="str">
        <f ca="1">IF($A$27=Q12,"MAX","")</f>
        <v/>
      </c>
      <c r="S12" s="184">
        <f>$E$5*Q12-S13</f>
        <v>0</v>
      </c>
      <c r="T12" s="185">
        <f>ROUNDUP(S13/$E$5,0)</f>
        <v>0</v>
      </c>
      <c r="U12" s="184" t="str">
        <f ca="1">IF($A$27=T12,"MAX","")</f>
        <v/>
      </c>
      <c r="V12" s="184">
        <f>$E$5*T12-V13</f>
        <v>0</v>
      </c>
      <c r="W12" s="185">
        <f>ROUNDUP(V13/$E$5,0)</f>
        <v>0</v>
      </c>
      <c r="X12" s="184" t="str">
        <f ca="1">IF($A$27=W12,"MAX","")</f>
        <v/>
      </c>
      <c r="Y12" s="184">
        <f>$E$5*W12-Y13</f>
        <v>0</v>
      </c>
    </row>
    <row r="13" spans="1:25" ht="17.25" thickBot="1" x14ac:dyDescent="0.3">
      <c r="A13" s="170" t="s">
        <v>79</v>
      </c>
      <c r="E13" s="35">
        <v>2.5</v>
      </c>
      <c r="F13" s="177" t="s">
        <v>88</v>
      </c>
      <c r="G13" s="178">
        <f>D13+F26</f>
        <v>0</v>
      </c>
      <c r="H13" s="35">
        <f>E13</f>
        <v>2.5</v>
      </c>
      <c r="I13" s="177" t="s">
        <v>88</v>
      </c>
      <c r="J13" s="178">
        <f>G13+I26</f>
        <v>0</v>
      </c>
      <c r="K13" s="35">
        <f>H13</f>
        <v>2.5</v>
      </c>
      <c r="L13" s="177" t="s">
        <v>88</v>
      </c>
      <c r="M13" s="178">
        <f>J13+L26</f>
        <v>0</v>
      </c>
      <c r="N13" s="35">
        <f>K13</f>
        <v>2.5</v>
      </c>
      <c r="O13" s="177" t="s">
        <v>88</v>
      </c>
      <c r="P13" s="178">
        <f>M13+O26</f>
        <v>0</v>
      </c>
      <c r="Q13" s="35">
        <f>N13</f>
        <v>2.5</v>
      </c>
      <c r="R13" s="177" t="s">
        <v>88</v>
      </c>
      <c r="S13" s="178">
        <f>P13+R26</f>
        <v>0</v>
      </c>
      <c r="T13" s="35">
        <f>Q13</f>
        <v>2.5</v>
      </c>
      <c r="U13" s="177" t="s">
        <v>88</v>
      </c>
      <c r="V13" s="178">
        <f>S13+U26</f>
        <v>0</v>
      </c>
      <c r="W13" s="35">
        <f>T13</f>
        <v>2.5</v>
      </c>
      <c r="X13" s="177" t="s">
        <v>88</v>
      </c>
      <c r="Y13" s="178">
        <f>V13+X26</f>
        <v>0</v>
      </c>
    </row>
    <row r="14" spans="1:25" x14ac:dyDescent="0.25">
      <c r="A14" s="171" t="s">
        <v>60</v>
      </c>
      <c r="B14" s="171" t="s">
        <v>83</v>
      </c>
      <c r="C14" s="171" t="s">
        <v>82</v>
      </c>
      <c r="D14" s="171" t="s">
        <v>84</v>
      </c>
      <c r="E14" s="9" t="s">
        <v>78</v>
      </c>
      <c r="F14" s="175" t="s">
        <v>81</v>
      </c>
      <c r="G14" s="176" t="s">
        <v>85</v>
      </c>
      <c r="H14" s="9" t="str">
        <f>E14</f>
        <v>SQ</v>
      </c>
      <c r="I14" s="175" t="str">
        <f>F14</f>
        <v>개수</v>
      </c>
      <c r="J14" s="176" t="str">
        <f>G14</f>
        <v>볼륨</v>
      </c>
      <c r="K14" s="9" t="str">
        <f>H14</f>
        <v>SQ</v>
      </c>
      <c r="L14" s="175" t="str">
        <f>I14</f>
        <v>개수</v>
      </c>
      <c r="M14" s="176" t="str">
        <f>J14</f>
        <v>볼륨</v>
      </c>
      <c r="N14" s="9" t="str">
        <f>K14</f>
        <v>SQ</v>
      </c>
      <c r="O14" s="175" t="str">
        <f>L14</f>
        <v>개수</v>
      </c>
      <c r="P14" s="176" t="str">
        <f>M14</f>
        <v>볼륨</v>
      </c>
      <c r="Q14" s="9" t="str">
        <f>N14</f>
        <v>SQ</v>
      </c>
      <c r="R14" s="175" t="str">
        <f>O14</f>
        <v>개수</v>
      </c>
      <c r="S14" s="176" t="str">
        <f>P14</f>
        <v>볼륨</v>
      </c>
      <c r="T14" s="9" t="str">
        <f>Q14</f>
        <v>SQ</v>
      </c>
      <c r="U14" s="175" t="str">
        <f>R14</f>
        <v>개수</v>
      </c>
      <c r="V14" s="176" t="str">
        <f>S14</f>
        <v>볼륨</v>
      </c>
      <c r="W14" s="9" t="str">
        <f>T14</f>
        <v>SQ</v>
      </c>
      <c r="X14" s="175" t="str">
        <f>U14</f>
        <v>개수</v>
      </c>
      <c r="Y14" s="176" t="str">
        <f>V14</f>
        <v>볼륨</v>
      </c>
    </row>
    <row r="15" spans="1:25" x14ac:dyDescent="0.25">
      <c r="A15" s="171" t="s">
        <v>86</v>
      </c>
      <c r="B15" s="172">
        <v>1</v>
      </c>
      <c r="C15" s="171">
        <v>0</v>
      </c>
      <c r="D15" s="172">
        <f>B15*C15</f>
        <v>0</v>
      </c>
      <c r="E15" s="179">
        <v>200</v>
      </c>
      <c r="F15" s="166"/>
      <c r="G15" s="167">
        <f>E15*F15</f>
        <v>0</v>
      </c>
      <c r="H15" s="179">
        <f>E26</f>
        <v>0</v>
      </c>
      <c r="I15" s="166"/>
      <c r="J15" s="167">
        <f>H15*I15</f>
        <v>0</v>
      </c>
      <c r="K15" s="179">
        <f>H26</f>
        <v>0</v>
      </c>
      <c r="L15" s="166"/>
      <c r="M15" s="167">
        <f>K15*L15</f>
        <v>0</v>
      </c>
      <c r="N15" s="179">
        <f>K26</f>
        <v>0</v>
      </c>
      <c r="O15" s="166"/>
      <c r="P15" s="167">
        <f>N15*O15</f>
        <v>0</v>
      </c>
      <c r="Q15" s="179">
        <f>N26</f>
        <v>0</v>
      </c>
      <c r="R15" s="166"/>
      <c r="S15" s="167">
        <f>Q15*R15</f>
        <v>0</v>
      </c>
      <c r="T15" s="179">
        <f>Q26</f>
        <v>0</v>
      </c>
      <c r="U15" s="166"/>
      <c r="V15" s="167">
        <f>T15*U15</f>
        <v>0</v>
      </c>
      <c r="W15" s="179">
        <f>T26</f>
        <v>0</v>
      </c>
      <c r="X15" s="166"/>
      <c r="Y15" s="167">
        <f>W15*X15</f>
        <v>0</v>
      </c>
    </row>
    <row r="16" spans="1:25" x14ac:dyDescent="0.25">
      <c r="A16" s="171" t="s">
        <v>68</v>
      </c>
      <c r="B16" s="172">
        <f>E9</f>
        <v>0.7</v>
      </c>
      <c r="C16" s="171">
        <v>5</v>
      </c>
      <c r="D16" s="172">
        <f t="shared" ref="D16:D25" si="0">B16*C16</f>
        <v>3.5</v>
      </c>
      <c r="E16" s="180">
        <f>MROUND($E$15*$B$16,E13)</f>
        <v>140</v>
      </c>
      <c r="F16" s="166"/>
      <c r="G16" s="167">
        <f t="shared" ref="G16:G25" si="1">E16*F16</f>
        <v>0</v>
      </c>
      <c r="H16" s="180">
        <f>MROUND(H15*$B$16,H13)</f>
        <v>0</v>
      </c>
      <c r="I16" s="166"/>
      <c r="J16" s="167">
        <f t="shared" ref="J16:J25" si="2">H16*I16</f>
        <v>0</v>
      </c>
      <c r="K16" s="180">
        <f>MROUND(K15*$B$16,K13)</f>
        <v>0</v>
      </c>
      <c r="L16" s="166"/>
      <c r="M16" s="167">
        <f t="shared" ref="M16:M25" si="3">K16*L16</f>
        <v>0</v>
      </c>
      <c r="N16" s="180">
        <f>MROUND(N15*$B$16,N13)</f>
        <v>0</v>
      </c>
      <c r="O16" s="166"/>
      <c r="P16" s="167">
        <f t="shared" ref="P16:P25" si="4">N16*O16</f>
        <v>0</v>
      </c>
      <c r="Q16" s="180">
        <f>MROUND(Q15*$B$16,Q13)</f>
        <v>0</v>
      </c>
      <c r="R16" s="166"/>
      <c r="S16" s="167">
        <f t="shared" ref="S16:S25" si="5">Q16*R16</f>
        <v>0</v>
      </c>
      <c r="T16" s="180">
        <f>MROUND(T15*$B$16,T13)</f>
        <v>0</v>
      </c>
      <c r="U16" s="166"/>
      <c r="V16" s="167">
        <f t="shared" ref="V16:V25" si="6">T16*U16</f>
        <v>0</v>
      </c>
      <c r="W16" s="180">
        <f>MROUND(W15*$B$16,W13)</f>
        <v>0</v>
      </c>
      <c r="X16" s="166"/>
      <c r="Y16" s="167">
        <f t="shared" ref="Y16:Y25" si="7">W16*X16</f>
        <v>0</v>
      </c>
    </row>
    <row r="17" spans="1:25" x14ac:dyDescent="0.25">
      <c r="A17" s="171" t="s">
        <v>69</v>
      </c>
      <c r="B17" s="172">
        <f>B16</f>
        <v>0.7</v>
      </c>
      <c r="C17" s="171">
        <v>5</v>
      </c>
      <c r="D17" s="172">
        <f t="shared" si="0"/>
        <v>3.5</v>
      </c>
      <c r="E17" s="180">
        <f>MROUND($E$15*$B$17,E13)</f>
        <v>140</v>
      </c>
      <c r="F17" s="166"/>
      <c r="G17" s="167">
        <f t="shared" si="1"/>
        <v>0</v>
      </c>
      <c r="H17" s="180">
        <f>MROUND(H15*$B$17,H13)</f>
        <v>0</v>
      </c>
      <c r="I17" s="166"/>
      <c r="J17" s="167">
        <f t="shared" si="2"/>
        <v>0</v>
      </c>
      <c r="K17" s="180">
        <f>MROUND(K15*$B$17,K13)</f>
        <v>0</v>
      </c>
      <c r="L17" s="166"/>
      <c r="M17" s="167">
        <f t="shared" si="3"/>
        <v>0</v>
      </c>
      <c r="N17" s="180">
        <f>MROUND(N15*$B$17,N13)</f>
        <v>0</v>
      </c>
      <c r="O17" s="166"/>
      <c r="P17" s="167">
        <f t="shared" si="4"/>
        <v>0</v>
      </c>
      <c r="Q17" s="180">
        <f>MROUND(Q15*$B$17,Q13)</f>
        <v>0</v>
      </c>
      <c r="R17" s="166"/>
      <c r="S17" s="167">
        <f t="shared" si="5"/>
        <v>0</v>
      </c>
      <c r="T17" s="180">
        <f>MROUND(T15*$B$17,T13)</f>
        <v>0</v>
      </c>
      <c r="U17" s="166"/>
      <c r="V17" s="167">
        <f t="shared" si="6"/>
        <v>0</v>
      </c>
      <c r="W17" s="180">
        <f>MROUND(W15*$B$17,W13)</f>
        <v>0</v>
      </c>
      <c r="X17" s="166"/>
      <c r="Y17" s="167">
        <f t="shared" si="7"/>
        <v>0</v>
      </c>
    </row>
    <row r="18" spans="1:25" x14ac:dyDescent="0.25">
      <c r="A18" s="171" t="s">
        <v>70</v>
      </c>
      <c r="B18" s="172">
        <f t="shared" ref="B18:B23" si="8">B17</f>
        <v>0.7</v>
      </c>
      <c r="C18" s="171">
        <v>5</v>
      </c>
      <c r="D18" s="172">
        <f t="shared" si="0"/>
        <v>3.5</v>
      </c>
      <c r="E18" s="180">
        <f>MROUND($E$15*$B$18,E13)</f>
        <v>140</v>
      </c>
      <c r="F18" s="166"/>
      <c r="G18" s="167">
        <f t="shared" si="1"/>
        <v>0</v>
      </c>
      <c r="H18" s="180">
        <f>MROUND(H15*$B$18,H13)</f>
        <v>0</v>
      </c>
      <c r="I18" s="166"/>
      <c r="J18" s="167">
        <f t="shared" si="2"/>
        <v>0</v>
      </c>
      <c r="K18" s="180">
        <f>MROUND(K15*$B$18,K13)</f>
        <v>0</v>
      </c>
      <c r="L18" s="166"/>
      <c r="M18" s="167">
        <f t="shared" si="3"/>
        <v>0</v>
      </c>
      <c r="N18" s="180">
        <f>MROUND(N15*$B$18,N13)</f>
        <v>0</v>
      </c>
      <c r="O18" s="166"/>
      <c r="P18" s="167">
        <f t="shared" si="4"/>
        <v>0</v>
      </c>
      <c r="Q18" s="180">
        <f>MROUND(Q15*$B$18,Q13)</f>
        <v>0</v>
      </c>
      <c r="R18" s="166"/>
      <c r="S18" s="167">
        <f t="shared" si="5"/>
        <v>0</v>
      </c>
      <c r="T18" s="180">
        <f>MROUND(T15*$B$18,T13)</f>
        <v>0</v>
      </c>
      <c r="U18" s="166"/>
      <c r="V18" s="167">
        <f t="shared" si="6"/>
        <v>0</v>
      </c>
      <c r="W18" s="180">
        <f>MROUND(W15*$B$18,W13)</f>
        <v>0</v>
      </c>
      <c r="X18" s="166"/>
      <c r="Y18" s="167">
        <f t="shared" si="7"/>
        <v>0</v>
      </c>
    </row>
    <row r="19" spans="1:25" x14ac:dyDescent="0.25">
      <c r="A19" s="171" t="s">
        <v>71</v>
      </c>
      <c r="B19" s="172">
        <f t="shared" si="8"/>
        <v>0.7</v>
      </c>
      <c r="C19" s="171">
        <v>5</v>
      </c>
      <c r="D19" s="172">
        <f t="shared" si="0"/>
        <v>3.5</v>
      </c>
      <c r="E19" s="180">
        <f>MROUND($E$15*$B$19,E13)</f>
        <v>140</v>
      </c>
      <c r="F19" s="166"/>
      <c r="G19" s="167">
        <f t="shared" si="1"/>
        <v>0</v>
      </c>
      <c r="H19" s="180">
        <f>MROUND(H15*$B$19,H13)</f>
        <v>0</v>
      </c>
      <c r="I19" s="166"/>
      <c r="J19" s="167">
        <f t="shared" si="2"/>
        <v>0</v>
      </c>
      <c r="K19" s="180">
        <f>MROUND(K15*$B$19,K13)</f>
        <v>0</v>
      </c>
      <c r="L19" s="166"/>
      <c r="M19" s="167">
        <f t="shared" si="3"/>
        <v>0</v>
      </c>
      <c r="N19" s="180">
        <f>MROUND(N15*$B$19,N13)</f>
        <v>0</v>
      </c>
      <c r="O19" s="166"/>
      <c r="P19" s="167">
        <f t="shared" si="4"/>
        <v>0</v>
      </c>
      <c r="Q19" s="180">
        <f>MROUND(Q15*$B$19,Q13)</f>
        <v>0</v>
      </c>
      <c r="R19" s="166"/>
      <c r="S19" s="167">
        <f t="shared" si="5"/>
        <v>0</v>
      </c>
      <c r="T19" s="180">
        <f>MROUND(T15*$B$19,T13)</f>
        <v>0</v>
      </c>
      <c r="U19" s="166"/>
      <c r="V19" s="167">
        <f t="shared" si="6"/>
        <v>0</v>
      </c>
      <c r="W19" s="180">
        <f>MROUND(W15*$B$19,W13)</f>
        <v>0</v>
      </c>
      <c r="X19" s="166"/>
      <c r="Y19" s="167">
        <f t="shared" si="7"/>
        <v>0</v>
      </c>
    </row>
    <row r="20" spans="1:25" x14ac:dyDescent="0.25">
      <c r="A20" s="171" t="s">
        <v>72</v>
      </c>
      <c r="B20" s="172">
        <f t="shared" si="8"/>
        <v>0.7</v>
      </c>
      <c r="C20" s="171">
        <v>5</v>
      </c>
      <c r="D20" s="172">
        <f t="shared" si="0"/>
        <v>3.5</v>
      </c>
      <c r="E20" s="180">
        <f>MROUND($E$15*$B$20,E13)</f>
        <v>140</v>
      </c>
      <c r="F20" s="166"/>
      <c r="G20" s="167">
        <f t="shared" si="1"/>
        <v>0</v>
      </c>
      <c r="H20" s="180">
        <f>MROUND(H15*$B$20,H13)</f>
        <v>0</v>
      </c>
      <c r="I20" s="166"/>
      <c r="J20" s="167">
        <f t="shared" si="2"/>
        <v>0</v>
      </c>
      <c r="K20" s="180">
        <f>MROUND(K15*$B$20,K13)</f>
        <v>0</v>
      </c>
      <c r="L20" s="166"/>
      <c r="M20" s="167">
        <f t="shared" si="3"/>
        <v>0</v>
      </c>
      <c r="N20" s="180">
        <f>MROUND(N15*$B$20,N13)</f>
        <v>0</v>
      </c>
      <c r="O20" s="166"/>
      <c r="P20" s="167">
        <f t="shared" si="4"/>
        <v>0</v>
      </c>
      <c r="Q20" s="180">
        <f>MROUND(Q15*$B$20,Q13)</f>
        <v>0</v>
      </c>
      <c r="R20" s="166"/>
      <c r="S20" s="167">
        <f t="shared" si="5"/>
        <v>0</v>
      </c>
      <c r="T20" s="180">
        <f>MROUND(T15*$B$20,T13)</f>
        <v>0</v>
      </c>
      <c r="U20" s="166"/>
      <c r="V20" s="167">
        <f t="shared" si="6"/>
        <v>0</v>
      </c>
      <c r="W20" s="180">
        <f>MROUND(W15*$B$20,W13)</f>
        <v>0</v>
      </c>
      <c r="X20" s="166"/>
      <c r="Y20" s="167">
        <f t="shared" si="7"/>
        <v>0</v>
      </c>
    </row>
    <row r="21" spans="1:25" x14ac:dyDescent="0.25">
      <c r="A21" s="171" t="s">
        <v>73</v>
      </c>
      <c r="B21" s="172">
        <f t="shared" si="8"/>
        <v>0.7</v>
      </c>
      <c r="C21" s="171">
        <v>5</v>
      </c>
      <c r="D21" s="172">
        <f t="shared" si="0"/>
        <v>3.5</v>
      </c>
      <c r="E21" s="180">
        <f>MROUND($E$15*$B$21,E13)</f>
        <v>140</v>
      </c>
      <c r="F21" s="166"/>
      <c r="G21" s="167">
        <f t="shared" si="1"/>
        <v>0</v>
      </c>
      <c r="H21" s="180">
        <f>MROUND(H15*$B$21,H13)</f>
        <v>0</v>
      </c>
      <c r="I21" s="166"/>
      <c r="J21" s="167">
        <f t="shared" si="2"/>
        <v>0</v>
      </c>
      <c r="K21" s="180">
        <f>MROUND(K15*$B$21,K13)</f>
        <v>0</v>
      </c>
      <c r="L21" s="166"/>
      <c r="M21" s="167">
        <f t="shared" si="3"/>
        <v>0</v>
      </c>
      <c r="N21" s="180">
        <f>MROUND(N15*$B$21,N13)</f>
        <v>0</v>
      </c>
      <c r="O21" s="166"/>
      <c r="P21" s="167">
        <f t="shared" si="4"/>
        <v>0</v>
      </c>
      <c r="Q21" s="180">
        <f>MROUND(Q15*$B$21,Q13)</f>
        <v>0</v>
      </c>
      <c r="R21" s="166"/>
      <c r="S21" s="167">
        <f t="shared" si="5"/>
        <v>0</v>
      </c>
      <c r="T21" s="180">
        <f>MROUND(T15*$B$21,T13)</f>
        <v>0</v>
      </c>
      <c r="U21" s="166"/>
      <c r="V21" s="167">
        <f t="shared" si="6"/>
        <v>0</v>
      </c>
      <c r="W21" s="180">
        <f>MROUND(W15*$B$21,W13)</f>
        <v>0</v>
      </c>
      <c r="X21" s="166"/>
      <c r="Y21" s="167">
        <f t="shared" si="7"/>
        <v>0</v>
      </c>
    </row>
    <row r="22" spans="1:25" x14ac:dyDescent="0.25">
      <c r="A22" s="171" t="s">
        <v>74</v>
      </c>
      <c r="B22" s="172">
        <f t="shared" si="8"/>
        <v>0.7</v>
      </c>
      <c r="C22" s="171">
        <v>5</v>
      </c>
      <c r="D22" s="172">
        <f t="shared" si="0"/>
        <v>3.5</v>
      </c>
      <c r="E22" s="180">
        <f>MROUND($E$15*$B$22,E13)</f>
        <v>140</v>
      </c>
      <c r="F22" s="166"/>
      <c r="G22" s="167">
        <f t="shared" si="1"/>
        <v>0</v>
      </c>
      <c r="H22" s="180">
        <f>MROUND(H15*$B$22,H13)</f>
        <v>0</v>
      </c>
      <c r="I22" s="166"/>
      <c r="J22" s="167">
        <f t="shared" si="2"/>
        <v>0</v>
      </c>
      <c r="K22" s="180">
        <f>MROUND(K15*$B$22,K13)</f>
        <v>0</v>
      </c>
      <c r="L22" s="166"/>
      <c r="M22" s="167">
        <f t="shared" si="3"/>
        <v>0</v>
      </c>
      <c r="N22" s="180">
        <f>MROUND(N15*$B$22,N13)</f>
        <v>0</v>
      </c>
      <c r="O22" s="166"/>
      <c r="P22" s="167">
        <f t="shared" si="4"/>
        <v>0</v>
      </c>
      <c r="Q22" s="180">
        <f>MROUND(Q15*$B$22,Q13)</f>
        <v>0</v>
      </c>
      <c r="R22" s="166"/>
      <c r="S22" s="167">
        <f t="shared" si="5"/>
        <v>0</v>
      </c>
      <c r="T22" s="180">
        <f>MROUND(T15*$B$22,T13)</f>
        <v>0</v>
      </c>
      <c r="U22" s="166"/>
      <c r="V22" s="167">
        <f t="shared" si="6"/>
        <v>0</v>
      </c>
      <c r="W22" s="180">
        <f>MROUND(W15*$B$22,W13)</f>
        <v>0</v>
      </c>
      <c r="X22" s="166"/>
      <c r="Y22" s="167">
        <f t="shared" si="7"/>
        <v>0</v>
      </c>
    </row>
    <row r="23" spans="1:25" x14ac:dyDescent="0.25">
      <c r="A23" s="171" t="s">
        <v>75</v>
      </c>
      <c r="B23" s="172">
        <f t="shared" si="8"/>
        <v>0.7</v>
      </c>
      <c r="C23" s="171">
        <v>5</v>
      </c>
      <c r="D23" s="172">
        <f t="shared" si="0"/>
        <v>3.5</v>
      </c>
      <c r="E23" s="180">
        <f>MROUND($E$15*$B$23,E13)</f>
        <v>140</v>
      </c>
      <c r="F23" s="166"/>
      <c r="G23" s="167">
        <f t="shared" si="1"/>
        <v>0</v>
      </c>
      <c r="H23" s="180">
        <f>MROUND(H15*$B$23,H13)</f>
        <v>0</v>
      </c>
      <c r="I23" s="166"/>
      <c r="J23" s="167">
        <f t="shared" si="2"/>
        <v>0</v>
      </c>
      <c r="K23" s="180">
        <f>MROUND(K15*$B$23,K13)</f>
        <v>0</v>
      </c>
      <c r="L23" s="166"/>
      <c r="M23" s="167">
        <f t="shared" si="3"/>
        <v>0</v>
      </c>
      <c r="N23" s="180">
        <f>MROUND(N15*$B$23,N13)</f>
        <v>0</v>
      </c>
      <c r="O23" s="166"/>
      <c r="P23" s="167">
        <f t="shared" si="4"/>
        <v>0</v>
      </c>
      <c r="Q23" s="180">
        <f>MROUND(Q15*$B$23,Q13)</f>
        <v>0</v>
      </c>
      <c r="R23" s="166"/>
      <c r="S23" s="167">
        <f t="shared" si="5"/>
        <v>0</v>
      </c>
      <c r="T23" s="180">
        <f>MROUND(T15*$B$23,T13)</f>
        <v>0</v>
      </c>
      <c r="U23" s="166"/>
      <c r="V23" s="167">
        <f t="shared" si="6"/>
        <v>0</v>
      </c>
      <c r="W23" s="180">
        <f>MROUND(W15*$B$23,W13)</f>
        <v>0</v>
      </c>
      <c r="X23" s="166"/>
      <c r="Y23" s="167">
        <f t="shared" si="7"/>
        <v>0</v>
      </c>
    </row>
    <row r="24" spans="1:25" x14ac:dyDescent="0.25">
      <c r="A24" s="171" t="s">
        <v>76</v>
      </c>
      <c r="B24" s="171">
        <f>IF($A$12="하",0,B23)</f>
        <v>0.7</v>
      </c>
      <c r="C24" s="171">
        <f>IF($A$12="하",0,5)</f>
        <v>5</v>
      </c>
      <c r="D24" s="172">
        <f t="shared" si="0"/>
        <v>3.5</v>
      </c>
      <c r="E24" s="180">
        <f>MROUND($E$15*$B$24,E13)</f>
        <v>140</v>
      </c>
      <c r="F24" s="166"/>
      <c r="G24" s="167">
        <f t="shared" si="1"/>
        <v>0</v>
      </c>
      <c r="H24" s="180">
        <f>MROUND(H15*$B$24,H13)</f>
        <v>0</v>
      </c>
      <c r="I24" s="166"/>
      <c r="J24" s="167">
        <f t="shared" si="2"/>
        <v>0</v>
      </c>
      <c r="K24" s="180">
        <f>MROUND(K15*$B$24,K13)</f>
        <v>0</v>
      </c>
      <c r="L24" s="166"/>
      <c r="M24" s="167">
        <f t="shared" si="3"/>
        <v>0</v>
      </c>
      <c r="N24" s="180">
        <f>MROUND(N15*$B$24,N13)</f>
        <v>0</v>
      </c>
      <c r="O24" s="166"/>
      <c r="P24" s="167">
        <f t="shared" si="4"/>
        <v>0</v>
      </c>
      <c r="Q24" s="180">
        <f>MROUND(Q15*$B$24,Q13)</f>
        <v>0</v>
      </c>
      <c r="R24" s="166"/>
      <c r="S24" s="167">
        <f t="shared" si="5"/>
        <v>0</v>
      </c>
      <c r="T24" s="180">
        <f>MROUND(T15*$B$24,T13)</f>
        <v>0</v>
      </c>
      <c r="U24" s="166"/>
      <c r="V24" s="167">
        <f t="shared" si="6"/>
        <v>0</v>
      </c>
      <c r="W24" s="180">
        <f>MROUND(W15*$B$24,W13)</f>
        <v>0</v>
      </c>
      <c r="X24" s="166"/>
      <c r="Y24" s="167">
        <f t="shared" si="7"/>
        <v>0</v>
      </c>
    </row>
    <row r="25" spans="1:25" x14ac:dyDescent="0.25">
      <c r="A25" s="171" t="s">
        <v>77</v>
      </c>
      <c r="B25" s="171">
        <f>IF($A$12="하",0,B24)</f>
        <v>0.7</v>
      </c>
      <c r="C25" s="171">
        <f>IF($A$12="하",0,5)</f>
        <v>5</v>
      </c>
      <c r="D25" s="172">
        <f t="shared" si="0"/>
        <v>3.5</v>
      </c>
      <c r="E25" s="180">
        <f>MROUND($E$15*$B$25,E13)</f>
        <v>140</v>
      </c>
      <c r="F25" s="166"/>
      <c r="G25" s="167">
        <f t="shared" si="1"/>
        <v>0</v>
      </c>
      <c r="H25" s="180">
        <f>MROUND(H15*$B$25,H13)</f>
        <v>0</v>
      </c>
      <c r="I25" s="166"/>
      <c r="J25" s="167">
        <f t="shared" si="2"/>
        <v>0</v>
      </c>
      <c r="K25" s="180">
        <f>MROUND(K15*$B$25,K13)</f>
        <v>0</v>
      </c>
      <c r="L25" s="166"/>
      <c r="M25" s="167">
        <f t="shared" si="3"/>
        <v>0</v>
      </c>
      <c r="N25" s="180">
        <f>MROUND(N15*$B$25,N13)</f>
        <v>0</v>
      </c>
      <c r="O25" s="166"/>
      <c r="P25" s="167">
        <f t="shared" si="4"/>
        <v>0</v>
      </c>
      <c r="Q25" s="180">
        <f>MROUND(Q15*$B$25,Q13)</f>
        <v>0</v>
      </c>
      <c r="R25" s="166"/>
      <c r="S25" s="167">
        <f t="shared" si="5"/>
        <v>0</v>
      </c>
      <c r="T25" s="180">
        <f>MROUND(T15*$B$25,T13)</f>
        <v>0</v>
      </c>
      <c r="U25" s="166"/>
      <c r="V25" s="167">
        <f t="shared" si="6"/>
        <v>0</v>
      </c>
      <c r="W25" s="180">
        <f>MROUND(W15*$B$25,W13)</f>
        <v>0</v>
      </c>
      <c r="X25" s="166"/>
      <c r="Y25" s="167">
        <f t="shared" si="7"/>
        <v>0</v>
      </c>
    </row>
    <row r="26" spans="1:25" ht="17.25" thickBot="1" x14ac:dyDescent="0.3">
      <c r="A26" s="171" t="s">
        <v>87</v>
      </c>
      <c r="B26" s="172">
        <f>IFERROR(D26/C26/(1-$E$10*C26),0)</f>
        <v>1</v>
      </c>
      <c r="C26" s="173">
        <f>SUM(C15:C25)</f>
        <v>50</v>
      </c>
      <c r="D26" s="172">
        <f>SUM(D15:D25)</f>
        <v>35</v>
      </c>
      <c r="E26" s="181">
        <f>IFERROR(G26/F26/(1-$E$10*F26),0)</f>
        <v>0</v>
      </c>
      <c r="F26" s="168">
        <f>SUM(F15:F25)</f>
        <v>0</v>
      </c>
      <c r="G26" s="169">
        <f>SUM(G15:G25)</f>
        <v>0</v>
      </c>
      <c r="H26" s="181">
        <f>IFERROR(J26/I26/(1-$E$10*I26),0)</f>
        <v>0</v>
      </c>
      <c r="I26" s="168">
        <f>SUM(I15:I25)</f>
        <v>0</v>
      </c>
      <c r="J26" s="168">
        <f>SUM(J15:J25)</f>
        <v>0</v>
      </c>
      <c r="K26" s="181">
        <f>IFERROR(M26/L26/(1-$E$10*L26),0)</f>
        <v>0</v>
      </c>
      <c r="L26" s="168">
        <f>SUM(L15:L25)</f>
        <v>0</v>
      </c>
      <c r="M26" s="168">
        <f>SUM(M15:M25)</f>
        <v>0</v>
      </c>
      <c r="N26" s="181">
        <f>IFERROR(P26/O26/(1-$E$10*O26),0)</f>
        <v>0</v>
      </c>
      <c r="O26" s="168">
        <f>SUM(O15:O25)</f>
        <v>0</v>
      </c>
      <c r="P26" s="168">
        <f>SUM(P15:P25)</f>
        <v>0</v>
      </c>
      <c r="Q26" s="181">
        <f>IFERROR(S26/R26/(1-$E$10*R26),0)</f>
        <v>0</v>
      </c>
      <c r="R26" s="168">
        <f>SUM(R15:R25)</f>
        <v>0</v>
      </c>
      <c r="S26" s="168">
        <f>SUM(S15:S25)</f>
        <v>0</v>
      </c>
      <c r="T26" s="181">
        <f>IFERROR(V26/U26/(1-$E$10*U26),0)</f>
        <v>0</v>
      </c>
      <c r="U26" s="168">
        <f>SUM(U15:U25)</f>
        <v>0</v>
      </c>
      <c r="V26" s="168">
        <f>SUM(V15:V25)</f>
        <v>0</v>
      </c>
      <c r="W26" s="181">
        <f>IFERROR(Y26/X26/(1-$E$10*X26),0)</f>
        <v>0</v>
      </c>
      <c r="X26" s="168">
        <f>SUM(X15:X25)</f>
        <v>0</v>
      </c>
      <c r="Y26" s="168">
        <f>SUM(Y15:Y25)</f>
        <v>0</v>
      </c>
    </row>
    <row r="27" spans="1:25" s="184" customFormat="1" x14ac:dyDescent="0.25">
      <c r="A27" s="183">
        <f ca="1">ROUNDUP((TODAY()-A11+1)/7,0)</f>
        <v>1</v>
      </c>
    </row>
    <row r="28" spans="1:25" s="184" customFormat="1" ht="30" x14ac:dyDescent="0.25">
      <c r="A28" s="183" t="str">
        <f ca="1">A30&amp;" "&amp;A29</f>
        <v xml:space="preserve"> 1min Rest 3-6 Rep</v>
      </c>
    </row>
    <row r="29" spans="1:25" hidden="1" x14ac:dyDescent="0.25">
      <c r="A29" t="str">
        <f ca="1">VLOOKUP(B29,$A$33:$B$36,2,0)</f>
        <v>1min Rest 3-6 Rep</v>
      </c>
      <c r="B29" cm="1">
        <f t="array" aca="1" ref="B29" ca="1">_xlfn.RANDARRAY(,,1,4,TRUE)</f>
        <v>3</v>
      </c>
    </row>
    <row r="30" spans="1:25" hidden="1" x14ac:dyDescent="0.25">
      <c r="A30" t="str">
        <f ca="1">VLOOKUP(B30,$A$38:$B$41,2,0)</f>
        <v/>
      </c>
      <c r="B30" cm="1">
        <f t="array" aca="1" ref="B30" ca="1">_xlfn.RANDARRAY(,,1,4,TRUE)</f>
        <v>4</v>
      </c>
    </row>
    <row r="31" spans="1:25" hidden="1" x14ac:dyDescent="0.25"/>
    <row r="32" spans="1:25" hidden="1" x14ac:dyDescent="0.25"/>
    <row r="33" spans="1:2" hidden="1" x14ac:dyDescent="0.25">
      <c r="A33">
        <v>1</v>
      </c>
      <c r="B33" t="s">
        <v>94</v>
      </c>
    </row>
    <row r="34" spans="1:2" hidden="1" x14ac:dyDescent="0.25">
      <c r="A34">
        <v>2</v>
      </c>
      <c r="B34" t="s">
        <v>115</v>
      </c>
    </row>
    <row r="35" spans="1:2" hidden="1" x14ac:dyDescent="0.25">
      <c r="A35">
        <v>3</v>
      </c>
      <c r="B35" t="s">
        <v>116</v>
      </c>
    </row>
    <row r="36" spans="1:2" hidden="1" x14ac:dyDescent="0.25">
      <c r="A36">
        <v>4</v>
      </c>
      <c r="B36" t="s">
        <v>117</v>
      </c>
    </row>
    <row r="37" spans="1:2" hidden="1" x14ac:dyDescent="0.25"/>
    <row r="38" spans="1:2" hidden="1" x14ac:dyDescent="0.25">
      <c r="A38">
        <v>1</v>
      </c>
      <c r="B38" t="s">
        <v>118</v>
      </c>
    </row>
    <row r="39" spans="1:2" hidden="1" x14ac:dyDescent="0.25">
      <c r="A39">
        <v>2</v>
      </c>
      <c r="B39" t="s">
        <v>119</v>
      </c>
    </row>
    <row r="40" spans="1:2" hidden="1" x14ac:dyDescent="0.25">
      <c r="A40">
        <v>3</v>
      </c>
      <c r="B40" t="str">
        <f>""</f>
        <v/>
      </c>
    </row>
    <row r="41" spans="1:2" hidden="1" x14ac:dyDescent="0.25">
      <c r="A41">
        <v>4</v>
      </c>
      <c r="B41" t="str">
        <f>""</f>
        <v/>
      </c>
    </row>
  </sheetData>
  <phoneticPr fontId="8" alignment="center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F5CF-87DE-9A4A-AA45-CF10406889B7}">
  <dimension ref="A7:F31"/>
  <sheetViews>
    <sheetView topLeftCell="A4" zoomScaleNormal="60" zoomScaleSheetLayoutView="100" workbookViewId="0">
      <selection activeCell="D34" sqref="D34"/>
    </sheetView>
  </sheetViews>
  <sheetFormatPr defaultRowHeight="16.5" x14ac:dyDescent="0.25"/>
  <cols>
    <col min="1" max="1" width="13.3671875" bestFit="1" customWidth="1"/>
    <col min="2" max="2" width="10.64453125" bestFit="1" customWidth="1"/>
    <col min="6" max="6" width="11.38671875" bestFit="1" customWidth="1"/>
  </cols>
  <sheetData>
    <row r="7" spans="1:5" x14ac:dyDescent="0.25">
      <c r="A7" t="s">
        <v>102</v>
      </c>
      <c r="B7">
        <v>1</v>
      </c>
      <c r="C7">
        <v>2</v>
      </c>
      <c r="D7">
        <v>3</v>
      </c>
      <c r="E7">
        <v>4</v>
      </c>
    </row>
    <row r="8" spans="1:5" x14ac:dyDescent="0.25">
      <c r="A8" t="s">
        <v>95</v>
      </c>
      <c r="B8">
        <v>69</v>
      </c>
      <c r="C8">
        <v>79</v>
      </c>
      <c r="D8">
        <v>89</v>
      </c>
      <c r="E8">
        <v>99</v>
      </c>
    </row>
    <row r="9" spans="1:5" x14ac:dyDescent="0.25">
      <c r="A9" t="s">
        <v>96</v>
      </c>
      <c r="B9">
        <v>60</v>
      </c>
      <c r="C9">
        <v>70</v>
      </c>
      <c r="D9">
        <v>80</v>
      </c>
      <c r="E9">
        <v>90</v>
      </c>
    </row>
    <row r="10" spans="1:5" x14ac:dyDescent="0.25">
      <c r="A10" t="s">
        <v>97</v>
      </c>
      <c r="B10">
        <v>6</v>
      </c>
      <c r="C10">
        <v>6</v>
      </c>
      <c r="D10">
        <v>4</v>
      </c>
      <c r="E10">
        <v>2</v>
      </c>
    </row>
    <row r="11" spans="1:5" x14ac:dyDescent="0.25">
      <c r="A11" t="s">
        <v>98</v>
      </c>
      <c r="B11">
        <v>3</v>
      </c>
      <c r="C11">
        <v>3</v>
      </c>
      <c r="D11">
        <v>2</v>
      </c>
      <c r="E11">
        <v>1</v>
      </c>
    </row>
    <row r="12" spans="1:5" x14ac:dyDescent="0.25">
      <c r="A12" t="s">
        <v>99</v>
      </c>
      <c r="B12">
        <v>24</v>
      </c>
      <c r="C12">
        <v>18</v>
      </c>
      <c r="D12">
        <v>15</v>
      </c>
      <c r="E12">
        <v>7</v>
      </c>
    </row>
    <row r="13" spans="1:5" x14ac:dyDescent="0.25">
      <c r="A13" t="s">
        <v>100</v>
      </c>
      <c r="B13">
        <v>30</v>
      </c>
      <c r="C13">
        <v>24</v>
      </c>
      <c r="D13">
        <v>20</v>
      </c>
      <c r="E13">
        <v>4</v>
      </c>
    </row>
    <row r="14" spans="1:5" x14ac:dyDescent="0.25">
      <c r="A14" t="s">
        <v>101</v>
      </c>
      <c r="B14">
        <v>18</v>
      </c>
      <c r="C14">
        <v>12</v>
      </c>
      <c r="D14">
        <v>10</v>
      </c>
      <c r="E14">
        <v>10</v>
      </c>
    </row>
    <row r="17" spans="1:6" x14ac:dyDescent="0.25">
      <c r="A17" t="s">
        <v>105</v>
      </c>
      <c r="B17" s="190">
        <f>($B$26+B9)/100</f>
        <v>0.6</v>
      </c>
      <c r="C17" s="190">
        <f t="shared" ref="C17:E17" si="0">($B$26+C9)/100</f>
        <v>0.7</v>
      </c>
      <c r="D17" s="190">
        <f t="shared" si="0"/>
        <v>0.8</v>
      </c>
      <c r="E17" s="190">
        <f t="shared" si="0"/>
        <v>0.9</v>
      </c>
    </row>
    <row r="18" spans="1:6" x14ac:dyDescent="0.25">
      <c r="A18" t="s">
        <v>114</v>
      </c>
      <c r="B18" s="190">
        <f>B17*B20</f>
        <v>7.8</v>
      </c>
      <c r="C18" s="190">
        <f t="shared" ref="C18:E18" si="1">C17*C20</f>
        <v>9.7999999999999989</v>
      </c>
      <c r="D18" s="190">
        <f t="shared" si="1"/>
        <v>8</v>
      </c>
      <c r="E18" s="190">
        <f t="shared" si="1"/>
        <v>2.7</v>
      </c>
      <c r="F18" s="160">
        <f>SUM(B18:E18)</f>
        <v>28.299999999999997</v>
      </c>
    </row>
    <row r="19" spans="1:6" x14ac:dyDescent="0.25">
      <c r="A19" t="s">
        <v>106</v>
      </c>
      <c r="B19" s="160">
        <f>B22*B17</f>
        <v>14.399999999999999</v>
      </c>
      <c r="C19" s="160">
        <f t="shared" ref="C19:E19" si="2">C22*C17</f>
        <v>12.6</v>
      </c>
      <c r="D19" s="160">
        <f t="shared" si="2"/>
        <v>12</v>
      </c>
      <c r="E19" s="160">
        <f t="shared" si="2"/>
        <v>0</v>
      </c>
      <c r="F19" s="160">
        <f>SUM(B19:E19)</f>
        <v>39</v>
      </c>
    </row>
    <row r="20" spans="1:6" x14ac:dyDescent="0.25">
      <c r="A20" t="s">
        <v>109</v>
      </c>
      <c r="B20">
        <f>MROUND(B25/$F$25*$B$31,1)</f>
        <v>13</v>
      </c>
      <c r="C20">
        <f>MROUND(C25/$F$25*$B$31,1)</f>
        <v>14</v>
      </c>
      <c r="D20">
        <f>MROUND(D25/$F$25*$B$31,1)</f>
        <v>10</v>
      </c>
      <c r="E20">
        <f>MROUND(E25/$F$25*$B$31,1)</f>
        <v>3</v>
      </c>
      <c r="F20">
        <f>SUM(B20:E20)</f>
        <v>40</v>
      </c>
    </row>
    <row r="21" spans="1:6" x14ac:dyDescent="0.25">
      <c r="A21" t="s">
        <v>107</v>
      </c>
      <c r="B21" s="191">
        <f>MROUND(B20/B12,1)</f>
        <v>1</v>
      </c>
      <c r="C21" s="191">
        <f t="shared" ref="C21:E21" si="3">MROUND(C20/C12,1)</f>
        <v>1</v>
      </c>
      <c r="D21" s="191">
        <f t="shared" si="3"/>
        <v>1</v>
      </c>
      <c r="E21" s="191">
        <f t="shared" si="3"/>
        <v>0</v>
      </c>
      <c r="F21" s="192">
        <f>SUM(B21:E21)</f>
        <v>3</v>
      </c>
    </row>
    <row r="22" spans="1:6" x14ac:dyDescent="0.25">
      <c r="A22" t="s">
        <v>110</v>
      </c>
      <c r="B22">
        <f>B12*B21</f>
        <v>24</v>
      </c>
      <c r="C22">
        <f t="shared" ref="C22:E22" si="4">C12*C21</f>
        <v>18</v>
      </c>
      <c r="D22">
        <f t="shared" si="4"/>
        <v>15</v>
      </c>
      <c r="E22">
        <f t="shared" si="4"/>
        <v>0</v>
      </c>
      <c r="F22">
        <f>SUM(B22:E22)</f>
        <v>57</v>
      </c>
    </row>
    <row r="23" spans="1:6" x14ac:dyDescent="0.25">
      <c r="A23" t="s">
        <v>111</v>
      </c>
      <c r="B23">
        <f>B13*B21</f>
        <v>30</v>
      </c>
      <c r="C23">
        <f t="shared" ref="C23:E23" si="5">C13*C21</f>
        <v>24</v>
      </c>
      <c r="D23">
        <f t="shared" si="5"/>
        <v>20</v>
      </c>
      <c r="E23">
        <f t="shared" si="5"/>
        <v>0</v>
      </c>
      <c r="F23">
        <f t="shared" ref="F23:F24" si="6">SUM(B23:E23)</f>
        <v>74</v>
      </c>
    </row>
    <row r="24" spans="1:6" x14ac:dyDescent="0.25">
      <c r="A24" t="s">
        <v>112</v>
      </c>
      <c r="B24">
        <f>B14*B21</f>
        <v>18</v>
      </c>
      <c r="C24">
        <f t="shared" ref="C24:E24" si="7">C14*C21</f>
        <v>12</v>
      </c>
      <c r="D24">
        <f t="shared" si="7"/>
        <v>10</v>
      </c>
      <c r="E24">
        <f t="shared" si="7"/>
        <v>0</v>
      </c>
      <c r="F24">
        <f t="shared" si="6"/>
        <v>40</v>
      </c>
    </row>
    <row r="25" spans="1:6" x14ac:dyDescent="0.25">
      <c r="A25" t="s">
        <v>103</v>
      </c>
      <c r="B25" s="189">
        <v>32</v>
      </c>
      <c r="C25" s="189">
        <v>35</v>
      </c>
      <c r="D25" s="189">
        <v>26</v>
      </c>
      <c r="E25" s="189">
        <v>7</v>
      </c>
      <c r="F25">
        <f>SUM(B25:E25)</f>
        <v>100</v>
      </c>
    </row>
    <row r="26" spans="1:6" x14ac:dyDescent="0.25">
      <c r="A26" t="s">
        <v>104</v>
      </c>
      <c r="B26" s="189">
        <v>0</v>
      </c>
    </row>
    <row r="27" spans="1:6" x14ac:dyDescent="0.25">
      <c r="A27" t="s">
        <v>96</v>
      </c>
      <c r="B27">
        <v>0</v>
      </c>
    </row>
    <row r="28" spans="1:6" x14ac:dyDescent="0.25">
      <c r="A28" t="s">
        <v>95</v>
      </c>
      <c r="B28">
        <v>9</v>
      </c>
    </row>
    <row r="29" spans="1:6" x14ac:dyDescent="0.25">
      <c r="A29" t="s">
        <v>113</v>
      </c>
      <c r="B29" s="186">
        <f>F18/F20</f>
        <v>0.70749999999999991</v>
      </c>
    </row>
    <row r="30" spans="1:6" x14ac:dyDescent="0.25">
      <c r="A30" t="s">
        <v>4</v>
      </c>
      <c r="B30" s="186">
        <f>F19/F22</f>
        <v>0.68421052631578949</v>
      </c>
    </row>
    <row r="31" spans="1:6" x14ac:dyDescent="0.25">
      <c r="A31" t="s">
        <v>108</v>
      </c>
      <c r="B31" s="189">
        <v>40</v>
      </c>
    </row>
  </sheetData>
  <phoneticPr fontId="8" alignment="center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7D65-FD2F-4C45-BBE7-AF5B48517E6A}">
  <dimension ref="A1:P27"/>
  <sheetViews>
    <sheetView zoomScaleNormal="60" zoomScaleSheetLayoutView="100" workbookViewId="0">
      <pane xSplit="4" ySplit="13" topLeftCell="E14" activePane="bottomRight" state="frozen"/>
      <selection activeCell="F15" sqref="F15"/>
      <selection pane="bottomLeft" activeCell="A13" sqref="A13"/>
      <selection pane="topRight" activeCell="E1" sqref="E1"/>
      <selection pane="bottomRight" activeCell="A12" sqref="A12:XFD12"/>
    </sheetView>
  </sheetViews>
  <sheetFormatPr defaultColWidth="4.94921875" defaultRowHeight="16.5" x14ac:dyDescent="0.25"/>
  <cols>
    <col min="1" max="1" width="10.76953125" bestFit="1" customWidth="1"/>
    <col min="2" max="4" width="4.94921875" hidden="1" customWidth="1"/>
    <col min="5" max="5" width="6.8046875" bestFit="1" customWidth="1"/>
    <col min="7" max="8" width="6.8046875" bestFit="1" customWidth="1"/>
    <col min="9" max="9" width="5.19921875" bestFit="1" customWidth="1"/>
    <col min="11" max="11" width="6.8046875" bestFit="1" customWidth="1"/>
    <col min="12" max="12" width="5.19921875" bestFit="1" customWidth="1"/>
    <col min="14" max="14" width="6.8046875" bestFit="1" customWidth="1"/>
    <col min="15" max="15" width="5.19921875" bestFit="1" customWidth="1"/>
  </cols>
  <sheetData>
    <row r="1" spans="1:16" ht="16.5" hidden="1" customHeight="1" x14ac:dyDescent="0.25">
      <c r="A1" s="139">
        <v>1</v>
      </c>
      <c r="B1">
        <v>2</v>
      </c>
      <c r="C1">
        <v>3</v>
      </c>
      <c r="F1" t="s">
        <v>16</v>
      </c>
      <c r="G1">
        <f>B1</f>
        <v>2</v>
      </c>
    </row>
    <row r="2" spans="1:16" ht="16.5" hidden="1" customHeight="1" x14ac:dyDescent="0.25">
      <c r="A2" s="139" t="s">
        <v>60</v>
      </c>
      <c r="B2" t="s">
        <v>16</v>
      </c>
      <c r="C2" t="s">
        <v>8</v>
      </c>
      <c r="D2" s="139" t="s">
        <v>60</v>
      </c>
      <c r="E2" t="str">
        <f>VLOOKUP(D2,$A$2:$C$10,$B$12,0)</f>
        <v>하</v>
      </c>
      <c r="F2" t="s">
        <v>8</v>
      </c>
      <c r="G2">
        <f>C1</f>
        <v>3</v>
      </c>
    </row>
    <row r="3" spans="1:16" ht="59.25" hidden="1" customHeight="1" x14ac:dyDescent="0.25">
      <c r="A3" s="139" t="s">
        <v>65</v>
      </c>
      <c r="B3">
        <v>300</v>
      </c>
      <c r="C3">
        <v>240</v>
      </c>
      <c r="D3" s="139" t="s">
        <v>65</v>
      </c>
      <c r="E3">
        <f>VLOOKUP(D3,$A$2:$C$10,$B$12,0)</f>
        <v>240</v>
      </c>
    </row>
    <row r="4" spans="1:16" ht="59.25" hidden="1" customHeight="1" x14ac:dyDescent="0.25">
      <c r="A4" s="139" t="s">
        <v>66</v>
      </c>
      <c r="B4">
        <v>200</v>
      </c>
      <c r="C4">
        <v>160</v>
      </c>
      <c r="D4" s="139" t="s">
        <v>66</v>
      </c>
      <c r="E4">
        <f>VLOOKUP(D4,$A$2:$C$10,$B$12,0)</f>
        <v>160</v>
      </c>
    </row>
    <row r="5" spans="1:16" ht="59.25" hidden="1" customHeight="1" x14ac:dyDescent="0.25">
      <c r="A5" s="139" t="s">
        <v>61</v>
      </c>
      <c r="B5">
        <f>B3/4</f>
        <v>75</v>
      </c>
      <c r="C5">
        <f>C3/4</f>
        <v>60</v>
      </c>
      <c r="D5" s="139" t="s">
        <v>61</v>
      </c>
      <c r="E5">
        <f>VLOOKUP(D5,$A$2:$C$10,$B$12,0)</f>
        <v>60</v>
      </c>
    </row>
    <row r="6" spans="1:16" ht="59.25" hidden="1" customHeight="1" x14ac:dyDescent="0.25">
      <c r="A6" s="139" t="s">
        <v>62</v>
      </c>
      <c r="B6">
        <f>B4/4</f>
        <v>50</v>
      </c>
      <c r="C6">
        <f>C4/4</f>
        <v>40</v>
      </c>
      <c r="D6" s="139" t="s">
        <v>62</v>
      </c>
      <c r="E6">
        <f>VLOOKUP(D6,$A$2:$C$10,$B$12,0)</f>
        <v>40</v>
      </c>
    </row>
    <row r="7" spans="1:16" ht="30" hidden="1" customHeight="1" x14ac:dyDescent="0.25">
      <c r="A7" s="139" t="s">
        <v>63</v>
      </c>
      <c r="B7">
        <v>5</v>
      </c>
      <c r="C7">
        <v>5</v>
      </c>
      <c r="D7" s="139" t="s">
        <v>63</v>
      </c>
      <c r="E7">
        <f>VLOOKUP(D7,$A$2:$C$10,$B$12,0)</f>
        <v>5</v>
      </c>
    </row>
    <row r="8" spans="1:16" ht="30" hidden="1" customHeight="1" x14ac:dyDescent="0.25">
      <c r="A8" s="139" t="s">
        <v>64</v>
      </c>
      <c r="B8">
        <f>B6/B7</f>
        <v>10</v>
      </c>
      <c r="C8">
        <f>C6/C7</f>
        <v>8</v>
      </c>
      <c r="D8" s="139" t="s">
        <v>64</v>
      </c>
      <c r="E8">
        <f>VLOOKUP(D8,$A$2:$C$10,$B$12,0)</f>
        <v>8</v>
      </c>
    </row>
    <row r="9" spans="1:16" ht="30" hidden="1" customHeight="1" x14ac:dyDescent="0.25">
      <c r="A9" s="139" t="s">
        <v>67</v>
      </c>
      <c r="B9" s="160">
        <v>0.68</v>
      </c>
      <c r="C9" s="160">
        <v>0.68</v>
      </c>
      <c r="D9" s="139" t="s">
        <v>67</v>
      </c>
      <c r="E9" s="160">
        <f>VLOOKUP(D9,$A$2:$C$10,$B$12,0)</f>
        <v>0.68</v>
      </c>
    </row>
    <row r="10" spans="1:16" ht="16.5" hidden="1" customHeight="1" x14ac:dyDescent="0.25">
      <c r="A10" s="139" t="s">
        <v>80</v>
      </c>
      <c r="B10" s="161">
        <f>(1-B9)/B6</f>
        <v>6.3999999999999994E-3</v>
      </c>
      <c r="C10" s="161">
        <f>(1-C9)/C6</f>
        <v>7.9999999999999984E-3</v>
      </c>
      <c r="D10" s="139" t="s">
        <v>80</v>
      </c>
      <c r="E10" s="160">
        <f>VLOOKUP(D10,$A$2:$C$10,$B$12,0)</f>
        <v>7.9999999999999984E-3</v>
      </c>
    </row>
    <row r="11" spans="1:16" ht="16.5" customHeight="1" x14ac:dyDescent="0.25">
      <c r="A11" s="182">
        <v>45767</v>
      </c>
      <c r="B11" s="161"/>
      <c r="C11" s="161"/>
      <c r="D11" s="139"/>
      <c r="E11" s="160"/>
    </row>
    <row r="12" spans="1:16" s="164" customFormat="1" x14ac:dyDescent="0.25">
      <c r="A12" s="165" t="s">
        <v>8</v>
      </c>
      <c r="B12" s="174">
        <f>VLOOKUP(A12,$F$1:$G$2,2,0)</f>
        <v>3</v>
      </c>
      <c r="C12" s="163"/>
      <c r="D12" s="162"/>
      <c r="E12" s="201" t="s">
        <v>40</v>
      </c>
      <c r="F12" s="201"/>
      <c r="G12" s="164">
        <f ca="1">IF(G13&gt;G27,E27,IF(G13&gt;F27,E27+1,E27))</f>
        <v>1</v>
      </c>
      <c r="H12" s="201" t="s">
        <v>40</v>
      </c>
      <c r="I12" s="201"/>
      <c r="J12" s="164">
        <f ca="1">IF(J13&gt;J27,H27,IF(J13&gt;I27,H27+1,H27))</f>
        <v>0</v>
      </c>
      <c r="K12" s="201" t="s">
        <v>40</v>
      </c>
      <c r="L12" s="201"/>
      <c r="M12" s="164">
        <f ca="1">IF(M13&gt;M27,K27,IF(M13&gt;L27,K27+1,K27))</f>
        <v>0</v>
      </c>
      <c r="N12" s="201" t="s">
        <v>40</v>
      </c>
      <c r="O12" s="201"/>
      <c r="P12" s="164">
        <f ca="1">IF(P13&gt;P27,N27,IF(P13&gt;O27,N27+1,N27))</f>
        <v>0</v>
      </c>
    </row>
    <row r="13" spans="1:16" ht="17.25" thickBot="1" x14ac:dyDescent="0.3">
      <c r="A13" s="170" t="s">
        <v>79</v>
      </c>
      <c r="E13" s="35">
        <v>2.5</v>
      </c>
      <c r="F13" s="177" t="s">
        <v>88</v>
      </c>
      <c r="G13" s="178">
        <f>D13+F26</f>
        <v>0</v>
      </c>
      <c r="H13" s="35">
        <f>E13</f>
        <v>2.5</v>
      </c>
      <c r="I13" s="177" t="s">
        <v>88</v>
      </c>
      <c r="J13" s="178">
        <f>G13+I26</f>
        <v>0</v>
      </c>
      <c r="K13" s="35">
        <f>H13</f>
        <v>2.5</v>
      </c>
      <c r="L13" s="177" t="s">
        <v>88</v>
      </c>
      <c r="M13" s="178">
        <f>J13+L26</f>
        <v>0</v>
      </c>
      <c r="N13" s="35">
        <f>K13</f>
        <v>2.5</v>
      </c>
      <c r="O13" s="177" t="s">
        <v>88</v>
      </c>
      <c r="P13" s="178">
        <f>M13+O26</f>
        <v>0</v>
      </c>
    </row>
    <row r="14" spans="1:16" x14ac:dyDescent="0.25">
      <c r="A14" s="171" t="s">
        <v>60</v>
      </c>
      <c r="B14" s="171" t="s">
        <v>83</v>
      </c>
      <c r="C14" s="171" t="s">
        <v>82</v>
      </c>
      <c r="D14" s="171" t="s">
        <v>84</v>
      </c>
      <c r="E14" s="9" t="s">
        <v>78</v>
      </c>
      <c r="F14" s="175" t="s">
        <v>81</v>
      </c>
      <c r="G14" s="176" t="s">
        <v>85</v>
      </c>
      <c r="H14" s="9" t="str">
        <f>E14</f>
        <v>SQ</v>
      </c>
      <c r="I14" s="175" t="str">
        <f>F14</f>
        <v>개수</v>
      </c>
      <c r="J14" s="176" t="str">
        <f>G14</f>
        <v>볼륨</v>
      </c>
      <c r="K14" s="9" t="str">
        <f>H14</f>
        <v>SQ</v>
      </c>
      <c r="L14" s="175" t="str">
        <f>I14</f>
        <v>개수</v>
      </c>
      <c r="M14" s="176" t="str">
        <f>J14</f>
        <v>볼륨</v>
      </c>
      <c r="N14" s="9" t="str">
        <f>K14</f>
        <v>SQ</v>
      </c>
      <c r="O14" s="175" t="str">
        <f>L14</f>
        <v>개수</v>
      </c>
      <c r="P14" s="176" t="str">
        <f>M14</f>
        <v>볼륨</v>
      </c>
    </row>
    <row r="15" spans="1:16" x14ac:dyDescent="0.25">
      <c r="A15" s="171" t="s">
        <v>86</v>
      </c>
      <c r="B15" s="172">
        <v>1</v>
      </c>
      <c r="C15" s="171">
        <v>0</v>
      </c>
      <c r="D15" s="172">
        <f>B15*C15</f>
        <v>0</v>
      </c>
      <c r="E15" s="179">
        <v>200</v>
      </c>
      <c r="F15" s="166"/>
      <c r="G15" s="167">
        <f>E15*F15</f>
        <v>0</v>
      </c>
      <c r="H15" s="179">
        <f>E26</f>
        <v>0</v>
      </c>
      <c r="I15" s="166"/>
      <c r="J15" s="167">
        <f>H15*I15</f>
        <v>0</v>
      </c>
      <c r="K15" s="179">
        <f>H26</f>
        <v>0</v>
      </c>
      <c r="L15" s="166"/>
      <c r="M15" s="167">
        <f>K15*L15</f>
        <v>0</v>
      </c>
      <c r="N15" s="179">
        <f>K26</f>
        <v>0</v>
      </c>
      <c r="O15" s="166"/>
      <c r="P15" s="167">
        <f>N15*O15</f>
        <v>0</v>
      </c>
    </row>
    <row r="16" spans="1:16" x14ac:dyDescent="0.25">
      <c r="A16" s="171" t="s">
        <v>68</v>
      </c>
      <c r="B16" s="172">
        <v>0.68</v>
      </c>
      <c r="C16" s="171">
        <v>5</v>
      </c>
      <c r="D16" s="172">
        <f t="shared" ref="D16:D25" si="0">B16*C16</f>
        <v>3.4000000000000004</v>
      </c>
      <c r="E16" s="180">
        <f>MROUND($E$15*$B$16,E13)</f>
        <v>135</v>
      </c>
      <c r="F16" s="166"/>
      <c r="G16" s="167">
        <f t="shared" ref="G16:G25" si="1">E16*F16</f>
        <v>0</v>
      </c>
      <c r="H16" s="180">
        <f>MROUND(H15*$B$16,H13)</f>
        <v>0</v>
      </c>
      <c r="I16" s="166"/>
      <c r="J16" s="167">
        <f t="shared" ref="J16:J25" si="2">H16*I16</f>
        <v>0</v>
      </c>
      <c r="K16" s="180">
        <f>MROUND(K15*$B$16,K13)</f>
        <v>0</v>
      </c>
      <c r="L16" s="166"/>
      <c r="M16" s="167">
        <f t="shared" ref="M16:M25" si="3">K16*L16</f>
        <v>0</v>
      </c>
      <c r="N16" s="180">
        <f>MROUND(N15*$B$16,N13)</f>
        <v>0</v>
      </c>
      <c r="O16" s="166"/>
      <c r="P16" s="167">
        <f t="shared" ref="P16:P25" si="4">N16*O16</f>
        <v>0</v>
      </c>
    </row>
    <row r="17" spans="1:16" x14ac:dyDescent="0.25">
      <c r="A17" s="171" t="s">
        <v>69</v>
      </c>
      <c r="B17" s="172">
        <f>B16</f>
        <v>0.68</v>
      </c>
      <c r="C17" s="171">
        <v>5</v>
      </c>
      <c r="D17" s="172">
        <f t="shared" si="0"/>
        <v>3.4000000000000004</v>
      </c>
      <c r="E17" s="180">
        <f>MROUND($E$15*$B$17,E13)</f>
        <v>135</v>
      </c>
      <c r="F17" s="166"/>
      <c r="G17" s="167">
        <f t="shared" si="1"/>
        <v>0</v>
      </c>
      <c r="H17" s="180">
        <f>MROUND(H15*$B$17,H13)</f>
        <v>0</v>
      </c>
      <c r="I17" s="166"/>
      <c r="J17" s="167">
        <f t="shared" si="2"/>
        <v>0</v>
      </c>
      <c r="K17" s="180">
        <f>MROUND(K15*$B$17,K13)</f>
        <v>0</v>
      </c>
      <c r="L17" s="166"/>
      <c r="M17" s="167">
        <f t="shared" si="3"/>
        <v>0</v>
      </c>
      <c r="N17" s="180">
        <f>MROUND(N15*$B$17,N13)</f>
        <v>0</v>
      </c>
      <c r="O17" s="166"/>
      <c r="P17" s="167">
        <f t="shared" si="4"/>
        <v>0</v>
      </c>
    </row>
    <row r="18" spans="1:16" x14ac:dyDescent="0.25">
      <c r="A18" s="171" t="s">
        <v>70</v>
      </c>
      <c r="B18" s="172">
        <f t="shared" ref="B18:B23" si="5">B17</f>
        <v>0.68</v>
      </c>
      <c r="C18" s="171">
        <v>5</v>
      </c>
      <c r="D18" s="172">
        <f t="shared" si="0"/>
        <v>3.4000000000000004</v>
      </c>
      <c r="E18" s="180">
        <f>MROUND($E$15*$B$18,E13)</f>
        <v>135</v>
      </c>
      <c r="F18" s="166"/>
      <c r="G18" s="167">
        <f t="shared" si="1"/>
        <v>0</v>
      </c>
      <c r="H18" s="180">
        <f>MROUND(H15*$B$18,H13)</f>
        <v>0</v>
      </c>
      <c r="I18" s="166"/>
      <c r="J18" s="167">
        <f t="shared" si="2"/>
        <v>0</v>
      </c>
      <c r="K18" s="180">
        <f>MROUND(K15*$B$18,K13)</f>
        <v>0</v>
      </c>
      <c r="L18" s="166"/>
      <c r="M18" s="167">
        <f t="shared" si="3"/>
        <v>0</v>
      </c>
      <c r="N18" s="180">
        <f>MROUND(N15*$B$18,N13)</f>
        <v>0</v>
      </c>
      <c r="O18" s="166"/>
      <c r="P18" s="167">
        <f t="shared" si="4"/>
        <v>0</v>
      </c>
    </row>
    <row r="19" spans="1:16" x14ac:dyDescent="0.25">
      <c r="A19" s="171" t="s">
        <v>71</v>
      </c>
      <c r="B19" s="172">
        <f t="shared" si="5"/>
        <v>0.68</v>
      </c>
      <c r="C19" s="171">
        <v>5</v>
      </c>
      <c r="D19" s="172">
        <f t="shared" si="0"/>
        <v>3.4000000000000004</v>
      </c>
      <c r="E19" s="180">
        <f>MROUND($E$15*$B$19,E13)</f>
        <v>135</v>
      </c>
      <c r="F19" s="166"/>
      <c r="G19" s="167">
        <f t="shared" si="1"/>
        <v>0</v>
      </c>
      <c r="H19" s="180">
        <f>MROUND(H15*$B$19,H13)</f>
        <v>0</v>
      </c>
      <c r="I19" s="166"/>
      <c r="J19" s="167">
        <f t="shared" si="2"/>
        <v>0</v>
      </c>
      <c r="K19" s="180">
        <f>MROUND(K15*$B$19,K13)</f>
        <v>0</v>
      </c>
      <c r="L19" s="166"/>
      <c r="M19" s="167">
        <f t="shared" si="3"/>
        <v>0</v>
      </c>
      <c r="N19" s="180">
        <f>MROUND(N15*$B$19,N13)</f>
        <v>0</v>
      </c>
      <c r="O19" s="166"/>
      <c r="P19" s="167">
        <f t="shared" si="4"/>
        <v>0</v>
      </c>
    </row>
    <row r="20" spans="1:16" x14ac:dyDescent="0.25">
      <c r="A20" s="171" t="s">
        <v>72</v>
      </c>
      <c r="B20" s="172">
        <f t="shared" si="5"/>
        <v>0.68</v>
      </c>
      <c r="C20" s="171">
        <v>5</v>
      </c>
      <c r="D20" s="172">
        <f t="shared" si="0"/>
        <v>3.4000000000000004</v>
      </c>
      <c r="E20" s="180">
        <f>MROUND($E$15*$B$20,E13)</f>
        <v>135</v>
      </c>
      <c r="F20" s="166"/>
      <c r="G20" s="167">
        <f t="shared" si="1"/>
        <v>0</v>
      </c>
      <c r="H20" s="180">
        <f>MROUND(H15*$B$20,H13)</f>
        <v>0</v>
      </c>
      <c r="I20" s="166"/>
      <c r="J20" s="167">
        <f t="shared" si="2"/>
        <v>0</v>
      </c>
      <c r="K20" s="180">
        <f>MROUND(K15*$B$20,K13)</f>
        <v>0</v>
      </c>
      <c r="L20" s="166"/>
      <c r="M20" s="167">
        <f t="shared" si="3"/>
        <v>0</v>
      </c>
      <c r="N20" s="180">
        <f>MROUND(N15*$B$20,N13)</f>
        <v>0</v>
      </c>
      <c r="O20" s="166"/>
      <c r="P20" s="167">
        <f t="shared" si="4"/>
        <v>0</v>
      </c>
    </row>
    <row r="21" spans="1:16" x14ac:dyDescent="0.25">
      <c r="A21" s="171" t="s">
        <v>73</v>
      </c>
      <c r="B21" s="172">
        <f t="shared" si="5"/>
        <v>0.68</v>
      </c>
      <c r="C21" s="171">
        <v>5</v>
      </c>
      <c r="D21" s="172">
        <f t="shared" si="0"/>
        <v>3.4000000000000004</v>
      </c>
      <c r="E21" s="180">
        <f>MROUND($E$15*$B$21,E13)</f>
        <v>135</v>
      </c>
      <c r="F21" s="166"/>
      <c r="G21" s="167">
        <f t="shared" si="1"/>
        <v>0</v>
      </c>
      <c r="H21" s="180">
        <f>MROUND(H15*$B$21,H13)</f>
        <v>0</v>
      </c>
      <c r="I21" s="166"/>
      <c r="J21" s="167">
        <f t="shared" si="2"/>
        <v>0</v>
      </c>
      <c r="K21" s="180">
        <f>MROUND(K15*$B$21,K13)</f>
        <v>0</v>
      </c>
      <c r="L21" s="166"/>
      <c r="M21" s="167">
        <f t="shared" si="3"/>
        <v>0</v>
      </c>
      <c r="N21" s="180">
        <f>MROUND(N15*$B$21,N13)</f>
        <v>0</v>
      </c>
      <c r="O21" s="166"/>
      <c r="P21" s="167">
        <f t="shared" si="4"/>
        <v>0</v>
      </c>
    </row>
    <row r="22" spans="1:16" x14ac:dyDescent="0.25">
      <c r="A22" s="171" t="s">
        <v>74</v>
      </c>
      <c r="B22" s="172">
        <f t="shared" si="5"/>
        <v>0.68</v>
      </c>
      <c r="C22" s="171">
        <v>5</v>
      </c>
      <c r="D22" s="172">
        <f t="shared" si="0"/>
        <v>3.4000000000000004</v>
      </c>
      <c r="E22" s="180">
        <f>MROUND($E$15*$B$22,E13)</f>
        <v>135</v>
      </c>
      <c r="F22" s="166"/>
      <c r="G22" s="167">
        <f t="shared" si="1"/>
        <v>0</v>
      </c>
      <c r="H22" s="180">
        <f>MROUND(H15*$B$22,H13)</f>
        <v>0</v>
      </c>
      <c r="I22" s="166"/>
      <c r="J22" s="167">
        <f t="shared" si="2"/>
        <v>0</v>
      </c>
      <c r="K22" s="180">
        <f>MROUND(K15*$B$22,K13)</f>
        <v>0</v>
      </c>
      <c r="L22" s="166"/>
      <c r="M22" s="167">
        <f t="shared" si="3"/>
        <v>0</v>
      </c>
      <c r="N22" s="180">
        <f>MROUND(N15*$B$22,N13)</f>
        <v>0</v>
      </c>
      <c r="O22" s="166"/>
      <c r="P22" s="167">
        <f t="shared" si="4"/>
        <v>0</v>
      </c>
    </row>
    <row r="23" spans="1:16" x14ac:dyDescent="0.25">
      <c r="A23" s="171" t="s">
        <v>75</v>
      </c>
      <c r="B23" s="172">
        <f t="shared" si="5"/>
        <v>0.68</v>
      </c>
      <c r="C23" s="171">
        <v>5</v>
      </c>
      <c r="D23" s="172">
        <f t="shared" si="0"/>
        <v>3.4000000000000004</v>
      </c>
      <c r="E23" s="180">
        <f>MROUND($E$15*$B$23,E13)</f>
        <v>135</v>
      </c>
      <c r="F23" s="166"/>
      <c r="G23" s="167">
        <f t="shared" si="1"/>
        <v>0</v>
      </c>
      <c r="H23" s="180">
        <f>MROUND(H15*$B$23,H13)</f>
        <v>0</v>
      </c>
      <c r="I23" s="166"/>
      <c r="J23" s="167">
        <f t="shared" si="2"/>
        <v>0</v>
      </c>
      <c r="K23" s="180">
        <f>MROUND(K15*$B$23,K13)</f>
        <v>0</v>
      </c>
      <c r="L23" s="166"/>
      <c r="M23" s="167">
        <f t="shared" si="3"/>
        <v>0</v>
      </c>
      <c r="N23" s="180">
        <f>MROUND(N15*$B$23,N13)</f>
        <v>0</v>
      </c>
      <c r="O23" s="166"/>
      <c r="P23" s="167">
        <f t="shared" si="4"/>
        <v>0</v>
      </c>
    </row>
    <row r="24" spans="1:16" x14ac:dyDescent="0.25">
      <c r="A24" s="171" t="s">
        <v>76</v>
      </c>
      <c r="B24" s="171">
        <f>IF($A$12="하",0,B23)</f>
        <v>0</v>
      </c>
      <c r="C24" s="171">
        <f>IF($A$12="하",0,5)</f>
        <v>0</v>
      </c>
      <c r="D24" s="172">
        <f t="shared" si="0"/>
        <v>0</v>
      </c>
      <c r="E24" s="180">
        <f>MROUND($E$15*$B$24,E13)</f>
        <v>0</v>
      </c>
      <c r="F24" s="166"/>
      <c r="G24" s="167">
        <f t="shared" si="1"/>
        <v>0</v>
      </c>
      <c r="H24" s="180">
        <f>MROUND(H15*$B$24,H13)</f>
        <v>0</v>
      </c>
      <c r="I24" s="166"/>
      <c r="J24" s="167">
        <f t="shared" si="2"/>
        <v>0</v>
      </c>
      <c r="K24" s="180">
        <f>MROUND(K15*$B$24,K13)</f>
        <v>0</v>
      </c>
      <c r="L24" s="166"/>
      <c r="M24" s="167">
        <f t="shared" si="3"/>
        <v>0</v>
      </c>
      <c r="N24" s="180">
        <f>MROUND(N15*$B$24,N13)</f>
        <v>0</v>
      </c>
      <c r="O24" s="166"/>
      <c r="P24" s="167">
        <f t="shared" si="4"/>
        <v>0</v>
      </c>
    </row>
    <row r="25" spans="1:16" x14ac:dyDescent="0.25">
      <c r="A25" s="171" t="s">
        <v>77</v>
      </c>
      <c r="B25" s="171">
        <f>IF($A$12="하",0,B24)</f>
        <v>0</v>
      </c>
      <c r="C25" s="171">
        <f>IF($A$12="하",0,5)</f>
        <v>0</v>
      </c>
      <c r="D25" s="172">
        <f t="shared" si="0"/>
        <v>0</v>
      </c>
      <c r="E25" s="180">
        <f>MROUND($E$15*$B$25,E13)</f>
        <v>0</v>
      </c>
      <c r="F25" s="166"/>
      <c r="G25" s="167">
        <f t="shared" si="1"/>
        <v>0</v>
      </c>
      <c r="H25" s="180">
        <f>MROUND(H15*$B$25,H13)</f>
        <v>0</v>
      </c>
      <c r="I25" s="166"/>
      <c r="J25" s="167">
        <f t="shared" si="2"/>
        <v>0</v>
      </c>
      <c r="K25" s="180">
        <f>MROUND(K15*$B$25,K13)</f>
        <v>0</v>
      </c>
      <c r="L25" s="166"/>
      <c r="M25" s="167">
        <f t="shared" si="3"/>
        <v>0</v>
      </c>
      <c r="N25" s="180">
        <f>MROUND(N15*$B$25,N13)</f>
        <v>0</v>
      </c>
      <c r="O25" s="166"/>
      <c r="P25" s="167">
        <f t="shared" si="4"/>
        <v>0</v>
      </c>
    </row>
    <row r="26" spans="1:16" ht="17.25" thickBot="1" x14ac:dyDescent="0.3">
      <c r="A26" s="171" t="s">
        <v>87</v>
      </c>
      <c r="B26" s="171">
        <f>IFERROR(D26/C26/(1-$E$10*C26),0)</f>
        <v>0.99999999999999989</v>
      </c>
      <c r="C26" s="173">
        <f>SUM(C16:C25)</f>
        <v>40</v>
      </c>
      <c r="D26" s="172">
        <f>SUM(D15:D25)</f>
        <v>27.199999999999996</v>
      </c>
      <c r="E26" s="181">
        <f>IFERROR(G26/F26/(1-$E$10*F26),0)</f>
        <v>0</v>
      </c>
      <c r="F26" s="168">
        <f>SUM(F16:F25)</f>
        <v>0</v>
      </c>
      <c r="G26" s="169">
        <f>SUM(G15:G25)</f>
        <v>0</v>
      </c>
      <c r="H26" s="181">
        <f>IFERROR(J26/I26/(1-$E$10*I26),0)</f>
        <v>0</v>
      </c>
      <c r="I26" s="168">
        <f>SUM(I16:I25)</f>
        <v>0</v>
      </c>
      <c r="J26" s="169">
        <f>SUM(J16:J25)</f>
        <v>0</v>
      </c>
      <c r="K26" s="181">
        <f>IFERROR(M26/L26/(1-$E$10*L26),0)</f>
        <v>0</v>
      </c>
      <c r="L26" s="168">
        <f>SUM(L16:L25)</f>
        <v>0</v>
      </c>
      <c r="M26" s="169">
        <f>SUM(M16:M25)</f>
        <v>0</v>
      </c>
      <c r="N26" s="181">
        <f>IFERROR(P26/O26/(1-$E$10*O26),0)</f>
        <v>0</v>
      </c>
      <c r="O26" s="168">
        <f>SUM(O16:O25)</f>
        <v>0</v>
      </c>
      <c r="P26" s="169">
        <f>SUM(P16:P25)</f>
        <v>0</v>
      </c>
    </row>
    <row r="27" spans="1:16" s="184" customFormat="1" x14ac:dyDescent="0.25">
      <c r="A27" s="183">
        <f ca="1">ROUNDUP((TODAY()-A11+1)/7,0)</f>
        <v>11</v>
      </c>
      <c r="E27" s="185">
        <v>1</v>
      </c>
      <c r="F27" s="184">
        <f ca="1">IF($A$27&lt;E27,0,$E$5*E27-G13)</f>
        <v>60</v>
      </c>
      <c r="G27" s="184">
        <f ca="1">IF($A$27&lt;E27,0,$E$6*E27-G13)</f>
        <v>40</v>
      </c>
      <c r="H27" s="185">
        <f>ROUNDUP(G13/$E$6,0)</f>
        <v>0</v>
      </c>
      <c r="I27" s="184">
        <f ca="1">IF($A$27&lt;H27,0,$E$5*H27-J13)</f>
        <v>0</v>
      </c>
      <c r="J27" s="184">
        <f ca="1">IF($A$27&lt;H27,0,$E$6*H27-J13)</f>
        <v>0</v>
      </c>
      <c r="K27" s="185">
        <f>ROUNDUP(J13/$E$6,0)</f>
        <v>0</v>
      </c>
      <c r="L27" s="184">
        <f ca="1">IF($A$27&lt;K27,0,$E$5*K27-M13)</f>
        <v>0</v>
      </c>
      <c r="M27" s="184">
        <f ca="1">IF($A$27&lt;K27,0,$E$6*K27-M13)</f>
        <v>0</v>
      </c>
      <c r="N27" s="185">
        <f>ROUNDUP(M13/$E$6,0)</f>
        <v>0</v>
      </c>
      <c r="O27" s="184">
        <f ca="1">IF($A$27&lt;N27,0,$E$5*N27-P13)</f>
        <v>0</v>
      </c>
      <c r="P27" s="184">
        <f ca="1">IF($A$27&lt;N27,0,$E$6*N27-P13)</f>
        <v>0</v>
      </c>
    </row>
  </sheetData>
  <mergeCells count="4">
    <mergeCell ref="E12:F12"/>
    <mergeCell ref="H12:I12"/>
    <mergeCell ref="K12:L12"/>
    <mergeCell ref="N12:O12"/>
  </mergeCells>
  <phoneticPr fontId="8" alignment="center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F49-12E2-674C-AC24-BCFC8964F03E}">
  <dimension ref="A1:S65"/>
  <sheetViews>
    <sheetView zoomScale="85" zoomScaleNormal="85" workbookViewId="0">
      <pane xSplit="1" ySplit="4" topLeftCell="D5" activePane="bottomRight" state="frozen"/>
      <selection pane="bottomLeft" activeCell="A5" sqref="A5"/>
      <selection pane="topRight" activeCell="B1" sqref="B1"/>
      <selection pane="bottomRight" activeCell="F14" sqref="F14"/>
    </sheetView>
  </sheetViews>
  <sheetFormatPr defaultColWidth="8.91015625" defaultRowHeight="16.5" x14ac:dyDescent="0.25"/>
  <cols>
    <col min="1" max="1" width="3.7109375" customWidth="1"/>
    <col min="2" max="2" width="12.87109375" style="140" bestFit="1" customWidth="1"/>
    <col min="3" max="3" width="10.0234375" bestFit="1" customWidth="1"/>
    <col min="4" max="4" width="8.7890625" bestFit="1" customWidth="1"/>
    <col min="5" max="5" width="10.76953125" bestFit="1" customWidth="1"/>
    <col min="6" max="6" width="6.0625" bestFit="1" customWidth="1"/>
    <col min="7" max="7" width="10.76953125" bestFit="1" customWidth="1"/>
    <col min="8" max="10" width="5.4453125" bestFit="1" customWidth="1"/>
    <col min="11" max="11" width="5.07421875" hidden="1" customWidth="1"/>
    <col min="12" max="12" width="7.55078125" hidden="1" customWidth="1"/>
    <col min="13" max="13" width="6.1875" hidden="1" customWidth="1"/>
    <col min="14" max="15" width="7.42578125" hidden="1" customWidth="1"/>
    <col min="16" max="16" width="6.0625" hidden="1" customWidth="1"/>
    <col min="17" max="17" width="3.21484375" hidden="1" customWidth="1"/>
    <col min="18" max="19" width="4.20703125" hidden="1" customWidth="1"/>
  </cols>
  <sheetData>
    <row r="1" spans="1:19" ht="63" customHeight="1" thickTop="1" thickBot="1" x14ac:dyDescent="0.3">
      <c r="A1">
        <v>5</v>
      </c>
      <c r="B1" s="124" t="s">
        <v>40</v>
      </c>
      <c r="C1" s="125">
        <f ca="1">ROUNDDOWN((G1-E1)/7,0)+1</f>
        <v>18</v>
      </c>
      <c r="D1" s="146"/>
      <c r="E1" s="196">
        <v>45718</v>
      </c>
      <c r="F1" s="196"/>
      <c r="G1" s="197">
        <f ca="1">TODAY()</f>
        <v>45838</v>
      </c>
      <c r="H1" s="197"/>
      <c r="L1" s="75" t="s">
        <v>25</v>
      </c>
      <c r="M1" s="76"/>
    </row>
    <row r="2" spans="1:19" ht="18" thickTop="1" thickBot="1" x14ac:dyDescent="0.3">
      <c r="A2" s="126">
        <f ca="1">C1</f>
        <v>18</v>
      </c>
      <c r="B2" s="112" t="s">
        <v>43</v>
      </c>
      <c r="C2" s="80" t="s">
        <v>5</v>
      </c>
      <c r="D2" s="78" t="s">
        <v>11</v>
      </c>
      <c r="E2" s="78" t="s">
        <v>12</v>
      </c>
      <c r="F2" s="79" t="s">
        <v>13</v>
      </c>
      <c r="G2" s="147" t="s">
        <v>5</v>
      </c>
      <c r="H2" s="148" t="s">
        <v>11</v>
      </c>
      <c r="I2" s="148" t="s">
        <v>13</v>
      </c>
      <c r="J2" s="149" t="s">
        <v>14</v>
      </c>
      <c r="L2" s="86" t="s">
        <v>27</v>
      </c>
      <c r="M2" s="81"/>
    </row>
    <row r="3" spans="1:19" ht="18" thickTop="1" thickBot="1" x14ac:dyDescent="0.3">
      <c r="A3" s="129" t="s">
        <v>8</v>
      </c>
      <c r="B3" s="119">
        <v>207.5</v>
      </c>
      <c r="C3" s="85">
        <v>2.5</v>
      </c>
      <c r="D3" s="83">
        <v>100</v>
      </c>
      <c r="E3" s="83">
        <v>100</v>
      </c>
      <c r="F3" s="84">
        <f>MROUND(E3-D3*0.85,C3)</f>
        <v>15</v>
      </c>
      <c r="G3" s="150">
        <v>0.1</v>
      </c>
      <c r="H3" s="151">
        <v>100</v>
      </c>
      <c r="I3" s="151">
        <v>25</v>
      </c>
      <c r="J3" s="152">
        <f>MROUND(H3*0.85+I3,G3)</f>
        <v>110</v>
      </c>
      <c r="L3" s="86" t="s">
        <v>28</v>
      </c>
      <c r="M3" s="87"/>
      <c r="N3" s="120" t="s">
        <v>34</v>
      </c>
      <c r="O3" s="93" t="s">
        <v>35</v>
      </c>
    </row>
    <row r="4" spans="1:19" ht="33.75" thickTop="1" thickBot="1" x14ac:dyDescent="0.3">
      <c r="A4" s="198" t="str">
        <f>A3&amp;" 운동"</f>
        <v>하 운동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28" t="s">
        <v>30</v>
      </c>
      <c r="M4" s="115"/>
      <c r="N4" s="116">
        <v>0.01</v>
      </c>
      <c r="O4" s="122">
        <v>7.0000000000000007E-2</v>
      </c>
    </row>
    <row r="5" spans="1:19" ht="18" customHeight="1" thickTop="1" thickBot="1" x14ac:dyDescent="0.3">
      <c r="A5" s="193">
        <f ca="1">IF($M8&lt;IF($A$3="하",$S$8,$S$6),0,IF($M8&gt;IF($A$3="하",$S$7,$S$5),"",A1+1))</f>
        <v>0</v>
      </c>
      <c r="B5" s="141" t="str">
        <f>IF(O6-C8&lt;$A$1," ","MAX to "&amp;MROUND(IF(IF(O6-C8&gt;$A$1,$A$1,O6-C8)&lt;2,I1,I1*(37-IF(O6-C8&gt;$A$1,$A$1,O6-C8))/36),D8))</f>
        <v xml:space="preserve"> </v>
      </c>
      <c r="C5" s="90" t="str">
        <f>IF(O6&lt;=C8,"X",IF(N6&gt;C8,"must ME","can ME"))</f>
        <v>X</v>
      </c>
      <c r="D5" s="131" t="s">
        <v>31</v>
      </c>
      <c r="E5" s="132">
        <v>4</v>
      </c>
      <c r="F5" s="133" t="s">
        <v>32</v>
      </c>
      <c r="G5" s="132">
        <f>IF(F6&gt;=90%,2,IF(F6&gt;=80%,4,IF(F6&gt;=70%,6,6)))</f>
        <v>6</v>
      </c>
      <c r="H5" s="134" t="s">
        <v>2</v>
      </c>
      <c r="I5" s="135">
        <f>K6/(100%-IF($A$3="하",$P$8,$P$6)*K8)/K8</f>
        <v>207.75623268698064</v>
      </c>
      <c r="J5" s="136">
        <f>IF("하"=$A$3,$Q$7,$Q$5)</f>
        <v>20</v>
      </c>
      <c r="K5" s="137" t="s">
        <v>33</v>
      </c>
      <c r="L5" s="75" t="s">
        <v>25</v>
      </c>
      <c r="M5" s="76">
        <f>K6</f>
        <v>3000</v>
      </c>
      <c r="N5" s="74" t="s">
        <v>34</v>
      </c>
      <c r="O5" s="74" t="s">
        <v>35</v>
      </c>
      <c r="P5" s="77" t="s">
        <v>26</v>
      </c>
      <c r="Q5" s="77">
        <v>25</v>
      </c>
      <c r="R5" s="77">
        <v>300</v>
      </c>
      <c r="S5" s="77">
        <f ca="1">$A$2*R5/4</f>
        <v>1350</v>
      </c>
    </row>
    <row r="6" spans="1:19" ht="18" customHeight="1" thickTop="1" thickBot="1" x14ac:dyDescent="0.3">
      <c r="A6" s="194"/>
      <c r="B6" s="143"/>
      <c r="C6" s="142" t="str">
        <f>IF(B8="","",IF(B6*36/(37-B8)=0,"",B6*36/(37-B8)))</f>
        <v/>
      </c>
      <c r="D6" s="109" t="str">
        <f>B2</f>
        <v>역HBSQ</v>
      </c>
      <c r="E6" s="18">
        <f>IF(C6="",B3,C6)</f>
        <v>207.5</v>
      </c>
      <c r="F6" s="94">
        <f>100%-J5*IF($A$3="하",$P$8,$P$6)</f>
        <v>0.72199999999999998</v>
      </c>
      <c r="G6" s="7">
        <f t="shared" ref="G6:I7" si="0">F6</f>
        <v>0.72199999999999998</v>
      </c>
      <c r="H6" s="7">
        <f t="shared" si="0"/>
        <v>0.72199999999999998</v>
      </c>
      <c r="I6" s="7">
        <f t="shared" si="0"/>
        <v>0.72199999999999998</v>
      </c>
      <c r="J6" s="8">
        <f>I6</f>
        <v>0.72199999999999998</v>
      </c>
      <c r="K6" s="95">
        <f>F7*F8+G7*G8+H7*H8+I7*I8+J7*J8</f>
        <v>3000</v>
      </c>
      <c r="L6" s="86" t="s">
        <v>27</v>
      </c>
      <c r="M6" s="81">
        <f>M5+M2</f>
        <v>3000</v>
      </c>
      <c r="N6" s="90">
        <f>ROUNDDOWN(M4*$N$4,0)</f>
        <v>0</v>
      </c>
      <c r="O6" s="90">
        <f>ROUNDDOWN(M4*$O$4,0)</f>
        <v>0</v>
      </c>
      <c r="P6" s="82">
        <v>1.11E-2</v>
      </c>
      <c r="Q6" s="77">
        <v>25</v>
      </c>
      <c r="R6" s="77">
        <v>200</v>
      </c>
      <c r="S6" s="77">
        <f ca="1">$A$2*R6/4</f>
        <v>900</v>
      </c>
    </row>
    <row r="7" spans="1:19" ht="18" customHeight="1" thickTop="1" thickBot="1" x14ac:dyDescent="0.3">
      <c r="A7" s="194"/>
      <c r="B7" s="141" t="str">
        <f>IF(O6-C8&lt;$A$1," ","1~ "&amp;IF(O6-C8&gt;$A$1,$A$1,O6-C8)&amp;" rep")</f>
        <v xml:space="preserve"> </v>
      </c>
      <c r="C7" s="97" t="s">
        <v>37</v>
      </c>
      <c r="D7" s="98" t="s">
        <v>5</v>
      </c>
      <c r="E7" s="5" t="s">
        <v>3</v>
      </c>
      <c r="F7" s="18">
        <f>MROUND(F6*E6,D8)</f>
        <v>150</v>
      </c>
      <c r="G7" s="18">
        <f t="shared" si="0"/>
        <v>150</v>
      </c>
      <c r="H7" s="18">
        <f t="shared" si="0"/>
        <v>150</v>
      </c>
      <c r="I7" s="18">
        <f t="shared" si="0"/>
        <v>150</v>
      </c>
      <c r="J7" s="19">
        <f>I7</f>
        <v>150</v>
      </c>
      <c r="K7" s="74" t="s">
        <v>10</v>
      </c>
      <c r="L7" s="86" t="s">
        <v>28</v>
      </c>
      <c r="M7" s="87">
        <f>K8</f>
        <v>20</v>
      </c>
      <c r="N7" s="93" t="s">
        <v>34</v>
      </c>
      <c r="O7" s="93" t="s">
        <v>35</v>
      </c>
      <c r="P7" s="121" t="s">
        <v>29</v>
      </c>
      <c r="Q7" s="77">
        <v>20</v>
      </c>
      <c r="R7" s="77">
        <v>240</v>
      </c>
      <c r="S7" s="77">
        <f ca="1">$A$2*R7/4</f>
        <v>1080</v>
      </c>
    </row>
    <row r="8" spans="1:19" ht="18" customHeight="1" thickTop="1" thickBot="1" x14ac:dyDescent="0.3">
      <c r="A8" s="195"/>
      <c r="B8" s="143"/>
      <c r="C8" s="90">
        <f>B8</f>
        <v>0</v>
      </c>
      <c r="D8" s="113">
        <v>2.5</v>
      </c>
      <c r="E8" s="13" t="s">
        <v>7</v>
      </c>
      <c r="F8" s="103">
        <f xml:space="preserve"> IF($A$3="하",0,IF(MROUND(J5/5,1)&lt;=G5,IF(MROUND(J5/5,1)&gt;=E5,MROUND(J5/5,1),E5),G5))</f>
        <v>0</v>
      </c>
      <c r="G8" s="104">
        <f>IF(MROUND((J5-F8)/4,1)&lt;=G5,IF(MROUND((J5-F8)/4,1)&gt;=E5,MROUND((J5-F8)/4,1),E5),G5)</f>
        <v>5</v>
      </c>
      <c r="H8" s="104">
        <f>IF(MROUND((J5-F8-G8)/3,1)&lt;=G5,IF(MROUND((J5-F8-G8)/3,1)&gt;=E5,MROUND((J5-F8-G8)/3,1),E5),G5)</f>
        <v>5</v>
      </c>
      <c r="I8" s="104">
        <f>IF(MROUND((J5-F8-G8-H8)/2,1)&lt;=G5,IF((J5-F8-G8-H8)/2&gt;=E5,MROUND((J5-F8-G8-H8)/2,1),J5-F8-G8-H8),G5)</f>
        <v>5</v>
      </c>
      <c r="J8" s="105">
        <f>IF((J5-(F8+G8+H8+I8))&gt;0,(J5-(F8+G8+H8+I8)),0)</f>
        <v>5</v>
      </c>
      <c r="K8" s="101">
        <f>SUM(F8:J8)</f>
        <v>20</v>
      </c>
      <c r="L8" s="88" t="s">
        <v>30</v>
      </c>
      <c r="M8" s="89">
        <f>M7+M4</f>
        <v>20</v>
      </c>
      <c r="N8" s="90">
        <f>ROUNDDOWN((M4+C8+K8)*$N$4,0)</f>
        <v>0</v>
      </c>
      <c r="O8" s="90">
        <f>ROUNDDOWN((M4+K8+C8)*$O$4,0)</f>
        <v>1</v>
      </c>
      <c r="P8" s="117">
        <v>1.3899999999999999E-2</v>
      </c>
      <c r="Q8" s="77">
        <v>20</v>
      </c>
      <c r="R8" s="77">
        <v>160</v>
      </c>
      <c r="S8" s="77">
        <f ca="1">$A$2*R8/4</f>
        <v>720</v>
      </c>
    </row>
    <row r="9" spans="1:19" ht="18" customHeight="1" thickTop="1" thickBot="1" x14ac:dyDescent="0.3">
      <c r="A9" s="193">
        <f ca="1">IF($M12&lt;IF($A$3="하",$S$8,$S$6),0,IF($M12&gt;IF($A$3="하",$S$7,$S$5),"",MAX(A5+1)))</f>
        <v>0</v>
      </c>
      <c r="B9" s="141" t="str">
        <f>IF(O10-C8&lt;$A$1," ","MAX to "&amp;MROUND(IF(IF(O10-C8&gt;$A$1,$A$1,O10-C8)&lt;2,I5,I5*(37-IF(O10-C8&gt;$A$1,$A$1,O10-C8))/36),D12))</f>
        <v xml:space="preserve"> </v>
      </c>
      <c r="C9" s="90" t="str">
        <f>IF(O10&lt;=C8,"X",IF(N10&gt;C8,"must ME","can ME"))</f>
        <v>can ME</v>
      </c>
      <c r="D9" s="75" t="s">
        <v>31</v>
      </c>
      <c r="E9" s="23">
        <v>4</v>
      </c>
      <c r="F9" s="2">
        <v>1</v>
      </c>
      <c r="G9" s="23">
        <f>IF(F10&gt;=90%,2,IF(F10&gt;=80%,4,IF(F10&gt;=70%,6,6)))</f>
        <v>6</v>
      </c>
      <c r="H9" s="3" t="s">
        <v>2</v>
      </c>
      <c r="I9" s="91">
        <f>K10/(100%-IF($A$3="하",$P$8,$P$6)*K12)/K12</f>
        <v>207.75623268698064</v>
      </c>
      <c r="J9" s="92">
        <f>IF("하"=$A$3,$Q$7,$Q$5)</f>
        <v>20</v>
      </c>
      <c r="K9" s="107" t="s">
        <v>33</v>
      </c>
      <c r="L9" s="75" t="s">
        <v>25</v>
      </c>
      <c r="M9" s="76">
        <f>K10</f>
        <v>3000</v>
      </c>
      <c r="N9" s="93" t="s">
        <v>34</v>
      </c>
      <c r="O9" s="93" t="s">
        <v>35</v>
      </c>
    </row>
    <row r="10" spans="1:19" ht="18" customHeight="1" thickTop="1" thickBot="1" x14ac:dyDescent="0.3">
      <c r="A10" s="194"/>
      <c r="B10" s="143"/>
      <c r="C10" s="142" t="str">
        <f>IF(B12="","",IF(B10*36/(37-B12)=0,"",B10*36/(37-B12)))</f>
        <v/>
      </c>
      <c r="D10" s="109" t="str">
        <f>D6</f>
        <v>역HBSQ</v>
      </c>
      <c r="E10" s="18">
        <f>IF(C10="",I5,C10)</f>
        <v>207.75623268698064</v>
      </c>
      <c r="F10" s="94">
        <f>100%-J9*IF($A$3="하",$P$8,$P$6)</f>
        <v>0.72199999999999998</v>
      </c>
      <c r="G10" s="7">
        <f t="shared" ref="G10:I11" si="1">F10</f>
        <v>0.72199999999999998</v>
      </c>
      <c r="H10" s="7">
        <f t="shared" si="1"/>
        <v>0.72199999999999998</v>
      </c>
      <c r="I10" s="7">
        <f t="shared" si="1"/>
        <v>0.72199999999999998</v>
      </c>
      <c r="J10" s="8">
        <f>I10</f>
        <v>0.72199999999999998</v>
      </c>
      <c r="K10" s="95">
        <f>F11*F12+G11*G12+H11*H12+I11*I12+J11*J12</f>
        <v>3000</v>
      </c>
      <c r="L10" s="86" t="s">
        <v>27</v>
      </c>
      <c r="M10" s="81">
        <f>M9+M6</f>
        <v>6000</v>
      </c>
      <c r="N10" s="90">
        <f>ROUNDDOWN(M8*$N$4,0)</f>
        <v>0</v>
      </c>
      <c r="O10" s="90">
        <f>ROUNDDOWN(M8*$O$4,0)</f>
        <v>1</v>
      </c>
    </row>
    <row r="11" spans="1:19" ht="18" customHeight="1" thickTop="1" thickBot="1" x14ac:dyDescent="0.3">
      <c r="A11" s="194"/>
      <c r="B11" s="141" t="str">
        <f>IF(O10-C8&lt;$A$1," ","1~ "&amp;IF(O10-C8&gt;$A$1,$A$1,O10-C8)&amp;" rep")</f>
        <v xml:space="preserve"> </v>
      </c>
      <c r="C11" s="97" t="s">
        <v>37</v>
      </c>
      <c r="D11" s="98" t="s">
        <v>5</v>
      </c>
      <c r="E11" s="5" t="s">
        <v>3</v>
      </c>
      <c r="F11" s="18">
        <f>MROUND(F10*E10,D12)</f>
        <v>150</v>
      </c>
      <c r="G11" s="18">
        <f t="shared" si="1"/>
        <v>150</v>
      </c>
      <c r="H11" s="18">
        <f t="shared" si="1"/>
        <v>150</v>
      </c>
      <c r="I11" s="18">
        <f t="shared" si="1"/>
        <v>150</v>
      </c>
      <c r="J11" s="19">
        <f>I11</f>
        <v>150</v>
      </c>
      <c r="K11" s="74" t="s">
        <v>10</v>
      </c>
      <c r="L11" s="86" t="s">
        <v>28</v>
      </c>
      <c r="M11" s="87">
        <f>K12</f>
        <v>20</v>
      </c>
      <c r="N11" s="93" t="s">
        <v>34</v>
      </c>
      <c r="O11" s="93" t="s">
        <v>35</v>
      </c>
    </row>
    <row r="12" spans="1:19" ht="18" customHeight="1" thickTop="1" thickBot="1" x14ac:dyDescent="0.3">
      <c r="A12" s="195"/>
      <c r="B12" s="144"/>
      <c r="C12" s="90">
        <f>IF(B10="",C8,IF(C10&lt;=0,C8,C8+B12))</f>
        <v>0</v>
      </c>
      <c r="D12" s="100">
        <f>D8</f>
        <v>2.5</v>
      </c>
      <c r="E12" s="13" t="s">
        <v>7</v>
      </c>
      <c r="F12" s="103">
        <f xml:space="preserve"> IF($A$3="하",0,IF(MROUND(J9/5,1)&lt;=G9,IF(MROUND(J9/5,1)&gt;=E9,MROUND(J9/5,1),E9),G9))</f>
        <v>0</v>
      </c>
      <c r="G12" s="104">
        <f>IF(MROUND((J9-F12)/4,1)&lt;=G9,IF(MROUND((J9-F12)/4,1)&gt;=E9,MROUND((J9-F12)/4,1),E9),G9)</f>
        <v>5</v>
      </c>
      <c r="H12" s="104">
        <f>IF(MROUND((J9-F12-G12)/3,1)&lt;=G9,IF(MROUND((J9-F12-G12)/3,1)&gt;=E9,MROUND((J9-F12-G12)/3,1),E9),G9)</f>
        <v>5</v>
      </c>
      <c r="I12" s="104">
        <f>IF(MROUND((J9-F12-G12-H12)/2,1)&lt;=G9,IF((J9-F12-G12-H12)/2&gt;=E9,MROUND((J9-F12-G12-H12)/2,1),J9-F12-G12-H12),G9)</f>
        <v>5</v>
      </c>
      <c r="J12" s="105">
        <f>IF((J9-(F12+G12+H12+I12))&gt;0,(J9-(F12+G12+H12+I12)),0)</f>
        <v>5</v>
      </c>
      <c r="K12" s="101">
        <f>SUM(F12:J12)</f>
        <v>20</v>
      </c>
      <c r="L12" s="88" t="s">
        <v>30</v>
      </c>
      <c r="M12" s="89">
        <f>M11+M8</f>
        <v>40</v>
      </c>
      <c r="N12" s="90">
        <f>ROUNDDOWN((M8-C8+C12+K12)*$N$4,0)</f>
        <v>0</v>
      </c>
      <c r="O12" s="90">
        <f>ROUNDDOWN((M8+K12-+C12)*$O$4,0)</f>
        <v>2</v>
      </c>
    </row>
    <row r="13" spans="1:19" ht="18" customHeight="1" thickTop="1" thickBot="1" x14ac:dyDescent="0.3">
      <c r="A13" s="193">
        <f t="shared" ref="A13" ca="1" si="2">IF($M16&lt;IF($A$3="하",$S$8,$S$6),0,IF($M16&gt;IF($A$3="하",$S$7,$S$5),"",MAX(A9+1)))</f>
        <v>0</v>
      </c>
      <c r="B13" s="141" t="str">
        <f>IF(O14-C12&lt;$A$1," ","MAX to "&amp;MROUND(IF(IF(O14-C12&gt;$A$1,$A$1,O14-C12)&lt;2,I9,I9*(37-IF(O14-C12&gt;$A$1,$A$1,O14-C12))/36),D16))</f>
        <v xml:space="preserve"> </v>
      </c>
      <c r="C13" s="90" t="str">
        <f>IF(O14&lt;=C12,"X",IF(N14&gt;C12,"must ME","can ME"))</f>
        <v>can ME</v>
      </c>
      <c r="D13" s="75" t="s">
        <v>31</v>
      </c>
      <c r="E13" s="23">
        <v>4</v>
      </c>
      <c r="F13" s="2">
        <v>1</v>
      </c>
      <c r="G13" s="23">
        <f>IF(F14&gt;=90%,2,IF(F14&gt;=80%,4,IF(F14&gt;=70%,6,6)))</f>
        <v>6</v>
      </c>
      <c r="H13" s="3" t="s">
        <v>2</v>
      </c>
      <c r="I13" s="91">
        <f>K14/(100%-IF($A$3="하",$P$8,$P$6)*K16)/K16</f>
        <v>207.75623268698064</v>
      </c>
      <c r="J13" s="92">
        <f>IF("하"=$A$3,$Q$7,$Q$5)</f>
        <v>20</v>
      </c>
      <c r="K13" s="107" t="s">
        <v>33</v>
      </c>
      <c r="L13" s="75" t="s">
        <v>25</v>
      </c>
      <c r="M13" s="76">
        <f>K14</f>
        <v>3000</v>
      </c>
      <c r="N13" s="93" t="s">
        <v>34</v>
      </c>
      <c r="O13" s="93" t="s">
        <v>35</v>
      </c>
    </row>
    <row r="14" spans="1:19" ht="18" customHeight="1" thickTop="1" thickBot="1" x14ac:dyDescent="0.3">
      <c r="A14" s="194"/>
      <c r="B14" s="143"/>
      <c r="C14" s="142" t="str">
        <f>IF(B16="","",IF(B14*36/(37-B16)=0,"",B14*36/(37-B16)))</f>
        <v/>
      </c>
      <c r="D14" s="109" t="str">
        <f>D10</f>
        <v>역HBSQ</v>
      </c>
      <c r="E14" s="18">
        <f>IF(C14="",I9,C14)</f>
        <v>207.75623268698064</v>
      </c>
      <c r="F14" s="94">
        <f>100%-J13*IF($A$3="하",$P$8,$P$6)</f>
        <v>0.72199999999999998</v>
      </c>
      <c r="G14" s="7">
        <f t="shared" ref="G14:I15" si="3">F14</f>
        <v>0.72199999999999998</v>
      </c>
      <c r="H14" s="7">
        <f t="shared" si="3"/>
        <v>0.72199999999999998</v>
      </c>
      <c r="I14" s="7">
        <f t="shared" si="3"/>
        <v>0.72199999999999998</v>
      </c>
      <c r="J14" s="8">
        <f>I14</f>
        <v>0.72199999999999998</v>
      </c>
      <c r="K14" s="95">
        <f>F15*F16+G15*G16+H15*H16+I15*I16+J15*J16</f>
        <v>3000</v>
      </c>
      <c r="L14" s="86" t="s">
        <v>27</v>
      </c>
      <c r="M14" s="81">
        <f>M13+M10</f>
        <v>9000</v>
      </c>
      <c r="N14" s="90">
        <f>ROUNDDOWN(M12*$N$4,0)</f>
        <v>0</v>
      </c>
      <c r="O14" s="90">
        <f>ROUNDDOWN(M12*$O$4,0)</f>
        <v>2</v>
      </c>
    </row>
    <row r="15" spans="1:19" ht="18" customHeight="1" thickTop="1" thickBot="1" x14ac:dyDescent="0.3">
      <c r="A15" s="194"/>
      <c r="B15" s="141" t="str">
        <f>IF(O14-C12&lt;$A$1," ","1~ "&amp;IF(O14-C12&gt;$A$1,$A$1,O14-C12)&amp;" rep")</f>
        <v xml:space="preserve"> </v>
      </c>
      <c r="C15" s="97" t="s">
        <v>37</v>
      </c>
      <c r="D15" s="98" t="s">
        <v>5</v>
      </c>
      <c r="E15" s="5" t="s">
        <v>3</v>
      </c>
      <c r="F15" s="18">
        <f>MROUND(F14*E14,D16)</f>
        <v>150</v>
      </c>
      <c r="G15" s="18">
        <f t="shared" si="3"/>
        <v>150</v>
      </c>
      <c r="H15" s="18">
        <f t="shared" si="3"/>
        <v>150</v>
      </c>
      <c r="I15" s="18">
        <f t="shared" si="3"/>
        <v>150</v>
      </c>
      <c r="J15" s="19">
        <f>I15</f>
        <v>150</v>
      </c>
      <c r="K15" s="74" t="s">
        <v>10</v>
      </c>
      <c r="L15" s="86" t="s">
        <v>28</v>
      </c>
      <c r="M15" s="87">
        <f>K16</f>
        <v>20</v>
      </c>
      <c r="N15" s="93" t="s">
        <v>34</v>
      </c>
      <c r="O15" s="93" t="s">
        <v>35</v>
      </c>
    </row>
    <row r="16" spans="1:19" ht="18" customHeight="1" thickTop="1" thickBot="1" x14ac:dyDescent="0.3">
      <c r="A16" s="195"/>
      <c r="B16" s="144"/>
      <c r="C16" s="90">
        <f>IF(B14="",C12,IF(C14&lt;=0,C12,C12+B16))</f>
        <v>0</v>
      </c>
      <c r="D16" s="100">
        <f>D12</f>
        <v>2.5</v>
      </c>
      <c r="E16" s="13" t="s">
        <v>7</v>
      </c>
      <c r="F16" s="103">
        <f xml:space="preserve"> IF($A$3="하",0,IF(MROUND(J13/5,1)&lt;=G13,IF(MROUND(J13/5,1)&gt;=E13,MROUND(J13/5,1),E13),G13))</f>
        <v>0</v>
      </c>
      <c r="G16" s="104">
        <f>IF(MROUND((J13-F16)/4,1)&lt;=G13,IF(MROUND((J13-F16)/4,1)&gt;=E13,MROUND((J13-F16)/4,1),E13),G13)</f>
        <v>5</v>
      </c>
      <c r="H16" s="104">
        <f>IF(MROUND((J13-F16-G16)/3,1)&lt;=G13,IF(MROUND((J13-F16-G16)/3,1)&gt;=E13,MROUND((J13-F16-G16)/3,1),E13),G13)</f>
        <v>5</v>
      </c>
      <c r="I16" s="104">
        <f>IF(MROUND((J13-F16-G16-H16)/2,1)&lt;=G13,IF((J13-F16-G16-H16)/2&gt;=E13,MROUND((J13-F16-G16-H16)/2,1),J13-F16-G16-H16),G13)</f>
        <v>5</v>
      </c>
      <c r="J16" s="105">
        <f>IF((J13-(F16+G16+H16+I16))&gt;0,(J13-(F16+G16+H16+I16)),0)</f>
        <v>5</v>
      </c>
      <c r="K16" s="101">
        <f>SUM(F16:J16)</f>
        <v>20</v>
      </c>
      <c r="L16" s="88" t="s">
        <v>30</v>
      </c>
      <c r="M16" s="89">
        <f>M15+M12</f>
        <v>60</v>
      </c>
      <c r="N16" s="90">
        <f>ROUNDDOWN((M12-C12+C16+K16)*$N$4,0)</f>
        <v>0</v>
      </c>
      <c r="O16" s="90">
        <f>ROUNDDOWN((M12+K16-+C16)*$O$4,0)</f>
        <v>4</v>
      </c>
    </row>
    <row r="17" spans="1:15" ht="18" customHeight="1" thickTop="1" thickBot="1" x14ac:dyDescent="0.3">
      <c r="A17" s="193">
        <f t="shared" ref="A17" ca="1" si="4">IF($M20&lt;IF($A$3="하",$S$8,$S$6),0,IF($M20&gt;IF($A$3="하",$S$7,$S$5),"",MAX(A13+1)))</f>
        <v>0</v>
      </c>
      <c r="B17" s="141" t="str">
        <f>IF(O18-C16&lt;$A$1," ","MAX to "&amp;MROUND(IF(IF(O18-C16&gt;$A$1,$A$1,O18-C16)&lt;2,I13,I13*(37-IF(O18-C16&gt;$A$1,$A$1,O18-C16))/36),D20))</f>
        <v xml:space="preserve"> </v>
      </c>
      <c r="C17" s="90" t="str">
        <f>IF(O18&lt;=C16,"X",IF(N18&gt;C16,"must ME","can ME"))</f>
        <v>can ME</v>
      </c>
      <c r="D17" s="75" t="s">
        <v>31</v>
      </c>
      <c r="E17" s="23">
        <v>4</v>
      </c>
      <c r="F17" s="2">
        <v>1</v>
      </c>
      <c r="G17" s="23">
        <f>IF(F18&gt;=90%,2,IF(F18&gt;=80%,4,IF(F18&gt;=70%,6,6)))</f>
        <v>6</v>
      </c>
      <c r="H17" s="3" t="s">
        <v>2</v>
      </c>
      <c r="I17" s="91">
        <f>K18/(100%-IF($A$3="하",$P$8,$P$6)*K20)/K20</f>
        <v>207.75623268698064</v>
      </c>
      <c r="J17" s="92">
        <f>IF("하"=$A$3,$Q$7,$Q$5)</f>
        <v>20</v>
      </c>
      <c r="K17" s="107" t="s">
        <v>33</v>
      </c>
      <c r="L17" s="75" t="s">
        <v>25</v>
      </c>
      <c r="M17" s="76">
        <f>K18</f>
        <v>3000</v>
      </c>
      <c r="N17" s="93" t="s">
        <v>34</v>
      </c>
      <c r="O17" s="93" t="s">
        <v>35</v>
      </c>
    </row>
    <row r="18" spans="1:15" ht="18" customHeight="1" thickTop="1" thickBot="1" x14ac:dyDescent="0.3">
      <c r="A18" s="194"/>
      <c r="B18" s="143"/>
      <c r="C18" s="142" t="str">
        <f>IF(B20="","",IF(B18*36/(37-B20)=0,"",B18*36/(37-B20)))</f>
        <v/>
      </c>
      <c r="D18" s="109" t="str">
        <f>D14</f>
        <v>역HBSQ</v>
      </c>
      <c r="E18" s="18">
        <f>IF(C18="",I13,C18)</f>
        <v>207.75623268698064</v>
      </c>
      <c r="F18" s="94">
        <f>100%-J17*IF($A$3="하",$P$8,$P$6)</f>
        <v>0.72199999999999998</v>
      </c>
      <c r="G18" s="7">
        <f t="shared" ref="G18:I19" si="5">F18</f>
        <v>0.72199999999999998</v>
      </c>
      <c r="H18" s="7">
        <f t="shared" si="5"/>
        <v>0.72199999999999998</v>
      </c>
      <c r="I18" s="7">
        <f t="shared" si="5"/>
        <v>0.72199999999999998</v>
      </c>
      <c r="J18" s="8">
        <f>I18</f>
        <v>0.72199999999999998</v>
      </c>
      <c r="K18" s="95">
        <f>F19*F20+G19*G20+H19*H20+I19*I20+J19*J20</f>
        <v>3000</v>
      </c>
      <c r="L18" s="86" t="s">
        <v>27</v>
      </c>
      <c r="M18" s="81">
        <f>M17+M14</f>
        <v>12000</v>
      </c>
      <c r="N18" s="90">
        <f>ROUNDDOWN(M16*$N$4,0)</f>
        <v>0</v>
      </c>
      <c r="O18" s="90">
        <f>ROUNDDOWN(M16*$O$4,0)</f>
        <v>4</v>
      </c>
    </row>
    <row r="19" spans="1:15" ht="18" customHeight="1" thickTop="1" thickBot="1" x14ac:dyDescent="0.3">
      <c r="A19" s="194"/>
      <c r="B19" s="141" t="str">
        <f>IF(O18-C16&lt;$A$1," ","1~ "&amp;IF(O18-C16&gt;$A$1,$A$1,O18-C16)&amp;" rep")</f>
        <v xml:space="preserve"> </v>
      </c>
      <c r="C19" s="97" t="s">
        <v>37</v>
      </c>
      <c r="D19" s="98" t="s">
        <v>5</v>
      </c>
      <c r="E19" s="5" t="s">
        <v>3</v>
      </c>
      <c r="F19" s="18">
        <f>MROUND(F18*E18,D20)</f>
        <v>150</v>
      </c>
      <c r="G19" s="18">
        <f t="shared" si="5"/>
        <v>150</v>
      </c>
      <c r="H19" s="18">
        <f t="shared" si="5"/>
        <v>150</v>
      </c>
      <c r="I19" s="18">
        <f t="shared" si="5"/>
        <v>150</v>
      </c>
      <c r="J19" s="19">
        <f>I19</f>
        <v>150</v>
      </c>
      <c r="K19" s="74" t="s">
        <v>10</v>
      </c>
      <c r="L19" s="86" t="s">
        <v>28</v>
      </c>
      <c r="M19" s="87">
        <f>K20</f>
        <v>20</v>
      </c>
      <c r="N19" s="93" t="s">
        <v>34</v>
      </c>
      <c r="O19" s="93" t="s">
        <v>35</v>
      </c>
    </row>
    <row r="20" spans="1:15" ht="18" customHeight="1" thickTop="1" thickBot="1" x14ac:dyDescent="0.3">
      <c r="A20" s="195"/>
      <c r="B20" s="144"/>
      <c r="C20" s="90">
        <f>IF(B18="",C16,IF(C18&lt;=0,C16,C16+B20))</f>
        <v>0</v>
      </c>
      <c r="D20" s="100">
        <f>D16</f>
        <v>2.5</v>
      </c>
      <c r="E20" s="13" t="s">
        <v>7</v>
      </c>
      <c r="F20" s="103">
        <f xml:space="preserve"> IF($A$3="하",0,IF(MROUND(J17/5,1)&lt;=G17,IF(MROUND(J17/5,1)&gt;=E17,MROUND(J17/5,1),E17),G17))</f>
        <v>0</v>
      </c>
      <c r="G20" s="104">
        <f>IF(MROUND((J17-F20)/4,1)&lt;=G17,IF(MROUND((J17-F20)/4,1)&gt;=E17,MROUND((J17-F20)/4,1),E17),G17)</f>
        <v>5</v>
      </c>
      <c r="H20" s="104">
        <f>IF(MROUND((J17-F20-G20)/3,1)&lt;=G17,IF(MROUND((J17-F20-G20)/3,1)&gt;=E17,MROUND((J17-F20-G20)/3,1),E17),G17)</f>
        <v>5</v>
      </c>
      <c r="I20" s="104">
        <f>IF(MROUND((J17-F20-G20-H20)/2,1)&lt;=G17,IF((J17-F20-G20-H20)/2&gt;=E17,MROUND((J17-F20-G20-H20)/2,1),J17-F20-G20-H20),G17)</f>
        <v>5</v>
      </c>
      <c r="J20" s="105">
        <f>IF((J17-(F20+G20+H20+I20))&gt;0,(J17-(F20+G20+H20+I20)),0)</f>
        <v>5</v>
      </c>
      <c r="K20" s="101">
        <f>SUM(F20:J20)</f>
        <v>20</v>
      </c>
      <c r="L20" s="88" t="s">
        <v>30</v>
      </c>
      <c r="M20" s="89">
        <f>M19+M16</f>
        <v>80</v>
      </c>
      <c r="N20" s="90">
        <f>ROUNDDOWN((M16-C16+C20+K20)*$N$4,0)</f>
        <v>0</v>
      </c>
      <c r="O20" s="90">
        <f>ROUNDDOWN((M16+K20-+C20)*$O$4,0)</f>
        <v>5</v>
      </c>
    </row>
    <row r="21" spans="1:15" ht="18" customHeight="1" thickTop="1" thickBot="1" x14ac:dyDescent="0.3">
      <c r="A21" s="193">
        <f ca="1">IF($M24&lt;IF($A$3="하",$S$8,$S$6),0,IF($M24&gt;IF($A$3="하",$S$7,$S$5),"",MAX(A17+1)))</f>
        <v>0</v>
      </c>
      <c r="B21" s="141" t="str">
        <f>IF(O22-C20&lt;$A$1," ","MAX to "&amp;MROUND(IF(IF(O22-C20&gt;$A$1,$A$1,O22-C20)&lt;2,I17,I17*(37-IF(O22-C20&gt;$A$1,$A$1,O22-C20))/36),D24))</f>
        <v>MAX to 185</v>
      </c>
      <c r="C21" s="90" t="str">
        <f>IF(O22&lt;=C20,"X",IF(N22&gt;C20,"must ME","can ME"))</f>
        <v>can ME</v>
      </c>
      <c r="D21" s="75" t="s">
        <v>31</v>
      </c>
      <c r="E21" s="23">
        <v>4</v>
      </c>
      <c r="F21" s="2">
        <v>1</v>
      </c>
      <c r="G21" s="23">
        <f>IF(F22&gt;=90%,2,IF(F22&gt;=80%,4,IF(F22&gt;=70%,6,6)))</f>
        <v>6</v>
      </c>
      <c r="H21" s="3" t="s">
        <v>2</v>
      </c>
      <c r="I21" s="91">
        <f>K22/(100%-IF($A$3="하",$P$8,$P$6)*K24)/K24</f>
        <v>207.75623268698064</v>
      </c>
      <c r="J21" s="92">
        <f>IF("하"=$A$3,$Q$7,$Q$5)</f>
        <v>20</v>
      </c>
      <c r="K21" s="107" t="s">
        <v>33</v>
      </c>
      <c r="L21" s="75" t="s">
        <v>25</v>
      </c>
      <c r="M21" s="76">
        <f>K22</f>
        <v>3000</v>
      </c>
      <c r="N21" s="93" t="s">
        <v>34</v>
      </c>
      <c r="O21" s="93" t="s">
        <v>35</v>
      </c>
    </row>
    <row r="22" spans="1:15" ht="18" customHeight="1" thickTop="1" thickBot="1" x14ac:dyDescent="0.3">
      <c r="A22" s="194"/>
      <c r="B22" s="143"/>
      <c r="C22" s="142" t="str">
        <f>IF(B24="","",IF(B22*36/(37-B24)=0,"",B22*36/(37-B24)))</f>
        <v/>
      </c>
      <c r="D22" s="109" t="str">
        <f>D18</f>
        <v>역HBSQ</v>
      </c>
      <c r="E22" s="18">
        <f>IF(C22="",I17,C22)</f>
        <v>207.75623268698064</v>
      </c>
      <c r="F22" s="94">
        <f>100%-J21*IF($A$3="하",$P$8,$P$6)</f>
        <v>0.72199999999999998</v>
      </c>
      <c r="G22" s="7">
        <f t="shared" ref="G22:I23" si="6">F22</f>
        <v>0.72199999999999998</v>
      </c>
      <c r="H22" s="7">
        <f t="shared" si="6"/>
        <v>0.72199999999999998</v>
      </c>
      <c r="I22" s="7">
        <f t="shared" si="6"/>
        <v>0.72199999999999998</v>
      </c>
      <c r="J22" s="8">
        <f>I22</f>
        <v>0.72199999999999998</v>
      </c>
      <c r="K22" s="95">
        <f>F23*F24+G23*G24+H23*H24+I23*I24+J23*J24</f>
        <v>3000</v>
      </c>
      <c r="L22" s="86" t="s">
        <v>27</v>
      </c>
      <c r="M22" s="81">
        <f>M21+M18</f>
        <v>15000</v>
      </c>
      <c r="N22" s="90">
        <f>ROUNDDOWN(M20*$N$4,0)</f>
        <v>0</v>
      </c>
      <c r="O22" s="90">
        <f>ROUNDDOWN(M20*$O$4,0)</f>
        <v>5</v>
      </c>
    </row>
    <row r="23" spans="1:15" ht="18" customHeight="1" thickTop="1" thickBot="1" x14ac:dyDescent="0.3">
      <c r="A23" s="194"/>
      <c r="B23" s="141" t="str">
        <f>IF(O22-C20&lt;$A$1," ","1~ "&amp;IF(O22-C20&gt;$A$1,$A$1,O22-C20)&amp;" rep")</f>
        <v>1~ 5 rep</v>
      </c>
      <c r="C23" s="97" t="s">
        <v>37</v>
      </c>
      <c r="D23" s="98" t="s">
        <v>5</v>
      </c>
      <c r="E23" s="5" t="s">
        <v>3</v>
      </c>
      <c r="F23" s="18">
        <f>MROUND(F22*E22,D24)</f>
        <v>150</v>
      </c>
      <c r="G23" s="18">
        <f t="shared" si="6"/>
        <v>150</v>
      </c>
      <c r="H23" s="18">
        <f t="shared" si="6"/>
        <v>150</v>
      </c>
      <c r="I23" s="18">
        <f t="shared" si="6"/>
        <v>150</v>
      </c>
      <c r="J23" s="19">
        <f>I23</f>
        <v>150</v>
      </c>
      <c r="K23" s="74" t="s">
        <v>10</v>
      </c>
      <c r="L23" s="86" t="s">
        <v>28</v>
      </c>
      <c r="M23" s="87">
        <f>K24</f>
        <v>20</v>
      </c>
      <c r="N23" s="93" t="s">
        <v>34</v>
      </c>
      <c r="O23" s="93" t="s">
        <v>35</v>
      </c>
    </row>
    <row r="24" spans="1:15" ht="18" customHeight="1" thickTop="1" thickBot="1" x14ac:dyDescent="0.3">
      <c r="A24" s="195"/>
      <c r="B24" s="144"/>
      <c r="C24" s="90">
        <f>IF(B22="",C20,IF(C22&lt;=0,C20,C20+B24))</f>
        <v>0</v>
      </c>
      <c r="D24" s="100">
        <f>D20</f>
        <v>2.5</v>
      </c>
      <c r="E24" s="13" t="s">
        <v>7</v>
      </c>
      <c r="F24" s="103">
        <f xml:space="preserve"> IF($A$3="하",0,IF(MROUND(J21/5,1)&lt;=G21,IF(MROUND(J21/5,1)&gt;=E21,MROUND(J21/5,1),E21),G21))</f>
        <v>0</v>
      </c>
      <c r="G24" s="104">
        <f>IF(MROUND((J21-F24)/4,1)&lt;=G21,IF(MROUND((J21-F24)/4,1)&gt;=E21,MROUND((J21-F24)/4,1),E21),G21)</f>
        <v>5</v>
      </c>
      <c r="H24" s="104">
        <f>IF(MROUND((J21-F24-G24)/3,1)&lt;=G21,IF(MROUND((J21-F24-G24)/3,1)&gt;=E21,MROUND((J21-F24-G24)/3,1),E21),G21)</f>
        <v>5</v>
      </c>
      <c r="I24" s="104">
        <f>IF(MROUND((J21-F24-G24-H24)/2,1)&lt;=G21,IF((J21-F24-G24-H24)/2&gt;=E21,MROUND((J21-F24-G24-H24)/2,1),J21-F24-G24-H24),G21)</f>
        <v>5</v>
      </c>
      <c r="J24" s="105">
        <f>IF((J21-(F24+G24+H24+I24))&gt;0,(J21-(F24+G24+H24+I24)),0)</f>
        <v>5</v>
      </c>
      <c r="K24" s="101">
        <f>SUM(F24:J24)</f>
        <v>20</v>
      </c>
      <c r="L24" s="88" t="s">
        <v>30</v>
      </c>
      <c r="M24" s="89">
        <f>M23+M20</f>
        <v>100</v>
      </c>
      <c r="N24" s="90">
        <f>ROUNDDOWN((M20-C20+C24+K24)*$N$4,0)</f>
        <v>1</v>
      </c>
      <c r="O24" s="90">
        <f>ROUNDDOWN((M20+K24-+C24)*$O$4,0)</f>
        <v>7</v>
      </c>
    </row>
    <row r="25" spans="1:15" ht="18" customHeight="1" thickTop="1" thickBot="1" x14ac:dyDescent="0.3">
      <c r="A25" s="193">
        <f ca="1">IF($M28&lt;IF($A$3="하",$S$8,$S$6),0,IF($M28&gt;IF($A$3="하",$S$7,$S$5),"",MAX(A21+1)))</f>
        <v>0</v>
      </c>
      <c r="B25" s="141" t="str">
        <f>IF(O26-C24&lt;$A$1," ","MAX to "&amp;MROUND(IF(IF(O26-C24&gt;$A$1,$A$1,O26-C24)&lt;2,I21,I21*(37-IF(O26-C24&gt;$A$1,$A$1,O26-C24))/36),D28))</f>
        <v>MAX to 185</v>
      </c>
      <c r="C25" s="90" t="str">
        <f>IF(O26&lt;=C24,"X",IF(N26&gt;C24,"must ME","can ME"))</f>
        <v>must ME</v>
      </c>
      <c r="D25" s="75" t="s">
        <v>31</v>
      </c>
      <c r="E25" s="23">
        <v>4</v>
      </c>
      <c r="F25" s="2">
        <v>1</v>
      </c>
      <c r="G25" s="23">
        <f>IF(F26&gt;=90%,2,IF(F26&gt;=80%,4,IF(F26&gt;=70%,6,6)))</f>
        <v>6</v>
      </c>
      <c r="H25" s="3" t="s">
        <v>2</v>
      </c>
      <c r="I25" s="91">
        <f>K26/(100%-IF($A$3="하",$P$8,$P$6)*K28)/K28</f>
        <v>207.75623268698064</v>
      </c>
      <c r="J25" s="92">
        <f>IF("하"=$A$3,$Q$7,$Q$5)</f>
        <v>20</v>
      </c>
      <c r="K25" s="107" t="s">
        <v>33</v>
      </c>
      <c r="L25" s="75" t="s">
        <v>25</v>
      </c>
      <c r="M25" s="76">
        <f>K26</f>
        <v>3000</v>
      </c>
      <c r="N25" s="93" t="s">
        <v>34</v>
      </c>
      <c r="O25" s="93" t="s">
        <v>35</v>
      </c>
    </row>
    <row r="26" spans="1:15" ht="18" customHeight="1" thickTop="1" thickBot="1" x14ac:dyDescent="0.3">
      <c r="A26" s="194"/>
      <c r="B26" s="143"/>
      <c r="C26" s="142" t="str">
        <f>IF(B28="","",IF(B26*36/(37-B28)=0,"",B26*36/(37-B28)))</f>
        <v/>
      </c>
      <c r="D26" s="109" t="str">
        <f>D22</f>
        <v>역HBSQ</v>
      </c>
      <c r="E26" s="18">
        <f>IF(C26="",I21,C26)</f>
        <v>207.75623268698064</v>
      </c>
      <c r="F26" s="94">
        <f>100%-J25*IF($A$3="하",$P$8,$P$6)</f>
        <v>0.72199999999999998</v>
      </c>
      <c r="G26" s="7">
        <f t="shared" ref="G26:I27" si="7">F26</f>
        <v>0.72199999999999998</v>
      </c>
      <c r="H26" s="7">
        <f t="shared" si="7"/>
        <v>0.72199999999999998</v>
      </c>
      <c r="I26" s="7">
        <f t="shared" si="7"/>
        <v>0.72199999999999998</v>
      </c>
      <c r="J26" s="8">
        <f>I26</f>
        <v>0.72199999999999998</v>
      </c>
      <c r="K26" s="95">
        <f>F27*F28+G27*G28+H27*H28+I27*I28+J27*J28</f>
        <v>3000</v>
      </c>
      <c r="L26" s="86" t="s">
        <v>27</v>
      </c>
      <c r="M26" s="81">
        <f>M25+M22</f>
        <v>18000</v>
      </c>
      <c r="N26" s="90">
        <f>ROUNDDOWN(M24*$N$4,0)</f>
        <v>1</v>
      </c>
      <c r="O26" s="90">
        <f>ROUNDDOWN(M24*$O$4,0)</f>
        <v>7</v>
      </c>
    </row>
    <row r="27" spans="1:15" ht="18" customHeight="1" thickTop="1" thickBot="1" x14ac:dyDescent="0.3">
      <c r="A27" s="194"/>
      <c r="B27" s="141" t="str">
        <f>IF(O26-C24&lt;$A$1," ","1~ "&amp;IF(O26-C24&gt;$A$1,$A$1,O26-C24)&amp;" rep")</f>
        <v>1~ 5 rep</v>
      </c>
      <c r="C27" s="97" t="s">
        <v>37</v>
      </c>
      <c r="D27" s="98" t="s">
        <v>5</v>
      </c>
      <c r="E27" s="5" t="s">
        <v>3</v>
      </c>
      <c r="F27" s="18">
        <f>MROUND(F26*E26,D28)</f>
        <v>150</v>
      </c>
      <c r="G27" s="18">
        <f t="shared" si="7"/>
        <v>150</v>
      </c>
      <c r="H27" s="18">
        <f t="shared" si="7"/>
        <v>150</v>
      </c>
      <c r="I27" s="18">
        <f t="shared" si="7"/>
        <v>150</v>
      </c>
      <c r="J27" s="19">
        <f>I27</f>
        <v>150</v>
      </c>
      <c r="K27" s="74" t="s">
        <v>10</v>
      </c>
      <c r="L27" s="86" t="s">
        <v>28</v>
      </c>
      <c r="M27" s="87">
        <f>K28</f>
        <v>20</v>
      </c>
      <c r="N27" s="93" t="s">
        <v>34</v>
      </c>
      <c r="O27" s="93" t="s">
        <v>35</v>
      </c>
    </row>
    <row r="28" spans="1:15" ht="18" customHeight="1" thickTop="1" thickBot="1" x14ac:dyDescent="0.3">
      <c r="A28" s="195"/>
      <c r="B28" s="144"/>
      <c r="C28" s="90">
        <f>IF(B26="",C24,IF(C26&lt;=0,C24,C24+B28))</f>
        <v>0</v>
      </c>
      <c r="D28" s="100">
        <f>D24</f>
        <v>2.5</v>
      </c>
      <c r="E28" s="13" t="s">
        <v>7</v>
      </c>
      <c r="F28" s="103">
        <f xml:space="preserve"> IF($A$3="하",0,IF(MROUND(J25/5,1)&lt;=G25,IF(MROUND(J25/5,1)&gt;=E25,MROUND(J25/5,1),E25),G25))</f>
        <v>0</v>
      </c>
      <c r="G28" s="104">
        <f>IF(MROUND((J25-F28)/4,1)&lt;=G25,IF(MROUND((J25-F28)/4,1)&gt;=E25,MROUND((J25-F28)/4,1),E25),G25)</f>
        <v>5</v>
      </c>
      <c r="H28" s="104">
        <f>IF(MROUND((J25-F28-G28)/3,1)&lt;=G25,IF(MROUND((J25-F28-G28)/3,1)&gt;=E25,MROUND((J25-F28-G28)/3,1),E25),G25)</f>
        <v>5</v>
      </c>
      <c r="I28" s="104">
        <f>IF(MROUND((J25-F28-G28-H28)/2,1)&lt;=G25,IF((J25-F28-G28-H28)/2&gt;=E25,MROUND((J25-F28-G28-H28)/2,1),J25-F28-G28-H28),G25)</f>
        <v>5</v>
      </c>
      <c r="J28" s="105">
        <f>IF((J25-(F28+G28+H28+I28))&gt;0,(J25-(F28+G28+H28+I28)),0)</f>
        <v>5</v>
      </c>
      <c r="K28" s="101">
        <f>SUM(F28:J28)</f>
        <v>20</v>
      </c>
      <c r="L28" s="88" t="s">
        <v>30</v>
      </c>
      <c r="M28" s="89">
        <f>M27+M24</f>
        <v>120</v>
      </c>
      <c r="N28" s="90">
        <f>ROUNDDOWN((M24-C24+C28+K28)*$N$4,0)</f>
        <v>1</v>
      </c>
      <c r="O28" s="90">
        <f>ROUNDDOWN((M24+K28-+C28)*$O$4,0)</f>
        <v>8</v>
      </c>
    </row>
    <row r="29" spans="1:15" ht="18" customHeight="1" thickTop="1" thickBot="1" x14ac:dyDescent="0.3">
      <c r="A29" s="193">
        <f ca="1">IF($M32&lt;IF($A$3="하",$S$8,$S$6),0,IF($M32&gt;IF($A$3="하",$S$7,$S$5),"",MAX(A25+1)))</f>
        <v>0</v>
      </c>
      <c r="B29" s="141" t="str">
        <f>IF(O30-C28&lt;$A$1," ","MAX to "&amp;MROUND(IF(IF(O30-C28&gt;$A$1,$A$1,O30-C28)&lt;2,I25,I25*(37-IF(O30-C28&gt;$A$1,$A$1,O30-C28))/36),D32))</f>
        <v>MAX to 185</v>
      </c>
      <c r="C29" s="90" t="str">
        <f>IF(O30&lt;=C28,"X",IF(N30&gt;C28,"must ME","can ME"))</f>
        <v>must ME</v>
      </c>
      <c r="D29" s="75" t="s">
        <v>31</v>
      </c>
      <c r="E29" s="23">
        <v>4</v>
      </c>
      <c r="F29" s="2">
        <v>1</v>
      </c>
      <c r="G29" s="23">
        <f>IF(F30&gt;=90%,2,IF(F30&gt;=80%,4,IF(F30&gt;=70%,6,6)))</f>
        <v>6</v>
      </c>
      <c r="H29" s="3" t="s">
        <v>2</v>
      </c>
      <c r="I29" s="91">
        <f>K30/(100%-IF($A$3="하",$P$8,$P$6)*K32)/K32</f>
        <v>207.75623268698064</v>
      </c>
      <c r="J29" s="92">
        <f>IF("하"=$A$3,$Q$7,$Q$5)</f>
        <v>20</v>
      </c>
      <c r="K29" s="107" t="s">
        <v>33</v>
      </c>
      <c r="L29" s="75" t="s">
        <v>25</v>
      </c>
      <c r="M29" s="76">
        <f>K30</f>
        <v>3000</v>
      </c>
      <c r="N29" s="93" t="s">
        <v>34</v>
      </c>
      <c r="O29" s="93" t="s">
        <v>35</v>
      </c>
    </row>
    <row r="30" spans="1:15" ht="18" customHeight="1" thickTop="1" thickBot="1" x14ac:dyDescent="0.3">
      <c r="A30" s="194"/>
      <c r="B30" s="143"/>
      <c r="C30" s="142" t="str">
        <f>IF(B32="","",IF(B30*36/(37-B32)=0,"",B30*36/(37-B32)))</f>
        <v/>
      </c>
      <c r="D30" s="109" t="str">
        <f>D26</f>
        <v>역HBSQ</v>
      </c>
      <c r="E30" s="18">
        <f>IF(C30="",I25,C30)</f>
        <v>207.75623268698064</v>
      </c>
      <c r="F30" s="94">
        <f>100%-J29*IF($A$3="하",$P$8,$P$6)</f>
        <v>0.72199999999999998</v>
      </c>
      <c r="G30" s="7">
        <f t="shared" ref="G30:I31" si="8">F30</f>
        <v>0.72199999999999998</v>
      </c>
      <c r="H30" s="7">
        <f t="shared" si="8"/>
        <v>0.72199999999999998</v>
      </c>
      <c r="I30" s="7">
        <f t="shared" si="8"/>
        <v>0.72199999999999998</v>
      </c>
      <c r="J30" s="8">
        <f>I30</f>
        <v>0.72199999999999998</v>
      </c>
      <c r="K30" s="95">
        <f>F31*F32+G31*G32+H31*H32+I31*I32+J31*J32</f>
        <v>3000</v>
      </c>
      <c r="L30" s="86" t="s">
        <v>27</v>
      </c>
      <c r="M30" s="81">
        <f>M29+M26</f>
        <v>21000</v>
      </c>
      <c r="N30" s="90">
        <f>ROUNDDOWN(M28*$N$4,0)</f>
        <v>1</v>
      </c>
      <c r="O30" s="90">
        <f>ROUNDDOWN(M28*$O$4,0)</f>
        <v>8</v>
      </c>
    </row>
    <row r="31" spans="1:15" ht="18" customHeight="1" thickTop="1" thickBot="1" x14ac:dyDescent="0.3">
      <c r="A31" s="194"/>
      <c r="B31" s="141" t="str">
        <f>IF(O30-C28&lt;$A$1," ","1~ "&amp;IF(O30-C28&gt;$A$1,$A$1,O30-C28)&amp;" rep")</f>
        <v>1~ 5 rep</v>
      </c>
      <c r="C31" s="97" t="s">
        <v>37</v>
      </c>
      <c r="D31" s="98" t="s">
        <v>5</v>
      </c>
      <c r="E31" s="5" t="s">
        <v>3</v>
      </c>
      <c r="F31" s="18">
        <f>MROUND(F30*E30,D32)</f>
        <v>150</v>
      </c>
      <c r="G31" s="18">
        <f t="shared" si="8"/>
        <v>150</v>
      </c>
      <c r="H31" s="18">
        <f t="shared" si="8"/>
        <v>150</v>
      </c>
      <c r="I31" s="18">
        <f t="shared" si="8"/>
        <v>150</v>
      </c>
      <c r="J31" s="19">
        <f>I31</f>
        <v>150</v>
      </c>
      <c r="K31" s="74" t="s">
        <v>10</v>
      </c>
      <c r="L31" s="86" t="s">
        <v>28</v>
      </c>
      <c r="M31" s="87">
        <f>K32</f>
        <v>20</v>
      </c>
      <c r="N31" s="93" t="s">
        <v>34</v>
      </c>
      <c r="O31" s="93" t="s">
        <v>35</v>
      </c>
    </row>
    <row r="32" spans="1:15" ht="18" customHeight="1" thickTop="1" thickBot="1" x14ac:dyDescent="0.3">
      <c r="A32" s="195"/>
      <c r="B32" s="144"/>
      <c r="C32" s="90">
        <f>IF(B30="",C28,IF(C30&lt;=0,C28,C28+B32))</f>
        <v>0</v>
      </c>
      <c r="D32" s="100">
        <f>D28</f>
        <v>2.5</v>
      </c>
      <c r="E32" s="13" t="s">
        <v>7</v>
      </c>
      <c r="F32" s="103">
        <f xml:space="preserve"> IF($A$3="하",0,IF(MROUND(J29/5,1)&lt;=G29,IF(MROUND(J29/5,1)&gt;=E29,MROUND(J29/5,1),E29),G29))</f>
        <v>0</v>
      </c>
      <c r="G32" s="104">
        <f>IF(MROUND((J29-F32)/4,1)&lt;=G29,IF(MROUND((J29-F32)/4,1)&gt;=E29,MROUND((J29-F32)/4,1),E29),G29)</f>
        <v>5</v>
      </c>
      <c r="H32" s="104">
        <f>IF(MROUND((J29-F32-G32)/3,1)&lt;=G29,IF(MROUND((J29-F32-G32)/3,1)&gt;=E29,MROUND((J29-F32-G32)/3,1),E29),G29)</f>
        <v>5</v>
      </c>
      <c r="I32" s="104">
        <f>IF(MROUND((J29-F32-G32-H32)/2,1)&lt;=G29,IF((J29-F32-G32-H32)/2&gt;=E29,MROUND((J29-F32-G32-H32)/2,1),J29-F32-G32-H32),G29)</f>
        <v>5</v>
      </c>
      <c r="J32" s="105">
        <f>IF((J29-(F32+G32+H32+I32))&gt;0,(J29-(F32+G32+H32+I32)),0)</f>
        <v>5</v>
      </c>
      <c r="K32" s="101">
        <f>SUM(F32:J32)</f>
        <v>20</v>
      </c>
      <c r="L32" s="88" t="s">
        <v>30</v>
      </c>
      <c r="M32" s="89">
        <f>M31+M28</f>
        <v>140</v>
      </c>
      <c r="N32" s="90">
        <f>ROUNDDOWN((M28-C28+C32+K32)*$N$4,0)</f>
        <v>1</v>
      </c>
      <c r="O32" s="90">
        <f>ROUNDDOWN((M28+K32-+C32)*$O$4,0)</f>
        <v>9</v>
      </c>
    </row>
    <row r="33" spans="1:15" ht="18" customHeight="1" thickTop="1" thickBot="1" x14ac:dyDescent="0.3">
      <c r="A33" s="193">
        <f ca="1">IF($M36&lt;IF($A$3="하",$S$8,$S$6),0,IF($M36&gt;IF($A$3="하",$S$7,$S$5),"",MAX(A29+1)))</f>
        <v>0</v>
      </c>
      <c r="B33" s="141" t="str">
        <f>IF(O34-C32&lt;$A$1," ","MAX to "&amp;MROUND(IF(IF(O34-C32&gt;$A$1,$A$1,O34-C32)&lt;2,I29,I29*(37-IF(O34-C32&gt;$A$1,$A$1,O34-C32))/36),D36))</f>
        <v>MAX to 185</v>
      </c>
      <c r="C33" s="90" t="str">
        <f>IF(O34&lt;=C32,"X",IF(N34&gt;C32,"must ME","can ME"))</f>
        <v>must ME</v>
      </c>
      <c r="D33" s="75" t="s">
        <v>31</v>
      </c>
      <c r="E33" s="23">
        <v>4</v>
      </c>
      <c r="F33" s="2">
        <v>1</v>
      </c>
      <c r="G33" s="23">
        <f>IF(F34&gt;=90%,2,IF(F34&gt;=80%,4,IF(F34&gt;=70%,6,6)))</f>
        <v>6</v>
      </c>
      <c r="H33" s="3" t="s">
        <v>2</v>
      </c>
      <c r="I33" s="91">
        <f>K34/(100%-IF($A$3="하",$P$8,$P$6)*K36)/K36</f>
        <v>207.75623268698064</v>
      </c>
      <c r="J33" s="92">
        <f>IF("하"=$A$3,$Q$7,$Q$5)</f>
        <v>20</v>
      </c>
      <c r="K33" s="107" t="s">
        <v>33</v>
      </c>
      <c r="L33" s="75" t="s">
        <v>25</v>
      </c>
      <c r="M33" s="76">
        <f>K34</f>
        <v>3000</v>
      </c>
      <c r="N33" s="93" t="s">
        <v>34</v>
      </c>
      <c r="O33" s="93" t="s">
        <v>35</v>
      </c>
    </row>
    <row r="34" spans="1:15" ht="18" customHeight="1" thickTop="1" thickBot="1" x14ac:dyDescent="0.3">
      <c r="A34" s="194"/>
      <c r="B34" s="143"/>
      <c r="C34" s="142" t="str">
        <f>IF(B36="","",IF(B34*36/(37-B36)=0,"",B34*36/(37-B36)))</f>
        <v/>
      </c>
      <c r="D34" s="109" t="str">
        <f>D30</f>
        <v>역HBSQ</v>
      </c>
      <c r="E34" s="18">
        <f>IF(C34="",I29,C34)</f>
        <v>207.75623268698064</v>
      </c>
      <c r="F34" s="94">
        <f>100%-J33*IF($A$3="하",$P$8,$P$6)</f>
        <v>0.72199999999999998</v>
      </c>
      <c r="G34" s="7">
        <f t="shared" ref="G34:I35" si="9">F34</f>
        <v>0.72199999999999998</v>
      </c>
      <c r="H34" s="7">
        <f t="shared" si="9"/>
        <v>0.72199999999999998</v>
      </c>
      <c r="I34" s="7">
        <f t="shared" si="9"/>
        <v>0.72199999999999998</v>
      </c>
      <c r="J34" s="8">
        <f>I34</f>
        <v>0.72199999999999998</v>
      </c>
      <c r="K34" s="95">
        <f>F35*F36+G35*G36+H35*H36+I35*I36+J35*J36</f>
        <v>3000</v>
      </c>
      <c r="L34" s="86" t="s">
        <v>27</v>
      </c>
      <c r="M34" s="81">
        <f>M33+M30</f>
        <v>24000</v>
      </c>
      <c r="N34" s="90">
        <f>ROUNDDOWN(M32*$N$4,0)</f>
        <v>1</v>
      </c>
      <c r="O34" s="90">
        <f>ROUNDDOWN(M32*$O$4,0)</f>
        <v>9</v>
      </c>
    </row>
    <row r="35" spans="1:15" ht="18" customHeight="1" thickTop="1" thickBot="1" x14ac:dyDescent="0.3">
      <c r="A35" s="194"/>
      <c r="B35" s="141" t="str">
        <f>IF(O34-C32&lt;$A$1," ","1~ "&amp;IF(O34-C32&gt;$A$1,$A$1,O34-C32)&amp;" rep")</f>
        <v>1~ 5 rep</v>
      </c>
      <c r="C35" s="97" t="s">
        <v>37</v>
      </c>
      <c r="D35" s="98" t="s">
        <v>5</v>
      </c>
      <c r="E35" s="5" t="s">
        <v>3</v>
      </c>
      <c r="F35" s="18">
        <f>MROUND(F34*E34,D36)</f>
        <v>150</v>
      </c>
      <c r="G35" s="18">
        <f t="shared" si="9"/>
        <v>150</v>
      </c>
      <c r="H35" s="18">
        <f t="shared" si="9"/>
        <v>150</v>
      </c>
      <c r="I35" s="18">
        <f t="shared" si="9"/>
        <v>150</v>
      </c>
      <c r="J35" s="19">
        <f>I35</f>
        <v>150</v>
      </c>
      <c r="K35" s="74" t="s">
        <v>10</v>
      </c>
      <c r="L35" s="86" t="s">
        <v>28</v>
      </c>
      <c r="M35" s="87">
        <f>K36</f>
        <v>20</v>
      </c>
      <c r="N35" s="93" t="s">
        <v>34</v>
      </c>
      <c r="O35" s="93" t="s">
        <v>35</v>
      </c>
    </row>
    <row r="36" spans="1:15" ht="18" customHeight="1" thickTop="1" thickBot="1" x14ac:dyDescent="0.3">
      <c r="A36" s="195"/>
      <c r="B36" s="144"/>
      <c r="C36" s="90">
        <f>IF(B34="",C32,IF(C34&lt;=0,C32,C32+B36))</f>
        <v>0</v>
      </c>
      <c r="D36" s="100">
        <f>D32</f>
        <v>2.5</v>
      </c>
      <c r="E36" s="13" t="s">
        <v>7</v>
      </c>
      <c r="F36" s="103">
        <f xml:space="preserve"> IF($A$3="하",0,IF(MROUND(J33/5,1)&lt;=G33,IF(MROUND(J33/5,1)&gt;=E33,MROUND(J33/5,1),E33),G33))</f>
        <v>0</v>
      </c>
      <c r="G36" s="104">
        <f>IF(MROUND((J33-F36)/4,1)&lt;=G33,IF(MROUND((J33-F36)/4,1)&gt;=E33,MROUND((J33-F36)/4,1),E33),G33)</f>
        <v>5</v>
      </c>
      <c r="H36" s="104">
        <f>IF(MROUND((J33-F36-G36)/3,1)&lt;=G33,IF(MROUND((J33-F36-G36)/3,1)&gt;=E33,MROUND((J33-F36-G36)/3,1),E33),G33)</f>
        <v>5</v>
      </c>
      <c r="I36" s="104">
        <f>IF(MROUND((J33-F36-G36-H36)/2,1)&lt;=G33,IF((J33-F36-G36-H36)/2&gt;=E33,MROUND((J33-F36-G36-H36)/2,1),J33-F36-G36-H36),G33)</f>
        <v>5</v>
      </c>
      <c r="J36" s="105">
        <f>IF((J33-(F36+G36+H36+I36))&gt;0,(J33-(F36+G36+H36+I36)),0)</f>
        <v>5</v>
      </c>
      <c r="K36" s="101">
        <f>SUM(F36:J36)</f>
        <v>20</v>
      </c>
      <c r="L36" s="88" t="s">
        <v>30</v>
      </c>
      <c r="M36" s="89">
        <f>M35+M32</f>
        <v>160</v>
      </c>
      <c r="N36" s="90">
        <f>ROUNDDOWN((M32-C32+C36+K36)*$N$4,0)</f>
        <v>1</v>
      </c>
      <c r="O36" s="90">
        <f>ROUNDDOWN((M32+K36-+C36)*$O$4,0)</f>
        <v>11</v>
      </c>
    </row>
    <row r="37" spans="1:15" ht="18" customHeight="1" thickTop="1" thickBot="1" x14ac:dyDescent="0.3">
      <c r="A37" s="193">
        <f t="shared" ref="A37" ca="1" si="10">IF($M40&lt;IF($A$3="하",$S$8,$S$6),0,IF($M40&gt;IF($A$3="하",$S$7,$S$5),"",MAX(A33+1)))</f>
        <v>0</v>
      </c>
      <c r="B37" s="141" t="str">
        <f>IF(O38-C36&lt;$A$1," ","MAX to "&amp;MROUND(IF(IF(O38-C36&gt;$A$1,$A$1,O38-C36)&lt;2,I33,I33*(37-IF(O38-C36&gt;$A$1,$A$1,O38-C36))/36),D40))</f>
        <v>MAX to 185</v>
      </c>
      <c r="C37" s="90" t="str">
        <f>IF(O38&lt;=C36,"X",IF(N38&gt;C36,"must ME","can ME"))</f>
        <v>must ME</v>
      </c>
      <c r="D37" s="75" t="s">
        <v>31</v>
      </c>
      <c r="E37" s="23">
        <v>4</v>
      </c>
      <c r="F37" s="2">
        <v>1</v>
      </c>
      <c r="G37" s="23">
        <f>IF(F38&gt;=90%,2,IF(F38&gt;=80%,4,IF(F38&gt;=70%,6,6)))</f>
        <v>6</v>
      </c>
      <c r="H37" s="3" t="s">
        <v>2</v>
      </c>
      <c r="I37" s="91">
        <f>K38/(100%-IF($A$3="하",$P$8,$P$6)*K40)/K40</f>
        <v>207.75623268698064</v>
      </c>
      <c r="J37" s="92">
        <f>IF("하"=$A$3,$Q$7,$Q$5)</f>
        <v>20</v>
      </c>
      <c r="K37" s="107" t="s">
        <v>33</v>
      </c>
      <c r="L37" s="75" t="s">
        <v>25</v>
      </c>
      <c r="M37" s="76">
        <f>K38</f>
        <v>3000</v>
      </c>
      <c r="N37" s="93" t="s">
        <v>34</v>
      </c>
      <c r="O37" s="93" t="s">
        <v>35</v>
      </c>
    </row>
    <row r="38" spans="1:15" ht="18" customHeight="1" thickTop="1" thickBot="1" x14ac:dyDescent="0.3">
      <c r="A38" s="194"/>
      <c r="B38" s="143"/>
      <c r="C38" s="142" t="str">
        <f>IF(B40="","",IF(B38*36/(37-B40)=0,"",B38*36/(37-B40)))</f>
        <v/>
      </c>
      <c r="D38" s="109" t="str">
        <f>D34</f>
        <v>역HBSQ</v>
      </c>
      <c r="E38" s="18">
        <f>IF(C38="",I33,C38)</f>
        <v>207.75623268698064</v>
      </c>
      <c r="F38" s="94">
        <f>100%-J37*IF($A$3="하",$P$8,$P$6)</f>
        <v>0.72199999999999998</v>
      </c>
      <c r="G38" s="7">
        <f t="shared" ref="G38:I39" si="11">F38</f>
        <v>0.72199999999999998</v>
      </c>
      <c r="H38" s="7">
        <f t="shared" si="11"/>
        <v>0.72199999999999998</v>
      </c>
      <c r="I38" s="7">
        <f t="shared" si="11"/>
        <v>0.72199999999999998</v>
      </c>
      <c r="J38" s="8">
        <f>I38</f>
        <v>0.72199999999999998</v>
      </c>
      <c r="K38" s="95">
        <f>F39*F40+G39*G40+H39*H40+I39*I40+J39*J40</f>
        <v>3000</v>
      </c>
      <c r="L38" s="86" t="s">
        <v>27</v>
      </c>
      <c r="M38" s="81">
        <f>M37+M34</f>
        <v>27000</v>
      </c>
      <c r="N38" s="90">
        <f>ROUNDDOWN(M36*$N$4,0)</f>
        <v>1</v>
      </c>
      <c r="O38" s="90">
        <f>ROUNDDOWN(M36*$O$4,0)</f>
        <v>11</v>
      </c>
    </row>
    <row r="39" spans="1:15" ht="18" customHeight="1" thickTop="1" thickBot="1" x14ac:dyDescent="0.3">
      <c r="A39" s="194"/>
      <c r="B39" s="141" t="str">
        <f>IF(O38-C36&lt;$A$1," ","1~ "&amp;IF(O38-C36&gt;$A$1,$A$1,O38-C36)&amp;" rep")</f>
        <v>1~ 5 rep</v>
      </c>
      <c r="C39" s="97" t="s">
        <v>37</v>
      </c>
      <c r="D39" s="98" t="s">
        <v>5</v>
      </c>
      <c r="E39" s="5" t="s">
        <v>3</v>
      </c>
      <c r="F39" s="18">
        <f>MROUND(F38*E38,D40)</f>
        <v>150</v>
      </c>
      <c r="G39" s="18">
        <f t="shared" si="11"/>
        <v>150</v>
      </c>
      <c r="H39" s="18">
        <f t="shared" si="11"/>
        <v>150</v>
      </c>
      <c r="I39" s="18">
        <f t="shared" si="11"/>
        <v>150</v>
      </c>
      <c r="J39" s="19">
        <f>I39</f>
        <v>150</v>
      </c>
      <c r="K39" s="74" t="s">
        <v>10</v>
      </c>
      <c r="L39" s="86" t="s">
        <v>28</v>
      </c>
      <c r="M39" s="87">
        <f>K40</f>
        <v>20</v>
      </c>
      <c r="N39" s="93" t="s">
        <v>34</v>
      </c>
      <c r="O39" s="93" t="s">
        <v>35</v>
      </c>
    </row>
    <row r="40" spans="1:15" ht="18" customHeight="1" thickTop="1" thickBot="1" x14ac:dyDescent="0.3">
      <c r="A40" s="195"/>
      <c r="B40" s="144"/>
      <c r="C40" s="90">
        <f>IF(B38="",C36,IF(C38&lt;=0,C36,C36+B40))</f>
        <v>0</v>
      </c>
      <c r="D40" s="100">
        <f>D36</f>
        <v>2.5</v>
      </c>
      <c r="E40" s="13" t="s">
        <v>7</v>
      </c>
      <c r="F40" s="103">
        <f xml:space="preserve"> IF($A$3="하",0,IF(MROUND(J37/5,1)&lt;=G37,IF(MROUND(J37/5,1)&gt;=E37,MROUND(J37/5,1),E37),G37))</f>
        <v>0</v>
      </c>
      <c r="G40" s="104">
        <f>IF(MROUND((J37-F40)/4,1)&lt;=G37,IF(MROUND((J37-F40)/4,1)&gt;=E37,MROUND((J37-F40)/4,1),E37),G37)</f>
        <v>5</v>
      </c>
      <c r="H40" s="104">
        <f>IF(MROUND((J37-F40-G40)/3,1)&lt;=G37,IF(MROUND((J37-F40-G40)/3,1)&gt;=E37,MROUND((J37-F40-G40)/3,1),E37),G37)</f>
        <v>5</v>
      </c>
      <c r="I40" s="104">
        <f>IF(MROUND((J37-F40-G40-H40)/2,1)&lt;=G37,IF((J37-F40-G40-H40)/2&gt;=E37,MROUND((J37-F40-G40-H40)/2,1),J37-F40-G40-H40),G37)</f>
        <v>5</v>
      </c>
      <c r="J40" s="105">
        <f>IF((J37-(F40+G40+H40+I40))&gt;0,(J37-(F40+G40+H40+I40)),0)</f>
        <v>5</v>
      </c>
      <c r="K40" s="101">
        <f>SUM(F40:J40)</f>
        <v>20</v>
      </c>
      <c r="L40" s="88" t="s">
        <v>30</v>
      </c>
      <c r="M40" s="89">
        <f>M39+M36</f>
        <v>180</v>
      </c>
      <c r="N40" s="90">
        <f>ROUNDDOWN((M36-C36+C40+K40)*$N$4,0)</f>
        <v>1</v>
      </c>
      <c r="O40" s="90">
        <f>ROUNDDOWN((M36+K40-+C40)*$O$4,0)</f>
        <v>12</v>
      </c>
    </row>
    <row r="41" spans="1:15" ht="18" customHeight="1" thickTop="1" thickBot="1" x14ac:dyDescent="0.3">
      <c r="A41" s="193">
        <f t="shared" ref="A41" ca="1" si="12">IF($M44&lt;IF($A$3="하",$S$8,$S$6),0,IF($M44&gt;IF($A$3="하",$S$7,$S$5),"",MAX(A37+1)))</f>
        <v>0</v>
      </c>
      <c r="B41" s="141" t="str">
        <f>IF(O42-C40&lt;$A$1," ","MAX to "&amp;MROUND(IF(IF(O42-C40&gt;$A$1,$A$1,O42-C40)&lt;2,I37,I37*(37-IF(O42-C40&gt;$A$1,$A$1,O42-C40))/36),D44))</f>
        <v>MAX to 185</v>
      </c>
      <c r="C41" s="90" t="str">
        <f>IF(O42&lt;=C40,"X",IF(N42&gt;C40,"must ME","can ME"))</f>
        <v>must ME</v>
      </c>
      <c r="D41" s="75" t="s">
        <v>31</v>
      </c>
      <c r="E41" s="23">
        <v>4</v>
      </c>
      <c r="F41" s="2">
        <v>1</v>
      </c>
      <c r="G41" s="23">
        <f>IF(F42&gt;=90%,2,IF(F42&gt;=80%,4,IF(F42&gt;=70%,6,6)))</f>
        <v>6</v>
      </c>
      <c r="H41" s="3" t="s">
        <v>2</v>
      </c>
      <c r="I41" s="91">
        <f>K42/(100%-IF($A$3="하",$P$8,$P$6)*K44)/K44</f>
        <v>207.75623268698064</v>
      </c>
      <c r="J41" s="92">
        <f>IF("하"=$A$3,$Q$7,$Q$5)</f>
        <v>20</v>
      </c>
      <c r="K41" s="107" t="s">
        <v>33</v>
      </c>
      <c r="L41" s="75" t="s">
        <v>25</v>
      </c>
      <c r="M41" s="76">
        <f>K42</f>
        <v>3000</v>
      </c>
      <c r="N41" s="93" t="s">
        <v>34</v>
      </c>
      <c r="O41" s="93" t="s">
        <v>35</v>
      </c>
    </row>
    <row r="42" spans="1:15" ht="18" customHeight="1" thickTop="1" thickBot="1" x14ac:dyDescent="0.3">
      <c r="A42" s="194"/>
      <c r="B42" s="143"/>
      <c r="C42" s="142" t="str">
        <f>IF(B44="","",IF(B42*36/(37-B44)=0,"",B42*36/(37-B44)))</f>
        <v/>
      </c>
      <c r="D42" s="109" t="str">
        <f>D38</f>
        <v>역HBSQ</v>
      </c>
      <c r="E42" s="18">
        <f>IF(C42="",I37,C42)</f>
        <v>207.75623268698064</v>
      </c>
      <c r="F42" s="94">
        <f>100%-J41*IF($A$3="하",$P$8,$P$6)</f>
        <v>0.72199999999999998</v>
      </c>
      <c r="G42" s="7">
        <f t="shared" ref="G42:I43" si="13">F42</f>
        <v>0.72199999999999998</v>
      </c>
      <c r="H42" s="7">
        <f t="shared" si="13"/>
        <v>0.72199999999999998</v>
      </c>
      <c r="I42" s="7">
        <f t="shared" si="13"/>
        <v>0.72199999999999998</v>
      </c>
      <c r="J42" s="8">
        <f>I42</f>
        <v>0.72199999999999998</v>
      </c>
      <c r="K42" s="95">
        <f>F43*F44+G43*G44+H43*H44+I43*I44+J43*J44</f>
        <v>3000</v>
      </c>
      <c r="L42" s="86" t="s">
        <v>27</v>
      </c>
      <c r="M42" s="81">
        <f>M41+M38</f>
        <v>30000</v>
      </c>
      <c r="N42" s="90">
        <f>ROUNDDOWN(M40*$N$4,0)</f>
        <v>1</v>
      </c>
      <c r="O42" s="90">
        <f>ROUNDDOWN(M40*$O$4,0)</f>
        <v>12</v>
      </c>
    </row>
    <row r="43" spans="1:15" ht="18" customHeight="1" thickTop="1" thickBot="1" x14ac:dyDescent="0.3">
      <c r="A43" s="194"/>
      <c r="B43" s="141" t="str">
        <f>IF(O42-C40&lt;$A$1," ","1~ "&amp;IF(O42-C40&gt;$A$1,$A$1,O42-C40)&amp;" rep")</f>
        <v>1~ 5 rep</v>
      </c>
      <c r="C43" s="97" t="s">
        <v>37</v>
      </c>
      <c r="D43" s="98" t="s">
        <v>5</v>
      </c>
      <c r="E43" s="5" t="s">
        <v>3</v>
      </c>
      <c r="F43" s="18">
        <f>MROUND(F42*E42,D44)</f>
        <v>150</v>
      </c>
      <c r="G43" s="18">
        <f t="shared" si="13"/>
        <v>150</v>
      </c>
      <c r="H43" s="18">
        <f t="shared" si="13"/>
        <v>150</v>
      </c>
      <c r="I43" s="18">
        <f t="shared" si="13"/>
        <v>150</v>
      </c>
      <c r="J43" s="19">
        <f>I43</f>
        <v>150</v>
      </c>
      <c r="K43" s="74" t="s">
        <v>10</v>
      </c>
      <c r="L43" s="86" t="s">
        <v>28</v>
      </c>
      <c r="M43" s="87">
        <f>K44</f>
        <v>20</v>
      </c>
      <c r="N43" s="93" t="s">
        <v>34</v>
      </c>
      <c r="O43" s="93" t="s">
        <v>35</v>
      </c>
    </row>
    <row r="44" spans="1:15" ht="18" customHeight="1" thickTop="1" thickBot="1" x14ac:dyDescent="0.3">
      <c r="A44" s="195"/>
      <c r="B44" s="144"/>
      <c r="C44" s="90">
        <f>IF(B42="",C40,IF(C42&lt;=0,C40,C40+B44))</f>
        <v>0</v>
      </c>
      <c r="D44" s="100">
        <f>D40</f>
        <v>2.5</v>
      </c>
      <c r="E44" s="13" t="s">
        <v>7</v>
      </c>
      <c r="F44" s="103">
        <f xml:space="preserve"> IF($A$3="하",0,IF(MROUND(J41/5,1)&lt;=G41,IF(MROUND(J41/5,1)&gt;=E41,MROUND(J41/5,1),E41),G41))</f>
        <v>0</v>
      </c>
      <c r="G44" s="104">
        <f>IF(MROUND((J41-F44)/4,1)&lt;=G41,IF(MROUND((J41-F44)/4,1)&gt;=E41,MROUND((J41-F44)/4,1),E41),G41)</f>
        <v>5</v>
      </c>
      <c r="H44" s="104">
        <f>IF(MROUND((J41-F44-G44)/3,1)&lt;=G41,IF(MROUND((J41-F44-G44)/3,1)&gt;=E41,MROUND((J41-F44-G44)/3,1),E41),G41)</f>
        <v>5</v>
      </c>
      <c r="I44" s="104">
        <f>IF(MROUND((J41-F44-G44-H44)/2,1)&lt;=G41,IF((J41-F44-G44-H44)/2&gt;=E41,MROUND((J41-F44-G44-H44)/2,1),J41-F44-G44-H44),G41)</f>
        <v>5</v>
      </c>
      <c r="J44" s="105">
        <f>IF((J41-(F44+G44+H44+I44))&gt;0,(J41-(F44+G44+H44+I44)),0)</f>
        <v>5</v>
      </c>
      <c r="K44" s="101">
        <f>SUM(F44:J44)</f>
        <v>20</v>
      </c>
      <c r="L44" s="88" t="s">
        <v>30</v>
      </c>
      <c r="M44" s="89">
        <f>M43+M40</f>
        <v>200</v>
      </c>
      <c r="N44" s="90">
        <f>ROUNDDOWN((M40-C40+C44+K44)*$N$4,0)</f>
        <v>2</v>
      </c>
      <c r="O44" s="90">
        <f>ROUNDDOWN((M40+K44-+C44)*$O$4,0)</f>
        <v>14</v>
      </c>
    </row>
    <row r="45" spans="1:15" ht="18" customHeight="1" thickTop="1" thickBot="1" x14ac:dyDescent="0.3">
      <c r="A45" s="193">
        <f t="shared" ref="A45" ca="1" si="14">IF($M48&lt;IF($A$3="하",$S$8,$S$6),0,IF($M48&gt;IF($A$3="하",$S$7,$S$5),"",MAX(A41+1)))</f>
        <v>0</v>
      </c>
      <c r="B45" s="141" t="str">
        <f>IF(O46-C44&lt;$A$1," ","MAX to "&amp;MROUND(IF(IF(O46-C44&gt;$A$1,$A$1,O46-C44)&lt;2,I41,I41*(37-IF(O46-C44&gt;$A$1,$A$1,O46-C44))/36),D48))</f>
        <v>MAX to 185</v>
      </c>
      <c r="C45" s="90" t="str">
        <f>IF(O46&lt;=C44,"X",IF(N46&gt;C44,"must ME","can ME"))</f>
        <v>must ME</v>
      </c>
      <c r="D45" s="75" t="s">
        <v>31</v>
      </c>
      <c r="E45" s="23">
        <v>4</v>
      </c>
      <c r="F45" s="2">
        <v>1</v>
      </c>
      <c r="G45" s="23">
        <f>IF(F46&gt;=90%,2,IF(F46&gt;=80%,4,IF(F46&gt;=70%,6,6)))</f>
        <v>6</v>
      </c>
      <c r="H45" s="3" t="s">
        <v>2</v>
      </c>
      <c r="I45" s="91">
        <f>K46/(100%-IF($A$3="하",$P$8,$P$6)*K48)/K48</f>
        <v>207.75623268698064</v>
      </c>
      <c r="J45" s="92">
        <f>IF("하"=$A$3,$Q$7,$Q$5)</f>
        <v>20</v>
      </c>
      <c r="K45" s="107" t="s">
        <v>33</v>
      </c>
      <c r="L45" s="75" t="s">
        <v>25</v>
      </c>
      <c r="M45" s="76">
        <f>K46</f>
        <v>3000</v>
      </c>
      <c r="N45" s="93" t="s">
        <v>34</v>
      </c>
      <c r="O45" s="93" t="s">
        <v>35</v>
      </c>
    </row>
    <row r="46" spans="1:15" ht="18" customHeight="1" thickTop="1" thickBot="1" x14ac:dyDescent="0.3">
      <c r="A46" s="194"/>
      <c r="B46" s="143"/>
      <c r="C46" s="142" t="str">
        <f>IF(B48="","",IF(B46*36/(37-B48)=0,"",B46*36/(37-B48)))</f>
        <v/>
      </c>
      <c r="D46" s="109" t="str">
        <f>D42</f>
        <v>역HBSQ</v>
      </c>
      <c r="E46" s="18">
        <f>IF(C46="",I41,C46)</f>
        <v>207.75623268698064</v>
      </c>
      <c r="F46" s="94">
        <f>100%-J45*IF($A$3="하",$P$8,$P$6)</f>
        <v>0.72199999999999998</v>
      </c>
      <c r="G46" s="7">
        <f t="shared" ref="G46:I47" si="15">F46</f>
        <v>0.72199999999999998</v>
      </c>
      <c r="H46" s="7">
        <f t="shared" si="15"/>
        <v>0.72199999999999998</v>
      </c>
      <c r="I46" s="7">
        <f t="shared" si="15"/>
        <v>0.72199999999999998</v>
      </c>
      <c r="J46" s="8">
        <f>I46</f>
        <v>0.72199999999999998</v>
      </c>
      <c r="K46" s="95">
        <f>F47*F48+G47*G48+H47*H48+I47*I48+J47*J48</f>
        <v>3000</v>
      </c>
      <c r="L46" s="86" t="s">
        <v>27</v>
      </c>
      <c r="M46" s="81">
        <f>M45+M42</f>
        <v>33000</v>
      </c>
      <c r="N46" s="90">
        <f>ROUNDDOWN(M44*$N$4,0)</f>
        <v>2</v>
      </c>
      <c r="O46" s="90">
        <f>ROUNDDOWN(M44*$O$4,0)</f>
        <v>14</v>
      </c>
    </row>
    <row r="47" spans="1:15" ht="18" customHeight="1" thickTop="1" thickBot="1" x14ac:dyDescent="0.3">
      <c r="A47" s="194"/>
      <c r="B47" s="141" t="str">
        <f>IF(O46-C44&lt;$A$1," ","1~ "&amp;IF(O46-C44&gt;$A$1,$A$1,O46-C44)&amp;" rep")</f>
        <v>1~ 5 rep</v>
      </c>
      <c r="C47" s="97" t="s">
        <v>37</v>
      </c>
      <c r="D47" s="98" t="s">
        <v>5</v>
      </c>
      <c r="E47" s="5" t="s">
        <v>3</v>
      </c>
      <c r="F47" s="18">
        <f>MROUND(F46*E46,D48)</f>
        <v>150</v>
      </c>
      <c r="G47" s="18">
        <f t="shared" si="15"/>
        <v>150</v>
      </c>
      <c r="H47" s="18">
        <f t="shared" si="15"/>
        <v>150</v>
      </c>
      <c r="I47" s="18">
        <f t="shared" si="15"/>
        <v>150</v>
      </c>
      <c r="J47" s="19">
        <f>I47</f>
        <v>150</v>
      </c>
      <c r="K47" s="74" t="s">
        <v>10</v>
      </c>
      <c r="L47" s="86" t="s">
        <v>28</v>
      </c>
      <c r="M47" s="87">
        <f>K48</f>
        <v>20</v>
      </c>
      <c r="N47" s="93" t="s">
        <v>34</v>
      </c>
      <c r="O47" s="93" t="s">
        <v>35</v>
      </c>
    </row>
    <row r="48" spans="1:15" ht="18" customHeight="1" thickTop="1" thickBot="1" x14ac:dyDescent="0.3">
      <c r="A48" s="195"/>
      <c r="B48" s="144"/>
      <c r="C48" s="90">
        <f>IF(B46="",C44,IF(C46&lt;=0,C44,C44+B48))</f>
        <v>0</v>
      </c>
      <c r="D48" s="100">
        <f>D44</f>
        <v>2.5</v>
      </c>
      <c r="E48" s="13" t="s">
        <v>7</v>
      </c>
      <c r="F48" s="103">
        <f xml:space="preserve"> IF($A$3="하",0,IF(MROUND(J45/5,1)&lt;=G45,IF(MROUND(J45/5,1)&gt;=E45,MROUND(J45/5,1),E45),G45))</f>
        <v>0</v>
      </c>
      <c r="G48" s="104">
        <f>IF(MROUND((J45-F48)/4,1)&lt;=G45,IF(MROUND((J45-F48)/4,1)&gt;=E45,MROUND((J45-F48)/4,1),E45),G45)</f>
        <v>5</v>
      </c>
      <c r="H48" s="104">
        <f>IF(MROUND((J45-F48-G48)/3,1)&lt;=G45,IF(MROUND((J45-F48-G48)/3,1)&gt;=E45,MROUND((J45-F48-G48)/3,1),E45),G45)</f>
        <v>5</v>
      </c>
      <c r="I48" s="104">
        <f>IF(MROUND((J45-F48-G48-H48)/2,1)&lt;=G45,IF((J45-F48-G48-H48)/2&gt;=E45,MROUND((J45-F48-G48-H48)/2,1),J45-F48-G48-H48),G45)</f>
        <v>5</v>
      </c>
      <c r="J48" s="105">
        <f>IF((J45-(F48+G48+H48+I48))&gt;0,(J45-(F48+G48+H48+I48)),0)</f>
        <v>5</v>
      </c>
      <c r="K48" s="101">
        <f>SUM(F48:J48)</f>
        <v>20</v>
      </c>
      <c r="L48" s="88" t="s">
        <v>30</v>
      </c>
      <c r="M48" s="89">
        <f>M47+M44</f>
        <v>220</v>
      </c>
      <c r="N48" s="90">
        <f>ROUNDDOWN((M44-C44+C48+K48)*$N$4,0)</f>
        <v>2</v>
      </c>
      <c r="O48" s="90">
        <f>ROUNDDOWN((M44+K48-+C48)*$O$4,0)</f>
        <v>15</v>
      </c>
    </row>
    <row r="49" spans="1:15" ht="18" customHeight="1" thickTop="1" thickBot="1" x14ac:dyDescent="0.3">
      <c r="A49" s="193">
        <f ca="1">IF($M52&lt;IF($A$3="하",$S$8,$S$6),0,IF($M52&gt;IF($A$3="하",$S$7,$S$5),"",MAX(A45+1)))</f>
        <v>0</v>
      </c>
      <c r="B49" s="141" t="str">
        <f>IF(O50-C48&lt;$A$1," ","MAX to "&amp;MROUND(IF(IF(O50-C48&gt;$A$1,$A$1,O50-C48)&lt;2,I45,I45*(37-IF(O50-C48&gt;$A$1,$A$1,O50-C48))/36),D52))</f>
        <v>MAX to 185</v>
      </c>
      <c r="C49" s="90" t="str">
        <f>IF(O50&lt;=C48,"X",IF(N50&gt;C48,"must ME","can ME"))</f>
        <v>must ME</v>
      </c>
      <c r="D49" s="75" t="s">
        <v>31</v>
      </c>
      <c r="E49" s="23">
        <v>4</v>
      </c>
      <c r="F49" s="2">
        <v>1</v>
      </c>
      <c r="G49" s="23">
        <f>IF(F50&gt;=90%,2,IF(F50&gt;=80%,4,IF(F50&gt;=70%,6,6)))</f>
        <v>6</v>
      </c>
      <c r="H49" s="3" t="s">
        <v>2</v>
      </c>
      <c r="I49" s="91">
        <f>K50/(100%-IF($A$3="하",$P$8,$P$6)*K52)/K52</f>
        <v>207.75623268698064</v>
      </c>
      <c r="J49" s="92">
        <f>IF("하"=$A$3,$Q$7,$Q$5)</f>
        <v>20</v>
      </c>
      <c r="K49" s="107" t="s">
        <v>33</v>
      </c>
      <c r="L49" s="75" t="s">
        <v>25</v>
      </c>
      <c r="M49" s="76">
        <f>K50</f>
        <v>3000</v>
      </c>
      <c r="N49" s="93" t="s">
        <v>34</v>
      </c>
      <c r="O49" s="93" t="s">
        <v>35</v>
      </c>
    </row>
    <row r="50" spans="1:15" ht="18" customHeight="1" thickTop="1" thickBot="1" x14ac:dyDescent="0.3">
      <c r="A50" s="194"/>
      <c r="B50" s="143"/>
      <c r="C50" s="142" t="str">
        <f>IF(B52="","",IF(B50*36/(37-B52)=0,"",B50*36/(37-B52)))</f>
        <v/>
      </c>
      <c r="D50" s="109" t="str">
        <f>D46</f>
        <v>역HBSQ</v>
      </c>
      <c r="E50" s="18">
        <f>IF(C50="",I45,C50)</f>
        <v>207.75623268698064</v>
      </c>
      <c r="F50" s="94">
        <f>100%-J49*IF($A$3="하",$P$8,$P$6)</f>
        <v>0.72199999999999998</v>
      </c>
      <c r="G50" s="7">
        <f t="shared" ref="G50:I51" si="16">F50</f>
        <v>0.72199999999999998</v>
      </c>
      <c r="H50" s="7">
        <f t="shared" si="16"/>
        <v>0.72199999999999998</v>
      </c>
      <c r="I50" s="7">
        <f t="shared" si="16"/>
        <v>0.72199999999999998</v>
      </c>
      <c r="J50" s="8">
        <f>I50</f>
        <v>0.72199999999999998</v>
      </c>
      <c r="K50" s="95">
        <f>F51*F52+G51*G52+H51*H52+I51*I52+J51*J52</f>
        <v>3000</v>
      </c>
      <c r="L50" s="86" t="s">
        <v>27</v>
      </c>
      <c r="M50" s="81">
        <f>M49+M46</f>
        <v>36000</v>
      </c>
      <c r="N50" s="90">
        <f>ROUNDDOWN(M48*$N$4,0)</f>
        <v>2</v>
      </c>
      <c r="O50" s="90">
        <f>ROUNDDOWN(M48*$O$4,0)</f>
        <v>15</v>
      </c>
    </row>
    <row r="51" spans="1:15" ht="18" customHeight="1" thickTop="1" thickBot="1" x14ac:dyDescent="0.3">
      <c r="A51" s="194"/>
      <c r="B51" s="141" t="str">
        <f>IF(O50-C48&lt;$A$1," ","1~ "&amp;IF(O50-C48&gt;$A$1,$A$1,O50-C48)&amp;" rep")</f>
        <v>1~ 5 rep</v>
      </c>
      <c r="C51" s="97" t="s">
        <v>37</v>
      </c>
      <c r="D51" s="98" t="s">
        <v>5</v>
      </c>
      <c r="E51" s="5" t="s">
        <v>3</v>
      </c>
      <c r="F51" s="18">
        <f>MROUND(F50*E50,D52)</f>
        <v>150</v>
      </c>
      <c r="G51" s="18">
        <f t="shared" si="16"/>
        <v>150</v>
      </c>
      <c r="H51" s="18">
        <f t="shared" si="16"/>
        <v>150</v>
      </c>
      <c r="I51" s="18">
        <f t="shared" si="16"/>
        <v>150</v>
      </c>
      <c r="J51" s="19">
        <f>I51</f>
        <v>150</v>
      </c>
      <c r="K51" s="74" t="s">
        <v>10</v>
      </c>
      <c r="L51" s="86" t="s">
        <v>28</v>
      </c>
      <c r="M51" s="87">
        <f>K52</f>
        <v>20</v>
      </c>
      <c r="N51" s="93" t="s">
        <v>34</v>
      </c>
      <c r="O51" s="93" t="s">
        <v>35</v>
      </c>
    </row>
    <row r="52" spans="1:15" ht="18" customHeight="1" thickTop="1" thickBot="1" x14ac:dyDescent="0.3">
      <c r="A52" s="195"/>
      <c r="B52" s="144"/>
      <c r="C52" s="90">
        <f>IF(B50="",C48,IF(C50&lt;=0,C48,C48+B52))</f>
        <v>0</v>
      </c>
      <c r="D52" s="100">
        <f>D48</f>
        <v>2.5</v>
      </c>
      <c r="E52" s="13" t="s">
        <v>7</v>
      </c>
      <c r="F52" s="103">
        <f xml:space="preserve"> IF($A$3="하",0,IF(MROUND(J49/5,1)&lt;=G49,IF(MROUND(J49/5,1)&gt;=E49,MROUND(J49/5,1),E49),G49))</f>
        <v>0</v>
      </c>
      <c r="G52" s="104">
        <f>IF(MROUND((J49-F52)/4,1)&lt;=G49,IF(MROUND((J49-F52)/4,1)&gt;=E49,MROUND((J49-F52)/4,1),E49),G49)</f>
        <v>5</v>
      </c>
      <c r="H52" s="104">
        <f>IF(MROUND((J49-F52-G52)/3,1)&lt;=G49,IF(MROUND((J49-F52-G52)/3,1)&gt;=E49,MROUND((J49-F52-G52)/3,1),E49),G49)</f>
        <v>5</v>
      </c>
      <c r="I52" s="104">
        <f>IF(MROUND((J49-F52-G52-H52)/2,1)&lt;=G49,IF((J49-F52-G52-H52)/2&gt;=E49,MROUND((J49-F52-G52-H52)/2,1),J49-F52-G52-H52),G49)</f>
        <v>5</v>
      </c>
      <c r="J52" s="105">
        <f>IF((J49-(F52+G52+H52+I52))&gt;0,(J49-(F52+G52+H52+I52)),0)</f>
        <v>5</v>
      </c>
      <c r="K52" s="101">
        <f>SUM(F52:J52)</f>
        <v>20</v>
      </c>
      <c r="L52" s="88" t="s">
        <v>30</v>
      </c>
      <c r="M52" s="89">
        <f>M51+M48</f>
        <v>240</v>
      </c>
      <c r="N52" s="90">
        <f>ROUNDDOWN((M48-C48+C52+K52)*$N$4,0)</f>
        <v>2</v>
      </c>
      <c r="O52" s="90">
        <f>ROUNDDOWN((M48+K52-+C52)*$O$4,0)</f>
        <v>16</v>
      </c>
    </row>
    <row r="53" spans="1:15" ht="18" customHeight="1" thickTop="1" thickBot="1" x14ac:dyDescent="0.3">
      <c r="A53" s="193">
        <f t="shared" ref="A53" ca="1" si="17">IF($M56&lt;IF($A$3="하",$S$8,$S$6),0,IF($M56&gt;IF($A$3="하",$S$7,$S$5),"",MAX(A49+1)))</f>
        <v>0</v>
      </c>
      <c r="B53" s="141" t="str">
        <f>IF(O54-C52&lt;$A$1," ","MAX to "&amp;MROUND(IF(IF(O54-C52&gt;$A$1,$A$1,O54-C52)&lt;2,I49,I49*(37-IF(O54-C52&gt;$A$1,$A$1,O54-C52))/36),D56))</f>
        <v>MAX to 185</v>
      </c>
      <c r="C53" s="90" t="str">
        <f>IF(O54&lt;=C52,"X",IF(N54&gt;C52,"must ME","can ME"))</f>
        <v>must ME</v>
      </c>
      <c r="D53" s="75" t="s">
        <v>31</v>
      </c>
      <c r="E53" s="23">
        <v>4</v>
      </c>
      <c r="F53" s="2">
        <v>1</v>
      </c>
      <c r="G53" s="23">
        <f>IF(F54&gt;=90%,2,IF(F54&gt;=80%,4,IF(F54&gt;=70%,6,6)))</f>
        <v>6</v>
      </c>
      <c r="H53" s="3" t="s">
        <v>2</v>
      </c>
      <c r="I53" s="91">
        <f>K54/(100%-IF($A$3="하",$P$8,$P$6)*K56)/K56</f>
        <v>207.75623268698064</v>
      </c>
      <c r="J53" s="92">
        <f>IF("하"=$A$3,$Q$7,$Q$5)</f>
        <v>20</v>
      </c>
      <c r="K53" s="107" t="s">
        <v>33</v>
      </c>
      <c r="L53" s="75" t="s">
        <v>25</v>
      </c>
      <c r="M53" s="76">
        <f>K54</f>
        <v>3000</v>
      </c>
      <c r="N53" s="93" t="s">
        <v>34</v>
      </c>
      <c r="O53" s="93" t="s">
        <v>35</v>
      </c>
    </row>
    <row r="54" spans="1:15" ht="18" customHeight="1" thickTop="1" thickBot="1" x14ac:dyDescent="0.3">
      <c r="A54" s="194"/>
      <c r="B54" s="143"/>
      <c r="C54" s="142" t="str">
        <f>IF(B56="","",IF(B54*36/(37-B56)=0,"",B54*36/(37-B56)))</f>
        <v/>
      </c>
      <c r="D54" s="109" t="str">
        <f>D50</f>
        <v>역HBSQ</v>
      </c>
      <c r="E54" s="18">
        <f>IF(C54="",I49,C54)</f>
        <v>207.75623268698064</v>
      </c>
      <c r="F54" s="94">
        <f>100%-J53*IF($A$3="하",$P$8,$P$6)</f>
        <v>0.72199999999999998</v>
      </c>
      <c r="G54" s="7">
        <f t="shared" ref="G54:I55" si="18">F54</f>
        <v>0.72199999999999998</v>
      </c>
      <c r="H54" s="7">
        <f t="shared" si="18"/>
        <v>0.72199999999999998</v>
      </c>
      <c r="I54" s="7">
        <f t="shared" si="18"/>
        <v>0.72199999999999998</v>
      </c>
      <c r="J54" s="8">
        <f>I54</f>
        <v>0.72199999999999998</v>
      </c>
      <c r="K54" s="95">
        <f>F55*F56+G55*G56+H55*H56+I55*I56+J55*J56</f>
        <v>3000</v>
      </c>
      <c r="L54" s="86" t="s">
        <v>27</v>
      </c>
      <c r="M54" s="81">
        <f>M53+M50</f>
        <v>39000</v>
      </c>
      <c r="N54" s="90">
        <f>ROUNDDOWN(M52*$N$4,0)</f>
        <v>2</v>
      </c>
      <c r="O54" s="90">
        <f>ROUNDDOWN(M52*$O$4,0)</f>
        <v>16</v>
      </c>
    </row>
    <row r="55" spans="1:15" ht="18" customHeight="1" thickTop="1" thickBot="1" x14ac:dyDescent="0.3">
      <c r="A55" s="194"/>
      <c r="B55" s="141" t="str">
        <f>IF(O54-C52&lt;$A$1," ","1~ "&amp;IF(O54-C52&gt;$A$1,$A$1,O54-C52)&amp;" rep")</f>
        <v>1~ 5 rep</v>
      </c>
      <c r="C55" s="97" t="s">
        <v>37</v>
      </c>
      <c r="D55" s="98" t="s">
        <v>5</v>
      </c>
      <c r="E55" s="5" t="s">
        <v>3</v>
      </c>
      <c r="F55" s="18">
        <f>MROUND(F54*E54,D56)</f>
        <v>150</v>
      </c>
      <c r="G55" s="18">
        <f t="shared" si="18"/>
        <v>150</v>
      </c>
      <c r="H55" s="18">
        <f t="shared" si="18"/>
        <v>150</v>
      </c>
      <c r="I55" s="18">
        <f t="shared" si="18"/>
        <v>150</v>
      </c>
      <c r="J55" s="19">
        <f>I55</f>
        <v>150</v>
      </c>
      <c r="K55" s="74" t="s">
        <v>10</v>
      </c>
      <c r="L55" s="86" t="s">
        <v>28</v>
      </c>
      <c r="M55" s="87">
        <f>K56</f>
        <v>20</v>
      </c>
      <c r="N55" s="93" t="s">
        <v>34</v>
      </c>
      <c r="O55" s="93" t="s">
        <v>35</v>
      </c>
    </row>
    <row r="56" spans="1:15" ht="18" customHeight="1" thickTop="1" thickBot="1" x14ac:dyDescent="0.3">
      <c r="A56" s="195"/>
      <c r="B56" s="144"/>
      <c r="C56" s="90">
        <f>IF(B54="",C52,IF(C54&lt;=0,C52,C52+B56))</f>
        <v>0</v>
      </c>
      <c r="D56" s="100">
        <f>D52</f>
        <v>2.5</v>
      </c>
      <c r="E56" s="13" t="s">
        <v>7</v>
      </c>
      <c r="F56" s="103">
        <f xml:space="preserve"> IF($A$3="하",0,IF(MROUND(J53/5,1)&lt;=G53,IF(MROUND(J53/5,1)&gt;=E53,MROUND(J53/5,1),E53),G53))</f>
        <v>0</v>
      </c>
      <c r="G56" s="104">
        <f>IF(MROUND((J53-F56)/4,1)&lt;=G53,IF(MROUND((J53-F56)/4,1)&gt;=E53,MROUND((J53-F56)/4,1),E53),G53)</f>
        <v>5</v>
      </c>
      <c r="H56" s="104">
        <f>IF(MROUND((J53-F56-G56)/3,1)&lt;=G53,IF(MROUND((J53-F56-G56)/3,1)&gt;=E53,MROUND((J53-F56-G56)/3,1),E53),G53)</f>
        <v>5</v>
      </c>
      <c r="I56" s="104">
        <f>IF(MROUND((J53-F56-G56-H56)/2,1)&lt;=G53,IF((J53-F56-G56-H56)/2&gt;=E53,MROUND((J53-F56-G56-H56)/2,1),J53-F56-G56-H56),G53)</f>
        <v>5</v>
      </c>
      <c r="J56" s="105">
        <f>IF((J53-(F56+G56+H56+I56))&gt;0,(J53-(F56+G56+H56+I56)),0)</f>
        <v>5</v>
      </c>
      <c r="K56" s="101">
        <f>SUM(F56:J56)</f>
        <v>20</v>
      </c>
      <c r="L56" s="88" t="s">
        <v>30</v>
      </c>
      <c r="M56" s="89">
        <f>M55+M52</f>
        <v>260</v>
      </c>
      <c r="N56" s="90">
        <f>ROUNDDOWN((M52-C52+C56+K56)*$N$4,0)</f>
        <v>2</v>
      </c>
      <c r="O56" s="90">
        <f>ROUNDDOWN((M52+K56-+C56)*$O$4,0)</f>
        <v>18</v>
      </c>
    </row>
    <row r="57" spans="1:15" ht="18" customHeight="1" thickTop="1" thickBot="1" x14ac:dyDescent="0.3">
      <c r="A57" s="193">
        <f t="shared" ref="A57" ca="1" si="19">IF($M60&lt;IF($A$3="하",$S$8,$S$6),0,IF($M60&gt;IF($A$3="하",$S$7,$S$5),"",MAX(A53+1)))</f>
        <v>0</v>
      </c>
      <c r="B57" s="141" t="str">
        <f>IF(O58-C56&lt;$A$1," ","MAX to "&amp;MROUND(IF(IF(O58-C56&gt;$A$1,$A$1,O58-C56)&lt;2,I53,I53*(37-IF(O58-C56&gt;$A$1,$A$1,O58-C56))/36),D60))</f>
        <v>MAX to 185</v>
      </c>
      <c r="C57" s="90" t="str">
        <f>IF(O58&lt;=C56,"X",IF(N58&gt;C56,"must ME","can ME"))</f>
        <v>must ME</v>
      </c>
      <c r="D57" s="75" t="s">
        <v>31</v>
      </c>
      <c r="E57" s="23">
        <v>4</v>
      </c>
      <c r="F57" s="2">
        <v>1</v>
      </c>
      <c r="G57" s="23">
        <f>IF(F58&gt;=90%,2,IF(F58&gt;=80%,4,IF(F58&gt;=70%,6,6)))</f>
        <v>6</v>
      </c>
      <c r="H57" s="3" t="s">
        <v>2</v>
      </c>
      <c r="I57" s="91">
        <f>K58/(100%-IF($A$3="하",$P$8,$P$6)*K60)/K60</f>
        <v>207.75623268698064</v>
      </c>
      <c r="J57" s="92">
        <f>IF("하"=$A$3,$Q$7,$Q$5)</f>
        <v>20</v>
      </c>
      <c r="K57" s="107" t="s">
        <v>33</v>
      </c>
      <c r="L57" s="75" t="s">
        <v>25</v>
      </c>
      <c r="M57" s="76">
        <f>K58</f>
        <v>3000</v>
      </c>
      <c r="N57" s="93" t="s">
        <v>34</v>
      </c>
      <c r="O57" s="93" t="s">
        <v>35</v>
      </c>
    </row>
    <row r="58" spans="1:15" ht="18" customHeight="1" thickTop="1" thickBot="1" x14ac:dyDescent="0.3">
      <c r="A58" s="194"/>
      <c r="B58" s="143"/>
      <c r="C58" s="142" t="str">
        <f>IF(B60="","",IF(B58*36/(37-B60)=0,"",B58*36/(37-B60)))</f>
        <v/>
      </c>
      <c r="D58" s="109" t="str">
        <f>D54</f>
        <v>역HBSQ</v>
      </c>
      <c r="E58" s="18">
        <f>IF(C58="",I53,C58)</f>
        <v>207.75623268698064</v>
      </c>
      <c r="F58" s="94">
        <f>100%-J57*IF($A$3="하",$P$8,$P$6)</f>
        <v>0.72199999999999998</v>
      </c>
      <c r="G58" s="7">
        <f t="shared" ref="G58:I59" si="20">F58</f>
        <v>0.72199999999999998</v>
      </c>
      <c r="H58" s="7">
        <f t="shared" si="20"/>
        <v>0.72199999999999998</v>
      </c>
      <c r="I58" s="7">
        <f t="shared" si="20"/>
        <v>0.72199999999999998</v>
      </c>
      <c r="J58" s="8">
        <f>I58</f>
        <v>0.72199999999999998</v>
      </c>
      <c r="K58" s="95">
        <f>F59*F60+G59*G60+H59*H60+I59*I60+J59*J60</f>
        <v>3000</v>
      </c>
      <c r="L58" s="86" t="s">
        <v>27</v>
      </c>
      <c r="M58" s="81">
        <f>M57+M54</f>
        <v>42000</v>
      </c>
      <c r="N58" s="90">
        <f>ROUNDDOWN(M56*$N$4,0)</f>
        <v>2</v>
      </c>
      <c r="O58" s="90">
        <f>ROUNDDOWN(M56*$O$4,0)</f>
        <v>18</v>
      </c>
    </row>
    <row r="59" spans="1:15" ht="18" customHeight="1" thickTop="1" thickBot="1" x14ac:dyDescent="0.3">
      <c r="A59" s="194"/>
      <c r="B59" s="141" t="str">
        <f>IF(O58-C56&lt;$A$1," ","1~ "&amp;IF(O58-C56&gt;$A$1,$A$1,O58-C56)&amp;" rep")</f>
        <v>1~ 5 rep</v>
      </c>
      <c r="C59" s="97" t="s">
        <v>37</v>
      </c>
      <c r="D59" s="98" t="s">
        <v>5</v>
      </c>
      <c r="E59" s="5" t="s">
        <v>3</v>
      </c>
      <c r="F59" s="18">
        <f>MROUND(F58*E58,D60)</f>
        <v>150</v>
      </c>
      <c r="G59" s="18">
        <f t="shared" si="20"/>
        <v>150</v>
      </c>
      <c r="H59" s="18">
        <f t="shared" si="20"/>
        <v>150</v>
      </c>
      <c r="I59" s="18">
        <f t="shared" si="20"/>
        <v>150</v>
      </c>
      <c r="J59" s="19">
        <f>I59</f>
        <v>150</v>
      </c>
      <c r="K59" s="74" t="s">
        <v>10</v>
      </c>
      <c r="L59" s="86" t="s">
        <v>28</v>
      </c>
      <c r="M59" s="87">
        <f>K60</f>
        <v>20</v>
      </c>
      <c r="N59" s="93" t="s">
        <v>34</v>
      </c>
      <c r="O59" s="93" t="s">
        <v>35</v>
      </c>
    </row>
    <row r="60" spans="1:15" ht="18" customHeight="1" thickTop="1" thickBot="1" x14ac:dyDescent="0.3">
      <c r="A60" s="195"/>
      <c r="B60" s="144"/>
      <c r="C60" s="90">
        <f>IF(B58="",C56,IF(C58&lt;=0,C56,C56+B60))</f>
        <v>0</v>
      </c>
      <c r="D60" s="100">
        <f>D56</f>
        <v>2.5</v>
      </c>
      <c r="E60" s="13" t="s">
        <v>7</v>
      </c>
      <c r="F60" s="103">
        <f xml:space="preserve"> IF($A$3="하",0,IF(MROUND(J57/5,1)&lt;=G57,IF(MROUND(J57/5,1)&gt;=E57,MROUND(J57/5,1),E57),G57))</f>
        <v>0</v>
      </c>
      <c r="G60" s="104">
        <f>IF(MROUND((J57-F60)/4,1)&lt;=G57,IF(MROUND((J57-F60)/4,1)&gt;=E57,MROUND((J57-F60)/4,1),E57),G57)</f>
        <v>5</v>
      </c>
      <c r="H60" s="104">
        <f>IF(MROUND((J57-F60-G60)/3,1)&lt;=G57,IF(MROUND((J57-F60-G60)/3,1)&gt;=E57,MROUND((J57-F60-G60)/3,1),E57),G57)</f>
        <v>5</v>
      </c>
      <c r="I60" s="104">
        <f>IF(MROUND((J57-F60-G60-H60)/2,1)&lt;=G57,IF((J57-F60-G60-H60)/2&gt;=E57,MROUND((J57-F60-G60-H60)/2,1),J57-F60-G60-H60),G57)</f>
        <v>5</v>
      </c>
      <c r="J60" s="105">
        <f>IF((J57-(F60+G60+H60+I60))&gt;0,(J57-(F60+G60+H60+I60)),0)</f>
        <v>5</v>
      </c>
      <c r="K60" s="101">
        <f>SUM(F60:J60)</f>
        <v>20</v>
      </c>
      <c r="L60" s="88" t="s">
        <v>30</v>
      </c>
      <c r="M60" s="89">
        <f>M59+M56</f>
        <v>280</v>
      </c>
      <c r="N60" s="90">
        <f>ROUNDDOWN((M56-C56+C60+K60)*$N$4,0)</f>
        <v>2</v>
      </c>
      <c r="O60" s="90">
        <f>ROUNDDOWN((M56+K60-+C60)*$O$4,0)</f>
        <v>19</v>
      </c>
    </row>
    <row r="61" spans="1:15" ht="18" customHeight="1" thickTop="1" thickBot="1" x14ac:dyDescent="0.3">
      <c r="A61" s="193">
        <f t="shared" ref="A61" ca="1" si="21">IF($M64&lt;IF($A$3="하",$S$8,$S$6),0,IF($M64&gt;IF($A$3="하",$S$7,$S$5),"",MAX(A57+1)))</f>
        <v>0</v>
      </c>
      <c r="B61" s="141" t="str">
        <f>IF(O62-C60&lt;$A$1," ","MAX to "&amp;MROUND(IF(IF(O62-C60&gt;$A$1,$A$1,O62-C60)&lt;2,I57,I57*(37-IF(O62-C60&gt;$A$1,$A$1,O62-C60))/36),D64))</f>
        <v>MAX to 185</v>
      </c>
      <c r="C61" s="90" t="str">
        <f>IF(O62&lt;=C60,"X",IF(N62&gt;C60,"must ME","can ME"))</f>
        <v>must ME</v>
      </c>
      <c r="D61" s="75" t="s">
        <v>31</v>
      </c>
      <c r="E61" s="23">
        <v>4</v>
      </c>
      <c r="F61" s="2">
        <v>1</v>
      </c>
      <c r="G61" s="23">
        <f>IF(F62&gt;=90%,2,IF(F62&gt;=80%,4,IF(F62&gt;=70%,6,6)))</f>
        <v>6</v>
      </c>
      <c r="H61" s="3" t="s">
        <v>2</v>
      </c>
      <c r="I61" s="91">
        <f>K62/(100%-IF($A$3="하",$P$8,$P$6)*K64)/K64</f>
        <v>207.75623268698064</v>
      </c>
      <c r="J61" s="92">
        <f>IF("하"=$A$3,$Q$7,$Q$5)</f>
        <v>20</v>
      </c>
      <c r="K61" s="107" t="s">
        <v>33</v>
      </c>
      <c r="L61" s="75" t="s">
        <v>25</v>
      </c>
      <c r="M61" s="76">
        <f>K62</f>
        <v>3000</v>
      </c>
      <c r="N61" s="93" t="s">
        <v>34</v>
      </c>
      <c r="O61" s="93" t="s">
        <v>35</v>
      </c>
    </row>
    <row r="62" spans="1:15" ht="18" customHeight="1" thickTop="1" thickBot="1" x14ac:dyDescent="0.3">
      <c r="A62" s="194"/>
      <c r="B62" s="143"/>
      <c r="C62" s="142" t="str">
        <f>IF(B64="","",IF(B62*36/(37-B64)=0,"",B62*36/(37-B64)))</f>
        <v/>
      </c>
      <c r="D62" s="109" t="str">
        <f>D58</f>
        <v>역HBSQ</v>
      </c>
      <c r="E62" s="18">
        <f>IF(C62="",I57,C62)</f>
        <v>207.75623268698064</v>
      </c>
      <c r="F62" s="94">
        <f>100%-J61*IF($A$3="하",$P$8,$P$6)</f>
        <v>0.72199999999999998</v>
      </c>
      <c r="G62" s="7">
        <f t="shared" ref="G62:I63" si="22">F62</f>
        <v>0.72199999999999998</v>
      </c>
      <c r="H62" s="7">
        <f t="shared" si="22"/>
        <v>0.72199999999999998</v>
      </c>
      <c r="I62" s="7">
        <f t="shared" si="22"/>
        <v>0.72199999999999998</v>
      </c>
      <c r="J62" s="8">
        <f>I62</f>
        <v>0.72199999999999998</v>
      </c>
      <c r="K62" s="95">
        <f>F63*F64+G63*G64+H63*H64+I63*I64+J63*J64</f>
        <v>3000</v>
      </c>
      <c r="L62" s="86" t="s">
        <v>27</v>
      </c>
      <c r="M62" s="81">
        <f>M61+M58</f>
        <v>45000</v>
      </c>
      <c r="N62" s="90">
        <f>ROUNDDOWN(M60*$N$4,0)</f>
        <v>2</v>
      </c>
      <c r="O62" s="90">
        <f>ROUNDDOWN(M60*$O$4,0)</f>
        <v>19</v>
      </c>
    </row>
    <row r="63" spans="1:15" ht="18" customHeight="1" thickTop="1" thickBot="1" x14ac:dyDescent="0.3">
      <c r="A63" s="194"/>
      <c r="B63" s="141" t="str">
        <f>IF(O62-C60&lt;$A$1," ","1~ "&amp;IF(O62-C60&gt;$A$1,$A$1,O62-C60)&amp;" rep")</f>
        <v>1~ 5 rep</v>
      </c>
      <c r="C63" s="97" t="s">
        <v>37</v>
      </c>
      <c r="D63" s="98" t="s">
        <v>5</v>
      </c>
      <c r="E63" s="5" t="s">
        <v>3</v>
      </c>
      <c r="F63" s="18">
        <f>MROUND(F62*E62,D64)</f>
        <v>150</v>
      </c>
      <c r="G63" s="18">
        <f t="shared" si="22"/>
        <v>150</v>
      </c>
      <c r="H63" s="18">
        <f t="shared" si="22"/>
        <v>150</v>
      </c>
      <c r="I63" s="18">
        <f t="shared" si="22"/>
        <v>150</v>
      </c>
      <c r="J63" s="19">
        <f>I63</f>
        <v>150</v>
      </c>
      <c r="K63" s="74" t="s">
        <v>10</v>
      </c>
      <c r="L63" s="86" t="s">
        <v>28</v>
      </c>
      <c r="M63" s="87">
        <f>K64</f>
        <v>20</v>
      </c>
      <c r="N63" s="93" t="s">
        <v>34</v>
      </c>
      <c r="O63" s="93" t="s">
        <v>35</v>
      </c>
    </row>
    <row r="64" spans="1:15" ht="18" customHeight="1" thickTop="1" thickBot="1" x14ac:dyDescent="0.3">
      <c r="A64" s="195"/>
      <c r="B64" s="144"/>
      <c r="C64" s="90">
        <f>IF(B62="",C60,IF(C62&lt;=0,C60,C60+B64))</f>
        <v>0</v>
      </c>
      <c r="D64" s="100">
        <f>D60</f>
        <v>2.5</v>
      </c>
      <c r="E64" s="13" t="s">
        <v>7</v>
      </c>
      <c r="F64" s="103">
        <f xml:space="preserve"> IF($A$3="하",0,IF(MROUND(J61/5,1)&lt;=G61,IF(MROUND(J61/5,1)&gt;=E61,MROUND(J61/5,1),E61),G61))</f>
        <v>0</v>
      </c>
      <c r="G64" s="104">
        <f>IF(MROUND((J61-F64)/4,1)&lt;=G61,IF(MROUND((J61-F64)/4,1)&gt;=E61,MROUND((J61-F64)/4,1),E61),G61)</f>
        <v>5</v>
      </c>
      <c r="H64" s="104">
        <f>IF(MROUND((J61-F64-G64)/3,1)&lt;=G61,IF(MROUND((J61-F64-G64)/3,1)&gt;=E61,MROUND((J61-F64-G64)/3,1),E61),G61)</f>
        <v>5</v>
      </c>
      <c r="I64" s="104">
        <f>IF(MROUND((J61-F64-G64-H64)/2,1)&lt;=G61,IF((J61-F64-G64-H64)/2&gt;=E61,MROUND((J61-F64-G64-H64)/2,1),J61-F64-G64-H64),G61)</f>
        <v>5</v>
      </c>
      <c r="J64" s="105">
        <f>IF((J61-(F64+G64+H64+I64))&gt;0,(J61-(F64+G64+H64+I64)),0)</f>
        <v>5</v>
      </c>
      <c r="K64" s="101">
        <f>SUM(F64:J64)</f>
        <v>20</v>
      </c>
      <c r="L64" s="88" t="s">
        <v>30</v>
      </c>
      <c r="M64" s="89">
        <f>M63+M60</f>
        <v>300</v>
      </c>
      <c r="N64" s="90">
        <f>ROUNDDOWN((M60-C60+C64+K64)*$N$4,0)</f>
        <v>3</v>
      </c>
      <c r="O64" s="90">
        <f>ROUNDDOWN((M60+K64-+C64)*$O$4,0)</f>
        <v>21</v>
      </c>
    </row>
    <row r="65" ht="17.25" thickTop="1" x14ac:dyDescent="0.25"/>
  </sheetData>
  <mergeCells count="18">
    <mergeCell ref="A61:A64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13:A16"/>
    <mergeCell ref="E1:F1"/>
    <mergeCell ref="G1:H1"/>
    <mergeCell ref="A4:K4"/>
    <mergeCell ref="A5:A8"/>
    <mergeCell ref="A9:A12"/>
  </mergeCells>
  <phoneticPr fontId="1" type="noConversion"/>
  <conditionalFormatting sqref="A5 A9 A13 A17 A21 A25 A29 A33 A37 A41 A45 A49 A53 A57 A61">
    <cfRule type="containsText" dxfId="411" priority="2" operator="containsText" text="0">
      <formula>NOT(ISERROR(SEARCH("0",A5)))</formula>
    </cfRule>
  </conditionalFormatting>
  <conditionalFormatting sqref="C2:C3">
    <cfRule type="cellIs" dxfId="410" priority="61" operator="equal">
      <formula>"ME"</formula>
    </cfRule>
  </conditionalFormatting>
  <conditionalFormatting sqref="C5">
    <cfRule type="containsText" dxfId="409" priority="60" operator="containsText" text="must">
      <formula>NOT(ISERROR(SEARCH("must",C5)))</formula>
    </cfRule>
    <cfRule type="containsText" dxfId="408" priority="59" operator="containsText" text="can">
      <formula>NOT(ISERROR(SEARCH("can",C5)))</formula>
    </cfRule>
  </conditionalFormatting>
  <conditionalFormatting sqref="C6:C8">
    <cfRule type="containsText" dxfId="407" priority="1" operator="containsText" text="ME">
      <formula>NOT(ISERROR(SEARCH("ME",C6)))</formula>
    </cfRule>
  </conditionalFormatting>
  <conditionalFormatting sqref="C9">
    <cfRule type="containsText" dxfId="406" priority="57" operator="containsText" text="must">
      <formula>NOT(ISERROR(SEARCH("must",C9)))</formula>
    </cfRule>
    <cfRule type="containsText" dxfId="405" priority="56" operator="containsText" text="can">
      <formula>NOT(ISERROR(SEARCH("can",C9)))</formula>
    </cfRule>
  </conditionalFormatting>
  <conditionalFormatting sqref="C10:C12">
    <cfRule type="containsText" dxfId="404" priority="55" operator="containsText" text="ME">
      <formula>NOT(ISERROR(SEARCH("ME",C10)))</formula>
    </cfRule>
  </conditionalFormatting>
  <conditionalFormatting sqref="C13">
    <cfRule type="containsText" dxfId="403" priority="53" operator="containsText" text="must">
      <formula>NOT(ISERROR(SEARCH("must",C13)))</formula>
    </cfRule>
    <cfRule type="containsText" dxfId="402" priority="52" operator="containsText" text="can">
      <formula>NOT(ISERROR(SEARCH("can",C13)))</formula>
    </cfRule>
  </conditionalFormatting>
  <conditionalFormatting sqref="C14:C16">
    <cfRule type="containsText" dxfId="401" priority="51" operator="containsText" text="ME">
      <formula>NOT(ISERROR(SEARCH("ME",C14)))</formula>
    </cfRule>
  </conditionalFormatting>
  <conditionalFormatting sqref="C17">
    <cfRule type="containsText" dxfId="400" priority="49" operator="containsText" text="must">
      <formula>NOT(ISERROR(SEARCH("must",C17)))</formula>
    </cfRule>
    <cfRule type="containsText" dxfId="399" priority="48" operator="containsText" text="can">
      <formula>NOT(ISERROR(SEARCH("can",C17)))</formula>
    </cfRule>
  </conditionalFormatting>
  <conditionalFormatting sqref="C18:C20">
    <cfRule type="containsText" dxfId="398" priority="47" operator="containsText" text="ME">
      <formula>NOT(ISERROR(SEARCH("ME",C18)))</formula>
    </cfRule>
  </conditionalFormatting>
  <conditionalFormatting sqref="C21">
    <cfRule type="containsText" dxfId="397" priority="45" operator="containsText" text="must">
      <formula>NOT(ISERROR(SEARCH("must",C21)))</formula>
    </cfRule>
    <cfRule type="containsText" dxfId="396" priority="44" operator="containsText" text="can">
      <formula>NOT(ISERROR(SEARCH("can",C21)))</formula>
    </cfRule>
  </conditionalFormatting>
  <conditionalFormatting sqref="C22:C24">
    <cfRule type="containsText" dxfId="395" priority="43" operator="containsText" text="ME">
      <formula>NOT(ISERROR(SEARCH("ME",C22)))</formula>
    </cfRule>
  </conditionalFormatting>
  <conditionalFormatting sqref="C25">
    <cfRule type="containsText" dxfId="394" priority="41" operator="containsText" text="must">
      <formula>NOT(ISERROR(SEARCH("must",C25)))</formula>
    </cfRule>
    <cfRule type="containsText" dxfId="393" priority="40" operator="containsText" text="can">
      <formula>NOT(ISERROR(SEARCH("can",C25)))</formula>
    </cfRule>
  </conditionalFormatting>
  <conditionalFormatting sqref="C26:C28">
    <cfRule type="containsText" dxfId="392" priority="39" operator="containsText" text="ME">
      <formula>NOT(ISERROR(SEARCH("ME",C26)))</formula>
    </cfRule>
  </conditionalFormatting>
  <conditionalFormatting sqref="C29">
    <cfRule type="containsText" dxfId="391" priority="37" operator="containsText" text="must">
      <formula>NOT(ISERROR(SEARCH("must",C29)))</formula>
    </cfRule>
    <cfRule type="containsText" dxfId="390" priority="36" operator="containsText" text="can">
      <formula>NOT(ISERROR(SEARCH("can",C29)))</formula>
    </cfRule>
  </conditionalFormatting>
  <conditionalFormatting sqref="C30:C32">
    <cfRule type="containsText" dxfId="389" priority="35" operator="containsText" text="ME">
      <formula>NOT(ISERROR(SEARCH("ME",C30)))</formula>
    </cfRule>
  </conditionalFormatting>
  <conditionalFormatting sqref="C33">
    <cfRule type="containsText" dxfId="388" priority="32" operator="containsText" text="can">
      <formula>NOT(ISERROR(SEARCH("can",C33)))</formula>
    </cfRule>
    <cfRule type="containsText" dxfId="387" priority="33" operator="containsText" text="must">
      <formula>NOT(ISERROR(SEARCH("must",C33)))</formula>
    </cfRule>
  </conditionalFormatting>
  <conditionalFormatting sqref="C34:C36">
    <cfRule type="containsText" dxfId="386" priority="31" operator="containsText" text="ME">
      <formula>NOT(ISERROR(SEARCH("ME",C34)))</formula>
    </cfRule>
  </conditionalFormatting>
  <conditionalFormatting sqref="C37">
    <cfRule type="containsText" dxfId="385" priority="28" operator="containsText" text="can">
      <formula>NOT(ISERROR(SEARCH("can",C37)))</formula>
    </cfRule>
    <cfRule type="containsText" dxfId="384" priority="29" operator="containsText" text="must">
      <formula>NOT(ISERROR(SEARCH("must",C37)))</formula>
    </cfRule>
  </conditionalFormatting>
  <conditionalFormatting sqref="C38:C40">
    <cfRule type="containsText" dxfId="383" priority="27" operator="containsText" text="ME">
      <formula>NOT(ISERROR(SEARCH("ME",C38)))</formula>
    </cfRule>
  </conditionalFormatting>
  <conditionalFormatting sqref="C41">
    <cfRule type="containsText" dxfId="382" priority="25" operator="containsText" text="must">
      <formula>NOT(ISERROR(SEARCH("must",C41)))</formula>
    </cfRule>
    <cfRule type="containsText" dxfId="381" priority="24" operator="containsText" text="can">
      <formula>NOT(ISERROR(SEARCH("can",C41)))</formula>
    </cfRule>
  </conditionalFormatting>
  <conditionalFormatting sqref="C42:C44">
    <cfRule type="containsText" dxfId="380" priority="23" operator="containsText" text="ME">
      <formula>NOT(ISERROR(SEARCH("ME",C42)))</formula>
    </cfRule>
  </conditionalFormatting>
  <conditionalFormatting sqref="C45">
    <cfRule type="containsText" dxfId="379" priority="21" operator="containsText" text="must">
      <formula>NOT(ISERROR(SEARCH("must",C45)))</formula>
    </cfRule>
    <cfRule type="containsText" dxfId="378" priority="20" operator="containsText" text="can">
      <formula>NOT(ISERROR(SEARCH("can",C45)))</formula>
    </cfRule>
  </conditionalFormatting>
  <conditionalFormatting sqref="C46:C48">
    <cfRule type="containsText" dxfId="377" priority="19" operator="containsText" text="ME">
      <formula>NOT(ISERROR(SEARCH("ME",C46)))</formula>
    </cfRule>
  </conditionalFormatting>
  <conditionalFormatting sqref="C49">
    <cfRule type="containsText" dxfId="376" priority="16" operator="containsText" text="can">
      <formula>NOT(ISERROR(SEARCH("can",C49)))</formula>
    </cfRule>
    <cfRule type="containsText" dxfId="375" priority="17" operator="containsText" text="must">
      <formula>NOT(ISERROR(SEARCH("must",C49)))</formula>
    </cfRule>
  </conditionalFormatting>
  <conditionalFormatting sqref="C50:C52">
    <cfRule type="containsText" dxfId="374" priority="15" operator="containsText" text="ME">
      <formula>NOT(ISERROR(SEARCH("ME",C50)))</formula>
    </cfRule>
  </conditionalFormatting>
  <conditionalFormatting sqref="C53">
    <cfRule type="containsText" dxfId="373" priority="13" operator="containsText" text="must">
      <formula>NOT(ISERROR(SEARCH("must",C53)))</formula>
    </cfRule>
    <cfRule type="containsText" dxfId="372" priority="12" operator="containsText" text="can">
      <formula>NOT(ISERROR(SEARCH("can",C53)))</formula>
    </cfRule>
  </conditionalFormatting>
  <conditionalFormatting sqref="C54:C56">
    <cfRule type="containsText" dxfId="371" priority="11" operator="containsText" text="ME">
      <formula>NOT(ISERROR(SEARCH("ME",C54)))</formula>
    </cfRule>
  </conditionalFormatting>
  <conditionalFormatting sqref="C57">
    <cfRule type="containsText" dxfId="370" priority="8" operator="containsText" text="can">
      <formula>NOT(ISERROR(SEARCH("can",C57)))</formula>
    </cfRule>
    <cfRule type="containsText" dxfId="369" priority="9" operator="containsText" text="must">
      <formula>NOT(ISERROR(SEARCH("must",C57)))</formula>
    </cfRule>
  </conditionalFormatting>
  <conditionalFormatting sqref="C58:C60">
    <cfRule type="containsText" dxfId="368" priority="7" operator="containsText" text="ME">
      <formula>NOT(ISERROR(SEARCH("ME",C58)))</formula>
    </cfRule>
  </conditionalFormatting>
  <conditionalFormatting sqref="C61">
    <cfRule type="containsText" dxfId="367" priority="4" operator="containsText" text="can">
      <formula>NOT(ISERROR(SEARCH("can",C61)))</formula>
    </cfRule>
    <cfRule type="containsText" dxfId="366" priority="5" operator="containsText" text="must">
      <formula>NOT(ISERROR(SEARCH("must",C61)))</formula>
    </cfRule>
  </conditionalFormatting>
  <conditionalFormatting sqref="C62:C64">
    <cfRule type="containsText" dxfId="365" priority="3" operator="containsText" text="ME">
      <formula>NOT(ISERROR(SEARCH("ME",C62)))</formula>
    </cfRule>
  </conditionalFormatting>
  <conditionalFormatting sqref="J5">
    <cfRule type="cellIs" dxfId="364" priority="62" operator="equal">
      <formula>"ME"</formula>
    </cfRule>
  </conditionalFormatting>
  <conditionalFormatting sqref="J9">
    <cfRule type="cellIs" dxfId="363" priority="58" operator="equal">
      <formula>"ME"</formula>
    </cfRule>
  </conditionalFormatting>
  <conditionalFormatting sqref="J13">
    <cfRule type="cellIs" dxfId="362" priority="54" operator="equal">
      <formula>"ME"</formula>
    </cfRule>
  </conditionalFormatting>
  <conditionalFormatting sqref="J17">
    <cfRule type="cellIs" dxfId="361" priority="50" operator="equal">
      <formula>"ME"</formula>
    </cfRule>
  </conditionalFormatting>
  <conditionalFormatting sqref="J21">
    <cfRule type="cellIs" dxfId="360" priority="46" operator="equal">
      <formula>"ME"</formula>
    </cfRule>
  </conditionalFormatting>
  <conditionalFormatting sqref="J25">
    <cfRule type="cellIs" dxfId="359" priority="42" operator="equal">
      <formula>"ME"</formula>
    </cfRule>
  </conditionalFormatting>
  <conditionalFormatting sqref="J29">
    <cfRule type="cellIs" dxfId="358" priority="38" operator="equal">
      <formula>"ME"</formula>
    </cfRule>
  </conditionalFormatting>
  <conditionalFormatting sqref="J33">
    <cfRule type="cellIs" dxfId="357" priority="34" operator="equal">
      <formula>"ME"</formula>
    </cfRule>
  </conditionalFormatting>
  <conditionalFormatting sqref="J37">
    <cfRule type="cellIs" dxfId="356" priority="30" operator="equal">
      <formula>"ME"</formula>
    </cfRule>
  </conditionalFormatting>
  <conditionalFormatting sqref="J41">
    <cfRule type="cellIs" dxfId="355" priority="26" operator="equal">
      <formula>"ME"</formula>
    </cfRule>
  </conditionalFormatting>
  <conditionalFormatting sqref="J45">
    <cfRule type="cellIs" dxfId="354" priority="22" operator="equal">
      <formula>"ME"</formula>
    </cfRule>
  </conditionalFormatting>
  <conditionalFormatting sqref="J49">
    <cfRule type="cellIs" dxfId="353" priority="18" operator="equal">
      <formula>"ME"</formula>
    </cfRule>
  </conditionalFormatting>
  <conditionalFormatting sqref="J53">
    <cfRule type="cellIs" dxfId="352" priority="14" operator="equal">
      <formula>"ME"</formula>
    </cfRule>
  </conditionalFormatting>
  <conditionalFormatting sqref="J57">
    <cfRule type="cellIs" dxfId="351" priority="10" operator="equal">
      <formula>"ME"</formula>
    </cfRule>
  </conditionalFormatting>
  <conditionalFormatting sqref="J61">
    <cfRule type="cellIs" dxfId="350" priority="6" operator="equal">
      <formula>"ME"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3496-C534-284A-B001-D421C8389ABB}">
  <dimension ref="A1:AH65"/>
  <sheetViews>
    <sheetView zoomScale="85" zoomScaleNormal="85" workbookViewId="0">
      <pane xSplit="1" ySplit="4" topLeftCell="G5" activePane="bottomRight" state="frozen"/>
      <selection pane="bottomLeft" activeCell="A5" sqref="A5"/>
      <selection pane="topRight" activeCell="B1" sqref="B1"/>
      <selection pane="bottomRight" activeCell="F1" sqref="F1:G1"/>
    </sheetView>
  </sheetViews>
  <sheetFormatPr defaultRowHeight="16.5" x14ac:dyDescent="0.25"/>
  <cols>
    <col min="1" max="1" width="10.890625" bestFit="1" customWidth="1"/>
    <col min="2" max="2" width="3.7109375" customWidth="1"/>
    <col min="3" max="3" width="12.87109375" style="140" bestFit="1" customWidth="1"/>
    <col min="4" max="4" width="10.0234375" bestFit="1" customWidth="1"/>
    <col min="5" max="5" width="8.7890625" bestFit="1" customWidth="1"/>
    <col min="6" max="6" width="10.76953125" bestFit="1" customWidth="1"/>
    <col min="7" max="7" width="6.0625" bestFit="1" customWidth="1"/>
    <col min="8" max="8" width="10.76953125" bestFit="1" customWidth="1"/>
    <col min="9" max="11" width="5.4453125" bestFit="1" customWidth="1"/>
    <col min="12" max="12" width="5.07421875" hidden="1" customWidth="1"/>
    <col min="13" max="13" width="3.7109375" bestFit="1" customWidth="1"/>
    <col min="14" max="14" width="13.61328125" style="140" customWidth="1"/>
    <col min="15" max="15" width="10.0234375" bestFit="1" customWidth="1"/>
    <col min="16" max="16" width="8.7890625" bestFit="1" customWidth="1"/>
    <col min="17" max="17" width="5.4453125" bestFit="1" customWidth="1"/>
    <col min="18" max="18" width="6.0625" bestFit="1" customWidth="1"/>
    <col min="19" max="22" width="5.4453125" bestFit="1" customWidth="1"/>
    <col min="23" max="23" width="5.19921875" hidden="1" customWidth="1"/>
    <col min="24" max="24" width="7.55078125" hidden="1" customWidth="1"/>
    <col min="25" max="25" width="6.1875" hidden="1" customWidth="1"/>
    <col min="26" max="27" width="7.42578125" hidden="1" customWidth="1"/>
    <col min="28" max="28" width="6.0625" hidden="1" customWidth="1"/>
    <col min="29" max="29" width="3.21484375" hidden="1" customWidth="1"/>
    <col min="30" max="31" width="4.20703125" hidden="1" customWidth="1"/>
  </cols>
  <sheetData>
    <row r="1" spans="1:34" ht="63" customHeight="1" thickTop="1" thickBot="1" x14ac:dyDescent="0.3">
      <c r="A1" s="139" t="s">
        <v>41</v>
      </c>
      <c r="B1">
        <v>5</v>
      </c>
      <c r="C1" s="202" t="s">
        <v>42</v>
      </c>
      <c r="D1" s="202"/>
      <c r="E1" s="202"/>
      <c r="F1" s="196">
        <v>45640</v>
      </c>
      <c r="G1" s="196"/>
      <c r="H1" s="197">
        <f ca="1">TODAY()</f>
        <v>45838</v>
      </c>
      <c r="I1" s="197"/>
      <c r="X1" s="75" t="s">
        <v>25</v>
      </c>
      <c r="Y1" s="76"/>
      <c r="AG1">
        <f>WEEKNUM(F1)</f>
        <v>50</v>
      </c>
      <c r="AH1">
        <f ca="1">WEEKNUM(H1)</f>
        <v>27</v>
      </c>
    </row>
    <row r="2" spans="1:34" ht="33.75" thickTop="1" thickBot="1" x14ac:dyDescent="0.3">
      <c r="A2" s="124" t="s">
        <v>40</v>
      </c>
      <c r="B2" s="126">
        <f ca="1">A3</f>
        <v>-22</v>
      </c>
      <c r="C2" s="112" t="s">
        <v>36</v>
      </c>
      <c r="D2" s="80" t="s">
        <v>5</v>
      </c>
      <c r="E2" s="78" t="s">
        <v>11</v>
      </c>
      <c r="F2" s="78" t="s">
        <v>12</v>
      </c>
      <c r="G2" s="79" t="s">
        <v>13</v>
      </c>
      <c r="H2" s="80" t="s">
        <v>5</v>
      </c>
      <c r="I2" s="78" t="s">
        <v>11</v>
      </c>
      <c r="J2" s="78" t="s">
        <v>13</v>
      </c>
      <c r="K2" s="110" t="s">
        <v>14</v>
      </c>
      <c r="M2" s="123">
        <f ca="1">B2</f>
        <v>-22</v>
      </c>
      <c r="N2" s="112" t="s">
        <v>38</v>
      </c>
      <c r="O2" s="80" t="s">
        <v>5</v>
      </c>
      <c r="P2" s="78" t="s">
        <v>11</v>
      </c>
      <c r="Q2" s="78" t="s">
        <v>12</v>
      </c>
      <c r="R2" s="79" t="s">
        <v>13</v>
      </c>
      <c r="S2" s="80" t="s">
        <v>5</v>
      </c>
      <c r="T2" s="78" t="s">
        <v>11</v>
      </c>
      <c r="U2" s="78" t="s">
        <v>13</v>
      </c>
      <c r="V2" s="79" t="s">
        <v>14</v>
      </c>
      <c r="X2" s="86" t="s">
        <v>27</v>
      </c>
      <c r="Y2" s="81"/>
    </row>
    <row r="3" spans="1:34" ht="33.75" thickTop="1" thickBot="1" x14ac:dyDescent="0.3">
      <c r="A3" s="125">
        <f ca="1">AH1-AG1+1</f>
        <v>-22</v>
      </c>
      <c r="B3" s="129" t="s">
        <v>16</v>
      </c>
      <c r="C3" s="119">
        <v>200</v>
      </c>
      <c r="D3" s="85">
        <v>2.5</v>
      </c>
      <c r="E3" s="83">
        <v>100</v>
      </c>
      <c r="F3" s="83">
        <v>100</v>
      </c>
      <c r="G3" s="84">
        <f>MROUND(F3-E3*0.85,D3)</f>
        <v>15</v>
      </c>
      <c r="H3" s="85">
        <v>0.1</v>
      </c>
      <c r="I3" s="83">
        <v>100</v>
      </c>
      <c r="J3" s="83">
        <v>25</v>
      </c>
      <c r="K3" s="111">
        <f>MROUND(I3*0.85+J3,H3)</f>
        <v>110</v>
      </c>
      <c r="M3" s="118" t="str">
        <f>B3</f>
        <v>상</v>
      </c>
      <c r="N3" s="119">
        <v>200</v>
      </c>
      <c r="O3" s="85">
        <v>2.5</v>
      </c>
      <c r="P3" s="83">
        <v>100</v>
      </c>
      <c r="Q3" s="83">
        <v>100</v>
      </c>
      <c r="R3" s="84">
        <f>MROUND(Q3-P3*0.85,O3)</f>
        <v>15</v>
      </c>
      <c r="S3" s="85">
        <v>0.1</v>
      </c>
      <c r="T3" s="83">
        <v>100</v>
      </c>
      <c r="U3" s="83">
        <v>25</v>
      </c>
      <c r="V3" s="84">
        <f>MROUND(T3*0.85+U3,S3)</f>
        <v>110</v>
      </c>
      <c r="X3" s="86" t="s">
        <v>28</v>
      </c>
      <c r="Y3" s="87"/>
      <c r="Z3" s="120" t="s">
        <v>34</v>
      </c>
      <c r="AA3" s="93" t="s">
        <v>35</v>
      </c>
    </row>
    <row r="4" spans="1:34" ht="33.75" thickTop="1" thickBot="1" x14ac:dyDescent="0.3">
      <c r="A4" s="145" t="s">
        <v>39</v>
      </c>
      <c r="B4" s="198" t="str">
        <f>B3&amp;" 운동"</f>
        <v>상 운동</v>
      </c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8" t="str">
        <f>M3&amp;" 운동"</f>
        <v>상 운동</v>
      </c>
      <c r="N4" s="203"/>
      <c r="O4" s="199"/>
      <c r="P4" s="199"/>
      <c r="Q4" s="199"/>
      <c r="R4" s="199"/>
      <c r="S4" s="199"/>
      <c r="T4" s="199"/>
      <c r="U4" s="199"/>
      <c r="V4" s="199"/>
      <c r="W4" s="204"/>
      <c r="X4" s="128" t="s">
        <v>30</v>
      </c>
      <c r="Y4" s="115"/>
      <c r="Z4" s="116">
        <v>0.01</v>
      </c>
      <c r="AA4" s="122">
        <v>7.0000000000000007E-2</v>
      </c>
    </row>
    <row r="5" spans="1:34" ht="18" customHeight="1" thickTop="1" thickBot="1" x14ac:dyDescent="0.3">
      <c r="A5" s="194">
        <v>1</v>
      </c>
      <c r="B5" s="193" t="str">
        <f ca="1">IF((L8+Y4)&lt;IF(B$3="하",$AE$8,$AE$6),0,IF((L8+Y4)&gt;IF(B$3="하",$AE$7,$AE$5),"",MAX(B1,M1)+1))</f>
        <v/>
      </c>
      <c r="C5" s="141" t="str">
        <f>IF(AA6-O4&lt;$B$1," ","MAX to "&amp;MROUND(IF(IF(AA6-O4&gt;$B$1,$B$1,AA6-O4)&lt;2,J1,J1*(37-IF(AA6-O4&gt;$B$1,$B$1,AA6-O4))/36),E8))</f>
        <v xml:space="preserve"> </v>
      </c>
      <c r="D5" s="90" t="str">
        <f>IF(AA6&lt;=O4,"X",IF(Z6&gt;O4,"must ME","can ME"))</f>
        <v>X</v>
      </c>
      <c r="E5" s="131" t="s">
        <v>31</v>
      </c>
      <c r="F5" s="132">
        <v>4</v>
      </c>
      <c r="G5" s="133" t="s">
        <v>32</v>
      </c>
      <c r="H5" s="132">
        <f>IF(G6&gt;=90%,2,IF(G6&gt;=80%,4,IF(G6&gt;=70%,6,6)))</f>
        <v>6</v>
      </c>
      <c r="I5" s="134" t="s">
        <v>2</v>
      </c>
      <c r="J5" s="135">
        <f>L6/(100%-IF($B$3="하",$AB$8,$AB$6)*L8)/L8</f>
        <v>200.69204152249139</v>
      </c>
      <c r="K5" s="136">
        <f>IF("하"=$B$3,$AC$7,$AC$5)</f>
        <v>25</v>
      </c>
      <c r="L5" s="137" t="s">
        <v>33</v>
      </c>
      <c r="M5" s="193" t="str">
        <f t="shared" ref="M5" ca="1" si="0">IF($Y8&lt;IF(M$3="하",$AE$8,$AE$6),0,IF($Y8&gt;IF(M$3="하",$AE$7,$AE$5),"",MAX(B5,M1)+1))</f>
        <v/>
      </c>
      <c r="N5" s="141" t="str">
        <f>IF(AA8-D8&lt;$B$1,"","MAX to "&amp;MROUND(IF(IF(AA8-D8&gt;$B$1,$B$1,AA8-D8)&lt;2,N3,N3*(37-IF(AA8-D8&gt;$B$1,$B$1,AA8-D8))/36),P8))</f>
        <v/>
      </c>
      <c r="O5" s="130" t="str">
        <f>IF(AA8&lt;=D8,"X",IF(Z8&gt;D8,"must ME","can ME"))</f>
        <v>can ME</v>
      </c>
      <c r="P5" s="131" t="s">
        <v>31</v>
      </c>
      <c r="Q5" s="132">
        <v>4</v>
      </c>
      <c r="R5" s="133" t="s">
        <v>32</v>
      </c>
      <c r="S5" s="132">
        <v>6</v>
      </c>
      <c r="T5" s="134" t="s">
        <v>2</v>
      </c>
      <c r="U5" s="135">
        <f>W6/(100%-IF($B$3="하",$AB$8,$AB$6)*W8)/W8</f>
        <v>200.69204152249139</v>
      </c>
      <c r="V5" s="136">
        <f>IF("하"=$B$3,$AC$8,$AC$6)</f>
        <v>25</v>
      </c>
      <c r="W5" s="138" t="s">
        <v>33</v>
      </c>
      <c r="X5" s="75" t="s">
        <v>25</v>
      </c>
      <c r="Y5" s="76">
        <f>L6+W6</f>
        <v>7250</v>
      </c>
      <c r="Z5" s="74" t="s">
        <v>34</v>
      </c>
      <c r="AA5" s="74" t="s">
        <v>35</v>
      </c>
      <c r="AB5" s="77" t="s">
        <v>26</v>
      </c>
      <c r="AC5" s="77">
        <v>25</v>
      </c>
      <c r="AD5" s="77">
        <v>300</v>
      </c>
      <c r="AE5" s="77">
        <f ca="1">$B$2*AD5/4</f>
        <v>-1650</v>
      </c>
    </row>
    <row r="6" spans="1:34" ht="18" customHeight="1" thickTop="1" thickBot="1" x14ac:dyDescent="0.3">
      <c r="A6" s="194"/>
      <c r="B6" s="194"/>
      <c r="C6" s="143"/>
      <c r="D6" s="142" t="str">
        <f>IF(C8="","",IF(C6*36/(37-C8)=0,"",C6*36/(37-C8)))</f>
        <v/>
      </c>
      <c r="E6" s="109" t="str">
        <f>C2</f>
        <v>exercise1</v>
      </c>
      <c r="F6" s="18">
        <f>IF(D6="",C3,D6)</f>
        <v>200</v>
      </c>
      <c r="G6" s="94">
        <f>100%-K5*IF($B$3="하",$AB$8,$AB$6)</f>
        <v>0.72249999999999992</v>
      </c>
      <c r="H6" s="7">
        <f t="shared" ref="H6:J7" si="1">G6</f>
        <v>0.72249999999999992</v>
      </c>
      <c r="I6" s="7">
        <f t="shared" si="1"/>
        <v>0.72249999999999992</v>
      </c>
      <c r="J6" s="7">
        <f t="shared" si="1"/>
        <v>0.72249999999999992</v>
      </c>
      <c r="K6" s="8">
        <f>J6</f>
        <v>0.72249999999999992</v>
      </c>
      <c r="L6" s="95">
        <f>G7*G8+H7*H8+I7*I8+J7*J8+K7*K8</f>
        <v>3625</v>
      </c>
      <c r="M6" s="194"/>
      <c r="N6" s="143"/>
      <c r="O6" s="142" t="str">
        <f>IF(N8="","",IF(N6*36/(37-N8)=0,"",N6*36/(37-N8)))</f>
        <v/>
      </c>
      <c r="P6" s="109" t="str">
        <f>N2</f>
        <v>exercise2</v>
      </c>
      <c r="Q6" s="18">
        <f>IF(O6="",N3,O6)</f>
        <v>200</v>
      </c>
      <c r="R6" s="94">
        <f>100%-V5*IF($B$3="하",$AB$8,$AB$6)</f>
        <v>0.72249999999999992</v>
      </c>
      <c r="S6" s="7">
        <f t="shared" ref="S6:V7" si="2">R6</f>
        <v>0.72249999999999992</v>
      </c>
      <c r="T6" s="7">
        <f t="shared" si="2"/>
        <v>0.72249999999999992</v>
      </c>
      <c r="U6" s="7">
        <f t="shared" si="2"/>
        <v>0.72249999999999992</v>
      </c>
      <c r="V6" s="8">
        <f t="shared" si="2"/>
        <v>0.72249999999999992</v>
      </c>
      <c r="W6" s="96">
        <f>R7*R8+S7*S8+T7*T8+U7*U8+V7*V8</f>
        <v>3625</v>
      </c>
      <c r="X6" s="86" t="s">
        <v>27</v>
      </c>
      <c r="Y6" s="81">
        <f>Y5+Y2</f>
        <v>7250</v>
      </c>
      <c r="Z6" s="90">
        <f>ROUNDDOWN(Y4*$Z$4,0)</f>
        <v>0</v>
      </c>
      <c r="AA6" s="90">
        <f>ROUNDDOWN(Y4*$AA$4,0)</f>
        <v>0</v>
      </c>
      <c r="AB6" s="82">
        <v>1.11E-2</v>
      </c>
      <c r="AC6" s="77">
        <v>25</v>
      </c>
      <c r="AD6" s="77">
        <v>200</v>
      </c>
      <c r="AE6" s="77">
        <f ca="1">$B$2*AD6/4</f>
        <v>-1100</v>
      </c>
    </row>
    <row r="7" spans="1:34" ht="18" customHeight="1" thickTop="1" thickBot="1" x14ac:dyDescent="0.3">
      <c r="A7" s="194"/>
      <c r="B7" s="194"/>
      <c r="C7" s="141" t="str">
        <f>IF(AA6-O4&lt;$B$1," ","1~ "&amp;IF(AA6-O4&gt;$B$1,$B$1,AA6-O4)&amp;" rep")</f>
        <v xml:space="preserve"> </v>
      </c>
      <c r="D7" s="97" t="s">
        <v>37</v>
      </c>
      <c r="E7" s="98" t="s">
        <v>5</v>
      </c>
      <c r="F7" s="5" t="s">
        <v>3</v>
      </c>
      <c r="G7" s="18">
        <f>MROUND(G6*F6,E8)</f>
        <v>145</v>
      </c>
      <c r="H7" s="18">
        <f t="shared" si="1"/>
        <v>145</v>
      </c>
      <c r="I7" s="18">
        <f t="shared" si="1"/>
        <v>145</v>
      </c>
      <c r="J7" s="18">
        <f t="shared" si="1"/>
        <v>145</v>
      </c>
      <c r="K7" s="19">
        <f>J7</f>
        <v>145</v>
      </c>
      <c r="L7" s="74" t="s">
        <v>10</v>
      </c>
      <c r="M7" s="194"/>
      <c r="N7" s="141" t="str">
        <f>IF(AA8-D8&lt;$B$1,"","1~"&amp;IF(AA8-D8&gt;$B$1,$B$1,AA8-D8)&amp;" rep")</f>
        <v/>
      </c>
      <c r="O7" s="97" t="s">
        <v>37</v>
      </c>
      <c r="P7" s="86" t="s">
        <v>5</v>
      </c>
      <c r="Q7" s="5" t="s">
        <v>3</v>
      </c>
      <c r="R7" s="18">
        <f>MROUND(R6*Q6,P8)</f>
        <v>145</v>
      </c>
      <c r="S7" s="18">
        <f t="shared" si="2"/>
        <v>145</v>
      </c>
      <c r="T7" s="18">
        <f t="shared" si="2"/>
        <v>145</v>
      </c>
      <c r="U7" s="18">
        <f t="shared" si="2"/>
        <v>145</v>
      </c>
      <c r="V7" s="19">
        <f t="shared" si="2"/>
        <v>145</v>
      </c>
      <c r="W7" s="99" t="s">
        <v>10</v>
      </c>
      <c r="X7" s="86" t="s">
        <v>28</v>
      </c>
      <c r="Y7" s="87">
        <f>L8+W8</f>
        <v>50</v>
      </c>
      <c r="Z7" s="93" t="s">
        <v>34</v>
      </c>
      <c r="AA7" s="93" t="s">
        <v>35</v>
      </c>
      <c r="AB7" s="121" t="s">
        <v>29</v>
      </c>
      <c r="AC7" s="77">
        <v>20</v>
      </c>
      <c r="AD7" s="77">
        <v>240</v>
      </c>
      <c r="AE7" s="77">
        <f ca="1">$B$2*AD7/4</f>
        <v>-1320</v>
      </c>
    </row>
    <row r="8" spans="1:34" ht="18" customHeight="1" thickTop="1" thickBot="1" x14ac:dyDescent="0.3">
      <c r="A8" s="195"/>
      <c r="B8" s="195"/>
      <c r="C8" s="143"/>
      <c r="D8" s="90">
        <f>IF(C6="",O4,IF(D6&lt;=0,O4,O4+C8))</f>
        <v>0</v>
      </c>
      <c r="E8" s="113">
        <v>2.5</v>
      </c>
      <c r="F8" s="13" t="s">
        <v>7</v>
      </c>
      <c r="G8" s="103">
        <f xml:space="preserve"> IF($B$3="하",0,IF(MROUND(K5/5,1)&lt;=H5,IF(MROUND(K5/5,1)&gt;=F5,MROUND(K5/5,1),F5),H5))</f>
        <v>5</v>
      </c>
      <c r="H8" s="104">
        <f>IF(MROUND((K5-G8)/4,1)&lt;=H5,IF(MROUND((K5-G8)/4,1)&gt;=F5,MROUND((K5-G8)/4,1),F5),H5)</f>
        <v>5</v>
      </c>
      <c r="I8" s="104">
        <f>IF(MROUND((K5-G8-H8)/3,1)&lt;=H5,IF(MROUND((K5-G8-H8)/3,1)&gt;=F5,MROUND((K5-G8-H8)/3,1),F5),H5)</f>
        <v>5</v>
      </c>
      <c r="J8" s="104">
        <f>IF(MROUND((K5-G8-H8-I8)/2,1)&lt;=H5,IF((K5-G8-H8-I8)/2&gt;=F5,MROUND((K5-G8-H8-I8)/2,1),K5-G8-H8-I8),H5)</f>
        <v>5</v>
      </c>
      <c r="K8" s="105">
        <f>IF((K5-(G8+H8+I8+J8))&gt;0,(K5-(G8+H8+I8+J8)),0)</f>
        <v>5</v>
      </c>
      <c r="L8" s="101">
        <f>SUM(G8:K8)</f>
        <v>25</v>
      </c>
      <c r="M8" s="195"/>
      <c r="N8" s="143"/>
      <c r="O8" s="90">
        <f>IF(""=N6,D8,IF(O6&lt;=0,D8,D8+N8))</f>
        <v>0</v>
      </c>
      <c r="P8" s="114">
        <f>E8</f>
        <v>2.5</v>
      </c>
      <c r="Q8" s="13" t="s">
        <v>7</v>
      </c>
      <c r="R8" s="103">
        <f xml:space="preserve"> IF($B$3="하",0,IF(MROUND(V5/5,1)&lt;=S5,IF(MROUND(V5/5,1)&gt;=Q5,MROUND(V5/5,1),Q5),S5))</f>
        <v>5</v>
      </c>
      <c r="S8" s="104">
        <f>IF(MROUND((V5-R8)/4,1)&lt;=S5,IF(MROUND((V5-R8)/4,1)&gt;=Q5,MROUND((V5-R8)/4,1),Q5),S5)</f>
        <v>5</v>
      </c>
      <c r="T8" s="104">
        <f>IF(MROUND((V5-R8-S8)/3,1)&lt;=S5,IF(MROUND((V5-R8-S8)/3,1)&gt;=Q5,MROUND((V5-R8-S8)/3,1),Q5),S5)</f>
        <v>5</v>
      </c>
      <c r="U8" s="104">
        <f>IF(MROUND((V5-R8-S8-T8)/2,1)&lt;=S5,IF((V5-R8-S8-T8)/2&gt;=Q5,MROUND((V5-R8-S8-T8)/2,1),V5-R8-S8-T8),S5)</f>
        <v>5</v>
      </c>
      <c r="V8" s="105">
        <f>IF((V5-(R8+S8+T8+U8))&gt;0,(V5-(R8+S8+T8+U8)),0)</f>
        <v>5</v>
      </c>
      <c r="W8" s="106">
        <f>SUM(R8:V8)</f>
        <v>25</v>
      </c>
      <c r="X8" s="88" t="s">
        <v>30</v>
      </c>
      <c r="Y8" s="89">
        <f>Y7+Y4+O8-O4</f>
        <v>50</v>
      </c>
      <c r="Z8" s="90">
        <f>ROUNDDOWN((Y4-O4+D8+L8)*$Z$4,0)</f>
        <v>0</v>
      </c>
      <c r="AA8" s="90">
        <f>ROUNDDOWN((Y4+L8-O4+D8)*$AA$4,0)</f>
        <v>1</v>
      </c>
      <c r="AB8" s="117">
        <v>1.3899999999999999E-2</v>
      </c>
      <c r="AC8" s="77">
        <v>20</v>
      </c>
      <c r="AD8" s="77">
        <v>160</v>
      </c>
      <c r="AE8" s="77">
        <f ca="1">$B$2*AD8/4</f>
        <v>-880</v>
      </c>
    </row>
    <row r="9" spans="1:34" ht="18" customHeight="1" thickTop="1" thickBot="1" x14ac:dyDescent="0.3">
      <c r="A9" s="193">
        <f>A5+1</f>
        <v>2</v>
      </c>
      <c r="B9" s="193" t="str">
        <f t="shared" ref="B9" ca="1" si="3">IF((L12+Y8)&lt;IF(B$3="하",$AE$8,$AE$6),0,IF((L12+Y8)&gt;IF(B$3="하",$AE$7,$AE$5),"",MAX(B5,M5)+1))</f>
        <v/>
      </c>
      <c r="C9" s="141" t="str">
        <f>IF(AA10-O8&lt;$B$1," ","MAX to "&amp;MROUND(IF(IF(AA10-O8&gt;$B$1,$B$1,AA10-O8)&lt;2,J5,J5*(37-IF(AA10-O8&gt;$B$1,$B$1,AA10-O8))/36),E12))</f>
        <v xml:space="preserve"> </v>
      </c>
      <c r="D9" s="90" t="str">
        <f>IF(AA10&lt;=O8,"X",IF(Z10&gt;O8,"must ME","can ME"))</f>
        <v>can ME</v>
      </c>
      <c r="E9" s="75" t="s">
        <v>31</v>
      </c>
      <c r="F9" s="23">
        <v>4</v>
      </c>
      <c r="G9" s="2">
        <v>1</v>
      </c>
      <c r="H9" s="23">
        <f>IF(G10&gt;=90%,2,IF(G10&gt;=80%,4,IF(G10&gt;=70%,6,6)))</f>
        <v>6</v>
      </c>
      <c r="I9" s="3" t="s">
        <v>2</v>
      </c>
      <c r="J9" s="91">
        <f>L10/(100%-IF($B$3="하",$AB$8,$AB$6)*L12)/L12</f>
        <v>200.69204152249139</v>
      </c>
      <c r="K9" s="92">
        <f>IF("하"=$B$3,$AC$7,$AC$5)</f>
        <v>25</v>
      </c>
      <c r="L9" s="107" t="s">
        <v>33</v>
      </c>
      <c r="M9" s="193" t="str">
        <f t="shared" ref="M9" ca="1" si="4">IF($Y12&lt;IF(M$3="하",$AE$8,$AE$6),0,IF($Y12&gt;IF(M$3="하",$AE$7,$AE$5),"",MAX(B9,M5)+1))</f>
        <v/>
      </c>
      <c r="N9" s="141" t="str">
        <f>IF(AA12-D12&lt;$B$1,"","MAX to "&amp;MROUND(IF(IF(AA12-D12&gt;$B$1,$B$1,AA12-D12)&lt;2,U5,U5*(37-IF(AA12-D12&gt;$B$1,$B$1,AA12-D12))/36),P12))</f>
        <v>MAX to 177.5</v>
      </c>
      <c r="O9" s="90" t="str">
        <f>IF(AA12&lt;=D12,"X",IF(Z12&gt;D12,"must ME","can ME"))</f>
        <v>can ME</v>
      </c>
      <c r="P9" s="75" t="s">
        <v>31</v>
      </c>
      <c r="Q9" s="23">
        <v>4</v>
      </c>
      <c r="R9" s="2" t="s">
        <v>32</v>
      </c>
      <c r="S9" s="23">
        <v>6</v>
      </c>
      <c r="T9" s="3" t="s">
        <v>2</v>
      </c>
      <c r="U9" s="91">
        <f>W10/(100%-IF($B$3="하",$AB$8,$AB$6)*W12)/W12</f>
        <v>200.69204152249139</v>
      </c>
      <c r="V9" s="92">
        <f>IF("하"=$B$3,$AC$8,$AC$6)</f>
        <v>25</v>
      </c>
      <c r="W9" s="108" t="s">
        <v>33</v>
      </c>
      <c r="X9" s="75" t="s">
        <v>25</v>
      </c>
      <c r="Y9" s="76">
        <f>L10+W10</f>
        <v>7250</v>
      </c>
      <c r="Z9" s="93" t="s">
        <v>34</v>
      </c>
      <c r="AA9" s="93" t="s">
        <v>35</v>
      </c>
    </row>
    <row r="10" spans="1:34" ht="18" customHeight="1" thickTop="1" thickBot="1" x14ac:dyDescent="0.3">
      <c r="A10" s="194"/>
      <c r="B10" s="194"/>
      <c r="C10" s="143"/>
      <c r="D10" s="142" t="str">
        <f>IF(C12="","",IF(C10*36/(37-C12)=0,"",C10*36/(37-C12)))</f>
        <v/>
      </c>
      <c r="E10" s="109" t="str">
        <f>E6</f>
        <v>exercise1</v>
      </c>
      <c r="F10" s="18">
        <f>IF(D10="",J5,D10)</f>
        <v>200.69204152249139</v>
      </c>
      <c r="G10" s="94">
        <f>100%-K9*IF($B$3="하",$AB$8,$AB$6)</f>
        <v>0.72249999999999992</v>
      </c>
      <c r="H10" s="7">
        <f t="shared" ref="H10:J11" si="5">G10</f>
        <v>0.72249999999999992</v>
      </c>
      <c r="I10" s="7">
        <f t="shared" si="5"/>
        <v>0.72249999999999992</v>
      </c>
      <c r="J10" s="7">
        <f t="shared" si="5"/>
        <v>0.72249999999999992</v>
      </c>
      <c r="K10" s="8">
        <f>J10</f>
        <v>0.72249999999999992</v>
      </c>
      <c r="L10" s="95">
        <f>G11*G12+H11*H12+I11*I12+J11*J12+K11*K12</f>
        <v>3625</v>
      </c>
      <c r="M10" s="194"/>
      <c r="N10" s="143"/>
      <c r="O10" s="142" t="str">
        <f>IF(N12="","",IF(N10*36/(37-N12)=0,"",N10*36/(37-N12)))</f>
        <v/>
      </c>
      <c r="P10" s="109" t="str">
        <f>P6</f>
        <v>exercise2</v>
      </c>
      <c r="Q10" s="18">
        <f>IF(O10="",U5,O10)</f>
        <v>200.69204152249139</v>
      </c>
      <c r="R10" s="94">
        <f>100%-V9*IF($B$3="하",$AB$8,$AB$6)</f>
        <v>0.72249999999999992</v>
      </c>
      <c r="S10" s="7">
        <f t="shared" ref="S10:V11" si="6">R10</f>
        <v>0.72249999999999992</v>
      </c>
      <c r="T10" s="7">
        <f t="shared" si="6"/>
        <v>0.72249999999999992</v>
      </c>
      <c r="U10" s="7">
        <f t="shared" si="6"/>
        <v>0.72249999999999992</v>
      </c>
      <c r="V10" s="8">
        <f t="shared" si="6"/>
        <v>0.72249999999999992</v>
      </c>
      <c r="W10" s="96">
        <f>R11*R12+S11*S12+T11*T12+U11*U12+V11*V12</f>
        <v>3625</v>
      </c>
      <c r="X10" s="86" t="s">
        <v>27</v>
      </c>
      <c r="Y10" s="81">
        <f>Y9+Y6</f>
        <v>14500</v>
      </c>
      <c r="Z10" s="90">
        <f>ROUNDDOWN(Y8*$Z$4,0)</f>
        <v>0</v>
      </c>
      <c r="AA10" s="90">
        <f>ROUNDDOWN(Y8*$AA$4,0)</f>
        <v>3</v>
      </c>
    </row>
    <row r="11" spans="1:34" ht="18" customHeight="1" thickTop="1" thickBot="1" x14ac:dyDescent="0.3">
      <c r="A11" s="194"/>
      <c r="B11" s="194"/>
      <c r="C11" s="141" t="str">
        <f>IF(AA10-O8&lt;$B$1," ","1~ "&amp;IF(AA10-O8&gt;$B$1,$B$1,AA10-O8)&amp;" rep")</f>
        <v xml:space="preserve"> </v>
      </c>
      <c r="D11" s="97" t="s">
        <v>37</v>
      </c>
      <c r="E11" s="98" t="s">
        <v>5</v>
      </c>
      <c r="F11" s="5" t="s">
        <v>3</v>
      </c>
      <c r="G11" s="18">
        <f>MROUND(G10*F10,E12)</f>
        <v>145</v>
      </c>
      <c r="H11" s="18">
        <f t="shared" si="5"/>
        <v>145</v>
      </c>
      <c r="I11" s="18">
        <f t="shared" si="5"/>
        <v>145</v>
      </c>
      <c r="J11" s="18">
        <f t="shared" si="5"/>
        <v>145</v>
      </c>
      <c r="K11" s="19">
        <f>J11</f>
        <v>145</v>
      </c>
      <c r="L11" s="74" t="s">
        <v>10</v>
      </c>
      <c r="M11" s="194"/>
      <c r="N11" s="141" t="str">
        <f>IF(AA12-D12&lt;$B$1,"","1~"&amp;IF(AA12-D12&gt;$B$1,$B$1,AA12-D12)&amp;" rep")</f>
        <v>1~5 rep</v>
      </c>
      <c r="O11" s="97" t="s">
        <v>37</v>
      </c>
      <c r="P11" s="86" t="s">
        <v>5</v>
      </c>
      <c r="Q11" s="5" t="s">
        <v>3</v>
      </c>
      <c r="R11" s="18">
        <f>MROUND(R10*Q10,P12)</f>
        <v>145</v>
      </c>
      <c r="S11" s="18">
        <f t="shared" si="6"/>
        <v>145</v>
      </c>
      <c r="T11" s="18">
        <f t="shared" si="6"/>
        <v>145</v>
      </c>
      <c r="U11" s="18">
        <f t="shared" si="6"/>
        <v>145</v>
      </c>
      <c r="V11" s="19">
        <f t="shared" si="6"/>
        <v>145</v>
      </c>
      <c r="W11" s="99" t="s">
        <v>10</v>
      </c>
      <c r="X11" s="86" t="s">
        <v>28</v>
      </c>
      <c r="Y11" s="87">
        <f>L12+W12</f>
        <v>50</v>
      </c>
      <c r="Z11" s="93" t="s">
        <v>34</v>
      </c>
      <c r="AA11" s="93" t="s">
        <v>35</v>
      </c>
    </row>
    <row r="12" spans="1:34" ht="18" customHeight="1" thickTop="1" thickBot="1" x14ac:dyDescent="0.3">
      <c r="A12" s="195"/>
      <c r="B12" s="195"/>
      <c r="C12" s="144"/>
      <c r="D12" s="90">
        <f>IF(C10="",O8,IF(D10&lt;=0,O8,O8+C12))</f>
        <v>0</v>
      </c>
      <c r="E12" s="100">
        <f>E8</f>
        <v>2.5</v>
      </c>
      <c r="F12" s="13" t="s">
        <v>7</v>
      </c>
      <c r="G12" s="103">
        <f xml:space="preserve"> IF($B$3="하",0,IF(MROUND(K9/5,1)&lt;=H9,IF(MROUND(K9/5,1)&gt;=F9,MROUND(K9/5,1),F9),H9))</f>
        <v>5</v>
      </c>
      <c r="H12" s="104">
        <f>IF(MROUND((K9-G12)/4,1)&lt;=H9,IF(MROUND((K9-G12)/4,1)&gt;=F9,MROUND((K9-G12)/4,1),F9),H9)</f>
        <v>5</v>
      </c>
      <c r="I12" s="104">
        <f>IF(MROUND((K9-G12-H12)/3,1)&lt;=H9,IF(MROUND((K9-G12-H12)/3,1)&gt;=F9,MROUND((K9-G12-H12)/3,1),F9),H9)</f>
        <v>5</v>
      </c>
      <c r="J12" s="104">
        <f>IF(MROUND((K9-G12-H12-I12)/2,1)&lt;=H9,IF((K9-G12-H12-I12)/2&gt;=F9,MROUND((K9-G12-H12-I12)/2,1),K9-G12-H12-I12),H9)</f>
        <v>5</v>
      </c>
      <c r="K12" s="105">
        <f>IF((K9-(G12+H12+I12+J12))&gt;0,(K9-(G12+H12+I12+J12)),0)</f>
        <v>5</v>
      </c>
      <c r="L12" s="101">
        <f>SUM(G12:K12)</f>
        <v>25</v>
      </c>
      <c r="M12" s="195"/>
      <c r="N12" s="144"/>
      <c r="O12" s="90">
        <f>IF(""=N10,D12,IF(O10&lt;=0,D12,D12+N12))</f>
        <v>0</v>
      </c>
      <c r="P12" s="102">
        <f>P8</f>
        <v>2.5</v>
      </c>
      <c r="Q12" s="13" t="s">
        <v>7</v>
      </c>
      <c r="R12" s="103">
        <f xml:space="preserve"> IF($B$3="하",0,IF(MROUND(V9/5,1)&lt;=S9,IF(MROUND(V9/5,1)&gt;=Q9,MROUND(V9/5,1),Q9),S9))</f>
        <v>5</v>
      </c>
      <c r="S12" s="104">
        <f>IF(MROUND((V9-R12)/4,1)&lt;=S9,IF(MROUND((V9-R12)/4,1)&gt;=Q9,MROUND((V9-R12)/4,1),Q9),S9)</f>
        <v>5</v>
      </c>
      <c r="T12" s="104">
        <f>IF(MROUND((V9-R12-S12)/3,1)&lt;=S9,IF(MROUND((V9-R12-S12)/3,1)&gt;=Q9,MROUND((V9-R12-S12)/3,1),Q9),S9)</f>
        <v>5</v>
      </c>
      <c r="U12" s="104">
        <f>IF(MROUND((V9-R12-S12-T12)/2,1)&lt;=S9,IF((V9-R12-S12-T12)/2&gt;=Q9,MROUND((V9-R12-S12-T12)/2,1),V9-R12-S12-T12),S9)</f>
        <v>5</v>
      </c>
      <c r="V12" s="105">
        <f>IF((V9-(R12+S12+T12+U12))&gt;0,(V9-(R12+S12+T12+U12)),0)</f>
        <v>5</v>
      </c>
      <c r="W12" s="106">
        <f>SUM(R12:V12)</f>
        <v>25</v>
      </c>
      <c r="X12" s="88" t="s">
        <v>30</v>
      </c>
      <c r="Y12" s="89">
        <f>Y11+Y8+O12-O8</f>
        <v>100</v>
      </c>
      <c r="Z12" s="90">
        <f>ROUNDDOWN((Y8-O8+D12+L12)*$Z$4,0)</f>
        <v>0</v>
      </c>
      <c r="AA12" s="90">
        <f>ROUNDDOWN((Y8+L12-O8+D12)*$AA$4,0)</f>
        <v>5</v>
      </c>
    </row>
    <row r="13" spans="1:34" ht="18" customHeight="1" thickTop="1" thickBot="1" x14ac:dyDescent="0.3">
      <c r="A13" s="193">
        <f t="shared" ref="A13" si="7">A9+1</f>
        <v>3</v>
      </c>
      <c r="B13" s="193" t="str">
        <f t="shared" ref="B13" ca="1" si="8">IF((L16+Y12)&lt;IF(B$3="하",$AE$8,$AE$6),0,IF((L16+Y12)&gt;IF(B$3="하",$AE$7,$AE$5),"",MAX(B9,M9)+1))</f>
        <v/>
      </c>
      <c r="C13" s="141" t="str">
        <f t="shared" ref="C13" si="9">IF(AA14-O12&lt;$B$1," ","MAX to "&amp;MROUND(IF(IF(AA14-O12&gt;$B$1,$B$1,AA14-O12)&lt;2,J9,J9*(37-IF(AA14-O12&gt;$B$1,$B$1,AA14-O12))/36),E16))</f>
        <v>MAX to 177.5</v>
      </c>
      <c r="D13" s="90" t="str">
        <f t="shared" ref="D13:D40" si="10">IF(AA14&lt;=O12,"X",IF(Z14&gt;O12,"must ME","can ME"))</f>
        <v>must ME</v>
      </c>
      <c r="E13" s="75" t="s">
        <v>31</v>
      </c>
      <c r="F13" s="23">
        <v>4</v>
      </c>
      <c r="G13" s="2">
        <v>1</v>
      </c>
      <c r="H13" s="23">
        <f t="shared" ref="H13:H40" si="11">IF(G14&gt;=90%,2,IF(G14&gt;=80%,4,IF(G14&gt;=70%,6,6)))</f>
        <v>6</v>
      </c>
      <c r="I13" s="3" t="s">
        <v>2</v>
      </c>
      <c r="J13" s="91">
        <f t="shared" ref="J13" si="12">L14/(100%-IF($B$3="하",$AB$8,$AB$6)*L16)/L16</f>
        <v>200.69204152249139</v>
      </c>
      <c r="K13" s="92">
        <f t="shared" ref="K13:K40" si="13">IF("하"=$B$3,$AC$7,$AC$5)</f>
        <v>25</v>
      </c>
      <c r="L13" s="107" t="s">
        <v>33</v>
      </c>
      <c r="M13" s="193" t="str">
        <f t="shared" ref="M13" ca="1" si="14">IF($Y16&lt;IF(M$3="하",$AE$8,$AE$6),0,IF($Y16&gt;IF(M$3="하",$AE$7,$AE$5),"",MAX(B13,M9)+1))</f>
        <v/>
      </c>
      <c r="N13" s="141" t="str">
        <f t="shared" ref="N13" si="15">IF(AA16-D16&lt;$B$1,"","MAX to "&amp;MROUND(IF(IF(AA16-D16&gt;$B$1,$B$1,AA16-D16)&lt;2,U9,U9*(37-IF(AA16-D16&gt;$B$1,$B$1,AA16-D16))/36),P16))</f>
        <v>MAX to 177.5</v>
      </c>
      <c r="O13" s="90" t="str">
        <f t="shared" ref="O13" si="16">IF(AA16&lt;=D16,"X",IF(Z16&gt;D16,"must ME","can ME"))</f>
        <v>must ME</v>
      </c>
      <c r="P13" s="75" t="s">
        <v>31</v>
      </c>
      <c r="Q13" s="23">
        <v>4</v>
      </c>
      <c r="R13" s="2" t="s">
        <v>32</v>
      </c>
      <c r="S13" s="23">
        <v>6</v>
      </c>
      <c r="T13" s="3" t="s">
        <v>2</v>
      </c>
      <c r="U13" s="91">
        <f t="shared" ref="U13" si="17">W14/(100%-IF($B$3="하",$AB$8,$AB$6)*W16)/W16</f>
        <v>200.69204152249139</v>
      </c>
      <c r="V13" s="92">
        <f t="shared" ref="V13:V40" si="18">IF("하"=$B$3,$AC$8,$AC$6)</f>
        <v>25</v>
      </c>
      <c r="W13" s="108" t="s">
        <v>33</v>
      </c>
      <c r="X13" s="75" t="s">
        <v>25</v>
      </c>
      <c r="Y13" s="76">
        <f t="shared" ref="Y13:Y40" si="19">L14+W14</f>
        <v>7250</v>
      </c>
      <c r="Z13" s="93" t="s">
        <v>34</v>
      </c>
      <c r="AA13" s="93" t="s">
        <v>35</v>
      </c>
    </row>
    <row r="14" spans="1:34" ht="18" customHeight="1" thickTop="1" thickBot="1" x14ac:dyDescent="0.3">
      <c r="A14" s="194"/>
      <c r="B14" s="194"/>
      <c r="C14" s="143"/>
      <c r="D14" s="142" t="str">
        <f t="shared" ref="D14" si="20">IF(C16="","",IF(C14*36/(37-C16)=0,"",C14*36/(37-C16)))</f>
        <v/>
      </c>
      <c r="E14" s="109" t="str">
        <f t="shared" ref="E14" si="21">E10</f>
        <v>exercise1</v>
      </c>
      <c r="F14" s="18">
        <f t="shared" ref="F14" si="22">IF(D14="",J9,D14)</f>
        <v>200.69204152249139</v>
      </c>
      <c r="G14" s="94">
        <f t="shared" ref="G14:G40" si="23">100%-K13*IF($B$3="하",$AB$8,$AB$6)</f>
        <v>0.72249999999999992</v>
      </c>
      <c r="H14" s="7">
        <f t="shared" ref="H14:H40" si="24">G14</f>
        <v>0.72249999999999992</v>
      </c>
      <c r="I14" s="7">
        <f t="shared" ref="I14:I40" si="25">H14</f>
        <v>0.72249999999999992</v>
      </c>
      <c r="J14" s="7">
        <f t="shared" ref="J14:J40" si="26">I14</f>
        <v>0.72249999999999992</v>
      </c>
      <c r="K14" s="8">
        <f t="shared" ref="K14:K15" si="27">J14</f>
        <v>0.72249999999999992</v>
      </c>
      <c r="L14" s="95">
        <f t="shared" ref="L14" si="28">G15*G16+H15*H16+I15*I16+J15*J16+K15*K16</f>
        <v>3625</v>
      </c>
      <c r="M14" s="194"/>
      <c r="N14" s="143"/>
      <c r="O14" s="142" t="str">
        <f t="shared" ref="O14" si="29">IF(N16="","",IF(N14*36/(37-N16)=0,"",N14*36/(37-N16)))</f>
        <v/>
      </c>
      <c r="P14" s="109" t="str">
        <f t="shared" ref="P14" si="30">P10</f>
        <v>exercise2</v>
      </c>
      <c r="Q14" s="18">
        <f t="shared" ref="Q14" si="31">IF(O14="",U9,O14)</f>
        <v>200.69204152249139</v>
      </c>
      <c r="R14" s="94">
        <f t="shared" ref="R14:R40" si="32">100%-V13*IF($B$3="하",$AB$8,$AB$6)</f>
        <v>0.72249999999999992</v>
      </c>
      <c r="S14" s="7">
        <f t="shared" ref="S14:S40" si="33">R14</f>
        <v>0.72249999999999992</v>
      </c>
      <c r="T14" s="7">
        <f t="shared" ref="T14:T40" si="34">S14</f>
        <v>0.72249999999999992</v>
      </c>
      <c r="U14" s="7">
        <f t="shared" ref="U14:U40" si="35">T14</f>
        <v>0.72249999999999992</v>
      </c>
      <c r="V14" s="8">
        <f t="shared" ref="V14:V40" si="36">U14</f>
        <v>0.72249999999999992</v>
      </c>
      <c r="W14" s="96">
        <f t="shared" ref="W14" si="37">R15*R16+S15*S16+T15*T16+U15*U16+V15*V16</f>
        <v>3625</v>
      </c>
      <c r="X14" s="86" t="s">
        <v>27</v>
      </c>
      <c r="Y14" s="81">
        <f t="shared" ref="Y14" si="38">Y13+Y10</f>
        <v>21750</v>
      </c>
      <c r="Z14" s="90">
        <f t="shared" ref="Z14" si="39">ROUNDDOWN(Y12*$Z$4,0)</f>
        <v>1</v>
      </c>
      <c r="AA14" s="90">
        <f t="shared" ref="AA14" si="40">ROUNDDOWN(Y12*$AA$4,0)</f>
        <v>7</v>
      </c>
    </row>
    <row r="15" spans="1:34" ht="18" customHeight="1" thickTop="1" thickBot="1" x14ac:dyDescent="0.3">
      <c r="A15" s="194"/>
      <c r="B15" s="194"/>
      <c r="C15" s="141" t="str">
        <f t="shared" ref="C15" si="41">IF(AA14-O12&lt;$B$1," ","1~ "&amp;IF(AA14-O12&gt;$B$1,$B$1,AA14-O12)&amp;" rep")</f>
        <v>1~ 5 rep</v>
      </c>
      <c r="D15" s="97" t="s">
        <v>37</v>
      </c>
      <c r="E15" s="98" t="s">
        <v>5</v>
      </c>
      <c r="F15" s="5" t="s">
        <v>3</v>
      </c>
      <c r="G15" s="18">
        <f t="shared" ref="G15:G40" si="42">MROUND(G14*F14,E16)</f>
        <v>145</v>
      </c>
      <c r="H15" s="18">
        <f t="shared" si="24"/>
        <v>145</v>
      </c>
      <c r="I15" s="18">
        <f t="shared" si="25"/>
        <v>145</v>
      </c>
      <c r="J15" s="18">
        <f t="shared" si="26"/>
        <v>145</v>
      </c>
      <c r="K15" s="19">
        <f t="shared" si="27"/>
        <v>145</v>
      </c>
      <c r="L15" s="74" t="s">
        <v>10</v>
      </c>
      <c r="M15" s="194"/>
      <c r="N15" s="141" t="str">
        <f t="shared" ref="N15:N40" si="43">IF(AA16-D16&lt;$B$1,"","1~"&amp;IF(AA16-D16&gt;$B$1,$B$1,AA16-D16)&amp;" rep")</f>
        <v>1~5 rep</v>
      </c>
      <c r="O15" s="97" t="s">
        <v>37</v>
      </c>
      <c r="P15" s="86" t="s">
        <v>5</v>
      </c>
      <c r="Q15" s="5" t="s">
        <v>3</v>
      </c>
      <c r="R15" s="18">
        <f t="shared" ref="R15:R40" si="44">MROUND(R14*Q14,P16)</f>
        <v>145</v>
      </c>
      <c r="S15" s="18">
        <f t="shared" si="33"/>
        <v>145</v>
      </c>
      <c r="T15" s="18">
        <f t="shared" si="34"/>
        <v>145</v>
      </c>
      <c r="U15" s="18">
        <f t="shared" si="35"/>
        <v>145</v>
      </c>
      <c r="V15" s="19">
        <f t="shared" si="36"/>
        <v>145</v>
      </c>
      <c r="W15" s="99" t="s">
        <v>10</v>
      </c>
      <c r="X15" s="86" t="s">
        <v>28</v>
      </c>
      <c r="Y15" s="87">
        <f t="shared" ref="Y15:Y40" si="45">L16+W16</f>
        <v>50</v>
      </c>
      <c r="Z15" s="93" t="s">
        <v>34</v>
      </c>
      <c r="AA15" s="93" t="s">
        <v>35</v>
      </c>
    </row>
    <row r="16" spans="1:34" ht="18" customHeight="1" thickTop="1" thickBot="1" x14ac:dyDescent="0.3">
      <c r="A16" s="195"/>
      <c r="B16" s="195"/>
      <c r="C16" s="144"/>
      <c r="D16" s="90">
        <f t="shared" ref="D16" si="46">IF(C14="",O12,IF(D14&lt;=0,O12,O12+C16))</f>
        <v>0</v>
      </c>
      <c r="E16" s="100">
        <f t="shared" ref="E16" si="47">E12</f>
        <v>2.5</v>
      </c>
      <c r="F16" s="13" t="s">
        <v>7</v>
      </c>
      <c r="G16" s="103">
        <f t="shared" ref="G16" si="48" xml:space="preserve"> IF($B$3="하",0,IF(MROUND(K13/5,1)&lt;=H13,IF(MROUND(K13/5,1)&gt;=F13,MROUND(K13/5,1),F13),H13))</f>
        <v>5</v>
      </c>
      <c r="H16" s="104">
        <f t="shared" ref="H16" si="49">IF(MROUND((K13-G16)/4,1)&lt;=H13,IF(MROUND((K13-G16)/4,1)&gt;=F13,MROUND((K13-G16)/4,1),F13),H13)</f>
        <v>5</v>
      </c>
      <c r="I16" s="104">
        <f t="shared" ref="I16" si="50">IF(MROUND((K13-G16-H16)/3,1)&lt;=H13,IF(MROUND((K13-G16-H16)/3,1)&gt;=F13,MROUND((K13-G16-H16)/3,1),F13),H13)</f>
        <v>5</v>
      </c>
      <c r="J16" s="104">
        <f t="shared" ref="J16" si="51">IF(MROUND((K13-G16-H16-I16)/2,1)&lt;=H13,IF((K13-G16-H16-I16)/2&gt;=F13,MROUND((K13-G16-H16-I16)/2,1),K13-G16-H16-I16),H13)</f>
        <v>5</v>
      </c>
      <c r="K16" s="105">
        <f t="shared" ref="K16" si="52">IF((K13-(G16+H16+I16+J16))&gt;0,(K13-(G16+H16+I16+J16)),0)</f>
        <v>5</v>
      </c>
      <c r="L16" s="101">
        <f t="shared" ref="L16" si="53">SUM(G16:K16)</f>
        <v>25</v>
      </c>
      <c r="M16" s="195"/>
      <c r="N16" s="144"/>
      <c r="O16" s="90">
        <f t="shared" ref="O16" si="54">IF(""=N14,D16,IF(O14&lt;=0,D16,D16+N16))</f>
        <v>0</v>
      </c>
      <c r="P16" s="102">
        <f t="shared" ref="P16" si="55">P12</f>
        <v>2.5</v>
      </c>
      <c r="Q16" s="13" t="s">
        <v>7</v>
      </c>
      <c r="R16" s="103">
        <f t="shared" ref="R16" si="56" xml:space="preserve"> IF($B$3="하",0,IF(MROUND(V13/5,1)&lt;=S13,IF(MROUND(V13/5,1)&gt;=Q13,MROUND(V13/5,1),Q13),S13))</f>
        <v>5</v>
      </c>
      <c r="S16" s="104">
        <f t="shared" ref="S16" si="57">IF(MROUND((V13-R16)/4,1)&lt;=S13,IF(MROUND((V13-R16)/4,1)&gt;=Q13,MROUND((V13-R16)/4,1),Q13),S13)</f>
        <v>5</v>
      </c>
      <c r="T16" s="104">
        <f t="shared" ref="T16" si="58">IF(MROUND((V13-R16-S16)/3,1)&lt;=S13,IF(MROUND((V13-R16-S16)/3,1)&gt;=Q13,MROUND((V13-R16-S16)/3,1),Q13),S13)</f>
        <v>5</v>
      </c>
      <c r="U16" s="104">
        <f t="shared" ref="U16" si="59">IF(MROUND((V13-R16-S16-T16)/2,1)&lt;=S13,IF((V13-R16-S16-T16)/2&gt;=Q13,MROUND((V13-R16-S16-T16)/2,1),V13-R16-S16-T16),S13)</f>
        <v>5</v>
      </c>
      <c r="V16" s="105">
        <f t="shared" ref="V16" si="60">IF((V13-(R16+S16+T16+U16))&gt;0,(V13-(R16+S16+T16+U16)),0)</f>
        <v>5</v>
      </c>
      <c r="W16" s="106">
        <f t="shared" ref="W16" si="61">SUM(R16:V16)</f>
        <v>25</v>
      </c>
      <c r="X16" s="88" t="s">
        <v>30</v>
      </c>
      <c r="Y16" s="89">
        <f t="shared" ref="Y16" si="62">Y15+Y12+O16-O12</f>
        <v>150</v>
      </c>
      <c r="Z16" s="90">
        <f t="shared" ref="Z16" si="63">ROUNDDOWN((Y12-O12+D16+L16)*$Z$4,0)</f>
        <v>1</v>
      </c>
      <c r="AA16" s="90">
        <f t="shared" ref="AA16" si="64">ROUNDDOWN((Y12+L16-O12+D16)*$AA$4,0)</f>
        <v>8</v>
      </c>
    </row>
    <row r="17" spans="1:27" ht="18" customHeight="1" thickTop="1" thickBot="1" x14ac:dyDescent="0.3">
      <c r="A17" s="193">
        <f t="shared" ref="A17" si="65">A13+1</f>
        <v>4</v>
      </c>
      <c r="B17" s="193" t="str">
        <f t="shared" ref="B17" ca="1" si="66">IF((L20+Y16)&lt;IF(B$3="하",$AE$8,$AE$6),0,IF((L20+Y16)&gt;IF(B$3="하",$AE$7,$AE$5),"",MAX(B13,M13)+1))</f>
        <v/>
      </c>
      <c r="C17" s="141" t="str">
        <f t="shared" ref="C17" si="67">IF(AA18-O16&lt;$B$1," ","MAX to "&amp;MROUND(IF(IF(AA18-O16&gt;$B$1,$B$1,AA18-O16)&lt;2,J13,J13*(37-IF(AA18-O16&gt;$B$1,$B$1,AA18-O16))/36),E20))</f>
        <v>MAX to 177.5</v>
      </c>
      <c r="D17" s="90" t="str">
        <f t="shared" ref="D17:D40" si="68">IF(AA18&lt;=O16,"X",IF(Z18&gt;O16,"must ME","can ME"))</f>
        <v>must ME</v>
      </c>
      <c r="E17" s="75" t="s">
        <v>31</v>
      </c>
      <c r="F17" s="23">
        <v>4</v>
      </c>
      <c r="G17" s="2">
        <v>1</v>
      </c>
      <c r="H17" s="23">
        <f t="shared" ref="H17:H40" si="69">IF(G18&gt;=90%,2,IF(G18&gt;=80%,4,IF(G18&gt;=70%,6,6)))</f>
        <v>6</v>
      </c>
      <c r="I17" s="3" t="s">
        <v>2</v>
      </c>
      <c r="J17" s="91">
        <f t="shared" ref="J17" si="70">L18/(100%-IF($B$3="하",$AB$8,$AB$6)*L20)/L20</f>
        <v>200.69204152249139</v>
      </c>
      <c r="K17" s="92">
        <f t="shared" ref="K17:K40" si="71">IF("하"=$B$3,$AC$7,$AC$5)</f>
        <v>25</v>
      </c>
      <c r="L17" s="107" t="s">
        <v>33</v>
      </c>
      <c r="M17" s="193" t="str">
        <f t="shared" ref="M17" ca="1" si="72">IF($Y20&lt;IF(M$3="하",$AE$8,$AE$6),0,IF($Y20&gt;IF(M$3="하",$AE$7,$AE$5),"",MAX(B17,M13)+1))</f>
        <v/>
      </c>
      <c r="N17" s="141" t="str">
        <f t="shared" ref="N17" si="73">IF(AA20-D20&lt;$B$1,"","MAX to "&amp;MROUND(IF(IF(AA20-D20&gt;$B$1,$B$1,AA20-D20)&lt;2,U13,U13*(37-IF(AA20-D20&gt;$B$1,$B$1,AA20-D20))/36),P20))</f>
        <v>MAX to 177.5</v>
      </c>
      <c r="O17" s="90" t="str">
        <f t="shared" ref="O17" si="74">IF(AA20&lt;=D20,"X",IF(Z20&gt;D20,"must ME","can ME"))</f>
        <v>must ME</v>
      </c>
      <c r="P17" s="75" t="s">
        <v>31</v>
      </c>
      <c r="Q17" s="23">
        <v>4</v>
      </c>
      <c r="R17" s="2" t="s">
        <v>32</v>
      </c>
      <c r="S17" s="23">
        <v>6</v>
      </c>
      <c r="T17" s="3" t="s">
        <v>2</v>
      </c>
      <c r="U17" s="91">
        <f t="shared" ref="U17" si="75">W18/(100%-IF($B$3="하",$AB$8,$AB$6)*W20)/W20</f>
        <v>200.69204152249139</v>
      </c>
      <c r="V17" s="92">
        <f t="shared" ref="V17:V40" si="76">IF("하"=$B$3,$AC$8,$AC$6)</f>
        <v>25</v>
      </c>
      <c r="W17" s="108" t="s">
        <v>33</v>
      </c>
      <c r="X17" s="75" t="s">
        <v>25</v>
      </c>
      <c r="Y17" s="76">
        <f t="shared" ref="Y17:Y40" si="77">L18+W18</f>
        <v>7250</v>
      </c>
      <c r="Z17" s="93" t="s">
        <v>34</v>
      </c>
      <c r="AA17" s="93" t="s">
        <v>35</v>
      </c>
    </row>
    <row r="18" spans="1:27" ht="18" customHeight="1" thickTop="1" thickBot="1" x14ac:dyDescent="0.3">
      <c r="A18" s="194"/>
      <c r="B18" s="194"/>
      <c r="C18" s="143"/>
      <c r="D18" s="142" t="str">
        <f t="shared" ref="D18" si="78">IF(C20="","",IF(C18*36/(37-C20)=0,"",C18*36/(37-C20)))</f>
        <v/>
      </c>
      <c r="E18" s="109" t="str">
        <f t="shared" ref="E18" si="79">E14</f>
        <v>exercise1</v>
      </c>
      <c r="F18" s="18">
        <f t="shared" ref="F18" si="80">IF(D18="",J13,D18)</f>
        <v>200.69204152249139</v>
      </c>
      <c r="G18" s="94">
        <f t="shared" ref="G18:G40" si="81">100%-K17*IF($B$3="하",$AB$8,$AB$6)</f>
        <v>0.72249999999999992</v>
      </c>
      <c r="H18" s="7">
        <f t="shared" ref="H18:H40" si="82">G18</f>
        <v>0.72249999999999992</v>
      </c>
      <c r="I18" s="7">
        <f t="shared" ref="I18:I40" si="83">H18</f>
        <v>0.72249999999999992</v>
      </c>
      <c r="J18" s="7">
        <f t="shared" ref="J18:J40" si="84">I18</f>
        <v>0.72249999999999992</v>
      </c>
      <c r="K18" s="8">
        <f t="shared" ref="K18:K19" si="85">J18</f>
        <v>0.72249999999999992</v>
      </c>
      <c r="L18" s="95">
        <f t="shared" ref="L18" si="86">G19*G20+H19*H20+I19*I20+J19*J20+K19*K20</f>
        <v>3625</v>
      </c>
      <c r="M18" s="194"/>
      <c r="N18" s="143"/>
      <c r="O18" s="142" t="str">
        <f t="shared" ref="O18" si="87">IF(N20="","",IF(N18*36/(37-N20)=0,"",N18*36/(37-N20)))</f>
        <v/>
      </c>
      <c r="P18" s="109" t="str">
        <f t="shared" ref="P18" si="88">P14</f>
        <v>exercise2</v>
      </c>
      <c r="Q18" s="18">
        <f t="shared" ref="Q18" si="89">IF(O18="",U13,O18)</f>
        <v>200.69204152249139</v>
      </c>
      <c r="R18" s="94">
        <f t="shared" ref="R18:R40" si="90">100%-V17*IF($B$3="하",$AB$8,$AB$6)</f>
        <v>0.72249999999999992</v>
      </c>
      <c r="S18" s="7">
        <f t="shared" ref="S18:S40" si="91">R18</f>
        <v>0.72249999999999992</v>
      </c>
      <c r="T18" s="7">
        <f t="shared" ref="T18:T40" si="92">S18</f>
        <v>0.72249999999999992</v>
      </c>
      <c r="U18" s="7">
        <f t="shared" ref="U18:U40" si="93">T18</f>
        <v>0.72249999999999992</v>
      </c>
      <c r="V18" s="8">
        <f t="shared" ref="V18:V40" si="94">U18</f>
        <v>0.72249999999999992</v>
      </c>
      <c r="W18" s="96">
        <f t="shared" ref="W18" si="95">R19*R20+S19*S20+T19*T20+U19*U20+V19*V20</f>
        <v>3625</v>
      </c>
      <c r="X18" s="86" t="s">
        <v>27</v>
      </c>
      <c r="Y18" s="81">
        <f t="shared" ref="Y18" si="96">Y17+Y14</f>
        <v>29000</v>
      </c>
      <c r="Z18" s="90">
        <f t="shared" ref="Z18" si="97">ROUNDDOWN(Y16*$Z$4,0)</f>
        <v>1</v>
      </c>
      <c r="AA18" s="90">
        <f t="shared" ref="AA18" si="98">ROUNDDOWN(Y16*$AA$4,0)</f>
        <v>10</v>
      </c>
    </row>
    <row r="19" spans="1:27" ht="18" customHeight="1" thickTop="1" thickBot="1" x14ac:dyDescent="0.3">
      <c r="A19" s="194"/>
      <c r="B19" s="194"/>
      <c r="C19" s="141" t="str">
        <f t="shared" ref="C19" si="99">IF(AA18-O16&lt;$B$1," ","1~ "&amp;IF(AA18-O16&gt;$B$1,$B$1,AA18-O16)&amp;" rep")</f>
        <v>1~ 5 rep</v>
      </c>
      <c r="D19" s="97" t="s">
        <v>37</v>
      </c>
      <c r="E19" s="98" t="s">
        <v>5</v>
      </c>
      <c r="F19" s="5" t="s">
        <v>3</v>
      </c>
      <c r="G19" s="18">
        <f t="shared" ref="G19:G40" si="100">MROUND(G18*F18,E20)</f>
        <v>145</v>
      </c>
      <c r="H19" s="18">
        <f t="shared" si="82"/>
        <v>145</v>
      </c>
      <c r="I19" s="18">
        <f t="shared" si="83"/>
        <v>145</v>
      </c>
      <c r="J19" s="18">
        <f t="shared" si="84"/>
        <v>145</v>
      </c>
      <c r="K19" s="19">
        <f t="shared" si="85"/>
        <v>145</v>
      </c>
      <c r="L19" s="74" t="s">
        <v>10</v>
      </c>
      <c r="M19" s="194"/>
      <c r="N19" s="141" t="str">
        <f t="shared" ref="N19:N40" si="101">IF(AA20-D20&lt;$B$1,"","1~"&amp;IF(AA20-D20&gt;$B$1,$B$1,AA20-D20)&amp;" rep")</f>
        <v>1~5 rep</v>
      </c>
      <c r="O19" s="97" t="s">
        <v>37</v>
      </c>
      <c r="P19" s="86" t="s">
        <v>5</v>
      </c>
      <c r="Q19" s="5" t="s">
        <v>3</v>
      </c>
      <c r="R19" s="18">
        <f t="shared" ref="R19:R40" si="102">MROUND(R18*Q18,P20)</f>
        <v>145</v>
      </c>
      <c r="S19" s="18">
        <f t="shared" si="91"/>
        <v>145</v>
      </c>
      <c r="T19" s="18">
        <f t="shared" si="92"/>
        <v>145</v>
      </c>
      <c r="U19" s="18">
        <f t="shared" si="93"/>
        <v>145</v>
      </c>
      <c r="V19" s="19">
        <f t="shared" si="94"/>
        <v>145</v>
      </c>
      <c r="W19" s="99" t="s">
        <v>10</v>
      </c>
      <c r="X19" s="86" t="s">
        <v>28</v>
      </c>
      <c r="Y19" s="87">
        <f t="shared" ref="Y19:Y40" si="103">L20+W20</f>
        <v>50</v>
      </c>
      <c r="Z19" s="93" t="s">
        <v>34</v>
      </c>
      <c r="AA19" s="93" t="s">
        <v>35</v>
      </c>
    </row>
    <row r="20" spans="1:27" ht="18" customHeight="1" thickTop="1" thickBot="1" x14ac:dyDescent="0.3">
      <c r="A20" s="195"/>
      <c r="B20" s="195"/>
      <c r="C20" s="144"/>
      <c r="D20" s="90">
        <f t="shared" ref="D20" si="104">IF(C18="",O16,IF(D18&lt;=0,O16,O16+C20))</f>
        <v>0</v>
      </c>
      <c r="E20" s="100">
        <f t="shared" ref="E20" si="105">E16</f>
        <v>2.5</v>
      </c>
      <c r="F20" s="13" t="s">
        <v>7</v>
      </c>
      <c r="G20" s="103">
        <f t="shared" ref="G20" si="106" xml:space="preserve"> IF($B$3="하",0,IF(MROUND(K17/5,1)&lt;=H17,IF(MROUND(K17/5,1)&gt;=F17,MROUND(K17/5,1),F17),H17))</f>
        <v>5</v>
      </c>
      <c r="H20" s="104">
        <f t="shared" ref="H20" si="107">IF(MROUND((K17-G20)/4,1)&lt;=H17,IF(MROUND((K17-G20)/4,1)&gt;=F17,MROUND((K17-G20)/4,1),F17),H17)</f>
        <v>5</v>
      </c>
      <c r="I20" s="104">
        <f t="shared" ref="I20" si="108">IF(MROUND((K17-G20-H20)/3,1)&lt;=H17,IF(MROUND((K17-G20-H20)/3,1)&gt;=F17,MROUND((K17-G20-H20)/3,1),F17),H17)</f>
        <v>5</v>
      </c>
      <c r="J20" s="104">
        <f t="shared" ref="J20" si="109">IF(MROUND((K17-G20-H20-I20)/2,1)&lt;=H17,IF((K17-G20-H20-I20)/2&gt;=F17,MROUND((K17-G20-H20-I20)/2,1),K17-G20-H20-I20),H17)</f>
        <v>5</v>
      </c>
      <c r="K20" s="105">
        <f t="shared" ref="K20" si="110">IF((K17-(G20+H20+I20+J20))&gt;0,(K17-(G20+H20+I20+J20)),0)</f>
        <v>5</v>
      </c>
      <c r="L20" s="101">
        <f t="shared" ref="L20" si="111">SUM(G20:K20)</f>
        <v>25</v>
      </c>
      <c r="M20" s="195"/>
      <c r="N20" s="144"/>
      <c r="O20" s="90">
        <f t="shared" ref="O20" si="112">IF(""=N18,D20,IF(O18&lt;=0,D20,D20+N20))</f>
        <v>0</v>
      </c>
      <c r="P20" s="102">
        <f t="shared" ref="P20" si="113">P16</f>
        <v>2.5</v>
      </c>
      <c r="Q20" s="13" t="s">
        <v>7</v>
      </c>
      <c r="R20" s="103">
        <f t="shared" ref="R20" si="114" xml:space="preserve"> IF($B$3="하",0,IF(MROUND(V17/5,1)&lt;=S17,IF(MROUND(V17/5,1)&gt;=Q17,MROUND(V17/5,1),Q17),S17))</f>
        <v>5</v>
      </c>
      <c r="S20" s="104">
        <f t="shared" ref="S20" si="115">IF(MROUND((V17-R20)/4,1)&lt;=S17,IF(MROUND((V17-R20)/4,1)&gt;=Q17,MROUND((V17-R20)/4,1),Q17),S17)</f>
        <v>5</v>
      </c>
      <c r="T20" s="104">
        <f t="shared" ref="T20" si="116">IF(MROUND((V17-R20-S20)/3,1)&lt;=S17,IF(MROUND((V17-R20-S20)/3,1)&gt;=Q17,MROUND((V17-R20-S20)/3,1),Q17),S17)</f>
        <v>5</v>
      </c>
      <c r="U20" s="104">
        <f t="shared" ref="U20" si="117">IF(MROUND((V17-R20-S20-T20)/2,1)&lt;=S17,IF((V17-R20-S20-T20)/2&gt;=Q17,MROUND((V17-R20-S20-T20)/2,1),V17-R20-S20-T20),S17)</f>
        <v>5</v>
      </c>
      <c r="V20" s="105">
        <f t="shared" ref="V20" si="118">IF((V17-(R20+S20+T20+U20))&gt;0,(V17-(R20+S20+T20+U20)),0)</f>
        <v>5</v>
      </c>
      <c r="W20" s="106">
        <f t="shared" ref="W20" si="119">SUM(R20:V20)</f>
        <v>25</v>
      </c>
      <c r="X20" s="88" t="s">
        <v>30</v>
      </c>
      <c r="Y20" s="89">
        <f t="shared" ref="Y20" si="120">Y19+Y16+O20-O16</f>
        <v>200</v>
      </c>
      <c r="Z20" s="90">
        <f t="shared" ref="Z20" si="121">ROUNDDOWN((Y16-O16+D20+L20)*$Z$4,0)</f>
        <v>1</v>
      </c>
      <c r="AA20" s="90">
        <f t="shared" ref="AA20" si="122">ROUNDDOWN((Y16+L20-O16+D20)*$AA$4,0)</f>
        <v>12</v>
      </c>
    </row>
    <row r="21" spans="1:27" ht="18" customHeight="1" thickTop="1" thickBot="1" x14ac:dyDescent="0.3">
      <c r="A21" s="193">
        <f t="shared" ref="A21" si="123">A17+1</f>
        <v>5</v>
      </c>
      <c r="B21" s="193" t="str">
        <f t="shared" ref="B21" ca="1" si="124">IF((L24+Y20)&lt;IF(B$3="하",$AE$8,$AE$6),0,IF((L24+Y20)&gt;IF(B$3="하",$AE$7,$AE$5),"",MAX(B17,M17)+1))</f>
        <v/>
      </c>
      <c r="C21" s="141" t="str">
        <f t="shared" ref="C21" si="125">IF(AA22-O20&lt;$B$1," ","MAX to "&amp;MROUND(IF(IF(AA22-O20&gt;$B$1,$B$1,AA22-O20)&lt;2,J17,J17*(37-IF(AA22-O20&gt;$B$1,$B$1,AA22-O20))/36),E24))</f>
        <v>MAX to 177.5</v>
      </c>
      <c r="D21" s="90" t="str">
        <f t="shared" ref="D21:D40" si="126">IF(AA22&lt;=O20,"X",IF(Z22&gt;O20,"must ME","can ME"))</f>
        <v>must ME</v>
      </c>
      <c r="E21" s="75" t="s">
        <v>31</v>
      </c>
      <c r="F21" s="23">
        <v>4</v>
      </c>
      <c r="G21" s="2">
        <v>1</v>
      </c>
      <c r="H21" s="23">
        <f t="shared" ref="H21:H40" si="127">IF(G22&gt;=90%,2,IF(G22&gt;=80%,4,IF(G22&gt;=70%,6,6)))</f>
        <v>6</v>
      </c>
      <c r="I21" s="3" t="s">
        <v>2</v>
      </c>
      <c r="J21" s="91">
        <f t="shared" ref="J21" si="128">L22/(100%-IF($B$3="하",$AB$8,$AB$6)*L24)/L24</f>
        <v>200.69204152249139</v>
      </c>
      <c r="K21" s="92">
        <f t="shared" ref="K21:K40" si="129">IF("하"=$B$3,$AC$7,$AC$5)</f>
        <v>25</v>
      </c>
      <c r="L21" s="107" t="s">
        <v>33</v>
      </c>
      <c r="M21" s="193" t="str">
        <f t="shared" ref="M21" ca="1" si="130">IF($Y24&lt;IF(M$3="하",$AE$8,$AE$6),0,IF($Y24&gt;IF(M$3="하",$AE$7,$AE$5),"",MAX(B21,M17)+1))</f>
        <v/>
      </c>
      <c r="N21" s="141" t="str">
        <f t="shared" ref="N21" si="131">IF(AA24-D24&lt;$B$1,"","MAX to "&amp;MROUND(IF(IF(AA24-D24&gt;$B$1,$B$1,AA24-D24)&lt;2,U17,U17*(37-IF(AA24-D24&gt;$B$1,$B$1,AA24-D24))/36),P24))</f>
        <v>MAX to 177.5</v>
      </c>
      <c r="O21" s="90" t="str">
        <f t="shared" ref="O21" si="132">IF(AA24&lt;=D24,"X",IF(Z24&gt;D24,"must ME","can ME"))</f>
        <v>must ME</v>
      </c>
      <c r="P21" s="75" t="s">
        <v>31</v>
      </c>
      <c r="Q21" s="23">
        <v>4</v>
      </c>
      <c r="R21" s="2" t="s">
        <v>32</v>
      </c>
      <c r="S21" s="23">
        <v>6</v>
      </c>
      <c r="T21" s="3" t="s">
        <v>2</v>
      </c>
      <c r="U21" s="91">
        <f t="shared" ref="U21" si="133">W22/(100%-IF($B$3="하",$AB$8,$AB$6)*W24)/W24</f>
        <v>200.69204152249139</v>
      </c>
      <c r="V21" s="92">
        <f t="shared" ref="V21:V40" si="134">IF("하"=$B$3,$AC$8,$AC$6)</f>
        <v>25</v>
      </c>
      <c r="W21" s="108" t="s">
        <v>33</v>
      </c>
      <c r="X21" s="75" t="s">
        <v>25</v>
      </c>
      <c r="Y21" s="76">
        <f t="shared" ref="Y21:Y40" si="135">L22+W22</f>
        <v>7250</v>
      </c>
      <c r="Z21" s="93" t="s">
        <v>34</v>
      </c>
      <c r="AA21" s="93" t="s">
        <v>35</v>
      </c>
    </row>
    <row r="22" spans="1:27" ht="18" customHeight="1" thickTop="1" thickBot="1" x14ac:dyDescent="0.3">
      <c r="A22" s="194"/>
      <c r="B22" s="194"/>
      <c r="C22" s="143"/>
      <c r="D22" s="142" t="str">
        <f t="shared" ref="D22" si="136">IF(C24="","",IF(C22*36/(37-C24)=0,"",C22*36/(37-C24)))</f>
        <v/>
      </c>
      <c r="E22" s="109" t="str">
        <f t="shared" ref="E22" si="137">E18</f>
        <v>exercise1</v>
      </c>
      <c r="F22" s="18">
        <f t="shared" ref="F22" si="138">IF(D22="",J17,D22)</f>
        <v>200.69204152249139</v>
      </c>
      <c r="G22" s="94">
        <f t="shared" ref="G22:G40" si="139">100%-K21*IF($B$3="하",$AB$8,$AB$6)</f>
        <v>0.72249999999999992</v>
      </c>
      <c r="H22" s="7">
        <f t="shared" ref="H22:H40" si="140">G22</f>
        <v>0.72249999999999992</v>
      </c>
      <c r="I22" s="7">
        <f t="shared" ref="I22:I40" si="141">H22</f>
        <v>0.72249999999999992</v>
      </c>
      <c r="J22" s="7">
        <f t="shared" ref="J22:J40" si="142">I22</f>
        <v>0.72249999999999992</v>
      </c>
      <c r="K22" s="8">
        <f t="shared" ref="K22:K23" si="143">J22</f>
        <v>0.72249999999999992</v>
      </c>
      <c r="L22" s="95">
        <f t="shared" ref="L22" si="144">G23*G24+H23*H24+I23*I24+J23*J24+K23*K24</f>
        <v>3625</v>
      </c>
      <c r="M22" s="194"/>
      <c r="N22" s="143"/>
      <c r="O22" s="142" t="str">
        <f t="shared" ref="O22" si="145">IF(N24="","",IF(N22*36/(37-N24)=0,"",N22*36/(37-N24)))</f>
        <v/>
      </c>
      <c r="P22" s="109" t="str">
        <f t="shared" ref="P22" si="146">P18</f>
        <v>exercise2</v>
      </c>
      <c r="Q22" s="18">
        <f t="shared" ref="Q22" si="147">IF(O22="",U17,O22)</f>
        <v>200.69204152249139</v>
      </c>
      <c r="R22" s="94">
        <f t="shared" ref="R22:R40" si="148">100%-V21*IF($B$3="하",$AB$8,$AB$6)</f>
        <v>0.72249999999999992</v>
      </c>
      <c r="S22" s="7">
        <f t="shared" ref="S22:S40" si="149">R22</f>
        <v>0.72249999999999992</v>
      </c>
      <c r="T22" s="7">
        <f t="shared" ref="T22:T40" si="150">S22</f>
        <v>0.72249999999999992</v>
      </c>
      <c r="U22" s="7">
        <f t="shared" ref="U22:U40" si="151">T22</f>
        <v>0.72249999999999992</v>
      </c>
      <c r="V22" s="8">
        <f t="shared" ref="V22:V40" si="152">U22</f>
        <v>0.72249999999999992</v>
      </c>
      <c r="W22" s="96">
        <f t="shared" ref="W22" si="153">R23*R24+S23*S24+T23*T24+U23*U24+V23*V24</f>
        <v>3625</v>
      </c>
      <c r="X22" s="86" t="s">
        <v>27</v>
      </c>
      <c r="Y22" s="81">
        <f t="shared" ref="Y22" si="154">Y21+Y18</f>
        <v>36250</v>
      </c>
      <c r="Z22" s="90">
        <f t="shared" ref="Z22" si="155">ROUNDDOWN(Y20*$Z$4,0)</f>
        <v>2</v>
      </c>
      <c r="AA22" s="90">
        <f t="shared" ref="AA22" si="156">ROUNDDOWN(Y20*$AA$4,0)</f>
        <v>14</v>
      </c>
    </row>
    <row r="23" spans="1:27" ht="18" customHeight="1" thickTop="1" thickBot="1" x14ac:dyDescent="0.3">
      <c r="A23" s="194"/>
      <c r="B23" s="194"/>
      <c r="C23" s="141" t="str">
        <f t="shared" ref="C23" si="157">IF(AA22-O20&lt;$B$1," ","1~ "&amp;IF(AA22-O20&gt;$B$1,$B$1,AA22-O20)&amp;" rep")</f>
        <v>1~ 5 rep</v>
      </c>
      <c r="D23" s="97" t="s">
        <v>37</v>
      </c>
      <c r="E23" s="98" t="s">
        <v>5</v>
      </c>
      <c r="F23" s="5" t="s">
        <v>3</v>
      </c>
      <c r="G23" s="18">
        <f t="shared" ref="G23:G40" si="158">MROUND(G22*F22,E24)</f>
        <v>145</v>
      </c>
      <c r="H23" s="18">
        <f t="shared" si="140"/>
        <v>145</v>
      </c>
      <c r="I23" s="18">
        <f t="shared" si="141"/>
        <v>145</v>
      </c>
      <c r="J23" s="18">
        <f t="shared" si="142"/>
        <v>145</v>
      </c>
      <c r="K23" s="19">
        <f t="shared" si="143"/>
        <v>145</v>
      </c>
      <c r="L23" s="74" t="s">
        <v>10</v>
      </c>
      <c r="M23" s="194"/>
      <c r="N23" s="141" t="str">
        <f t="shared" ref="N23:N40" si="159">IF(AA24-D24&lt;$B$1,"","1~"&amp;IF(AA24-D24&gt;$B$1,$B$1,AA24-D24)&amp;" rep")</f>
        <v>1~5 rep</v>
      </c>
      <c r="O23" s="97" t="s">
        <v>37</v>
      </c>
      <c r="P23" s="86" t="s">
        <v>5</v>
      </c>
      <c r="Q23" s="5" t="s">
        <v>3</v>
      </c>
      <c r="R23" s="18">
        <f t="shared" ref="R23:R40" si="160">MROUND(R22*Q22,P24)</f>
        <v>145</v>
      </c>
      <c r="S23" s="18">
        <f t="shared" si="149"/>
        <v>145</v>
      </c>
      <c r="T23" s="18">
        <f t="shared" si="150"/>
        <v>145</v>
      </c>
      <c r="U23" s="18">
        <f t="shared" si="151"/>
        <v>145</v>
      </c>
      <c r="V23" s="19">
        <f t="shared" si="152"/>
        <v>145</v>
      </c>
      <c r="W23" s="99" t="s">
        <v>10</v>
      </c>
      <c r="X23" s="86" t="s">
        <v>28</v>
      </c>
      <c r="Y23" s="87">
        <f t="shared" ref="Y23:Y40" si="161">L24+W24</f>
        <v>50</v>
      </c>
      <c r="Z23" s="93" t="s">
        <v>34</v>
      </c>
      <c r="AA23" s="93" t="s">
        <v>35</v>
      </c>
    </row>
    <row r="24" spans="1:27" ht="18" customHeight="1" thickTop="1" thickBot="1" x14ac:dyDescent="0.3">
      <c r="A24" s="195"/>
      <c r="B24" s="195"/>
      <c r="C24" s="144"/>
      <c r="D24" s="90">
        <f t="shared" ref="D24" si="162">IF(C22="",O20,IF(D22&lt;=0,O20,O20+C24))</f>
        <v>0</v>
      </c>
      <c r="E24" s="100">
        <f t="shared" ref="E24" si="163">E20</f>
        <v>2.5</v>
      </c>
      <c r="F24" s="13" t="s">
        <v>7</v>
      </c>
      <c r="G24" s="103">
        <f t="shared" ref="G24" si="164" xml:space="preserve"> IF($B$3="하",0,IF(MROUND(K21/5,1)&lt;=H21,IF(MROUND(K21/5,1)&gt;=F21,MROUND(K21/5,1),F21),H21))</f>
        <v>5</v>
      </c>
      <c r="H24" s="104">
        <f t="shared" ref="H24" si="165">IF(MROUND((K21-G24)/4,1)&lt;=H21,IF(MROUND((K21-G24)/4,1)&gt;=F21,MROUND((K21-G24)/4,1),F21),H21)</f>
        <v>5</v>
      </c>
      <c r="I24" s="104">
        <f t="shared" ref="I24" si="166">IF(MROUND((K21-G24-H24)/3,1)&lt;=H21,IF(MROUND((K21-G24-H24)/3,1)&gt;=F21,MROUND((K21-G24-H24)/3,1),F21),H21)</f>
        <v>5</v>
      </c>
      <c r="J24" s="104">
        <f t="shared" ref="J24" si="167">IF(MROUND((K21-G24-H24-I24)/2,1)&lt;=H21,IF((K21-G24-H24-I24)/2&gt;=F21,MROUND((K21-G24-H24-I24)/2,1),K21-G24-H24-I24),H21)</f>
        <v>5</v>
      </c>
      <c r="K24" s="105">
        <f t="shared" ref="K24" si="168">IF((K21-(G24+H24+I24+J24))&gt;0,(K21-(G24+H24+I24+J24)),0)</f>
        <v>5</v>
      </c>
      <c r="L24" s="101">
        <f t="shared" ref="L24" si="169">SUM(G24:K24)</f>
        <v>25</v>
      </c>
      <c r="M24" s="195"/>
      <c r="N24" s="144"/>
      <c r="O24" s="90">
        <f t="shared" ref="O24" si="170">IF(""=N22,D24,IF(O22&lt;=0,D24,D24+N24))</f>
        <v>0</v>
      </c>
      <c r="P24" s="102">
        <f t="shared" ref="P24" si="171">P20</f>
        <v>2.5</v>
      </c>
      <c r="Q24" s="13" t="s">
        <v>7</v>
      </c>
      <c r="R24" s="103">
        <f t="shared" ref="R24" si="172" xml:space="preserve"> IF($B$3="하",0,IF(MROUND(V21/5,1)&lt;=S21,IF(MROUND(V21/5,1)&gt;=Q21,MROUND(V21/5,1),Q21),S21))</f>
        <v>5</v>
      </c>
      <c r="S24" s="104">
        <f t="shared" ref="S24" si="173">IF(MROUND((V21-R24)/4,1)&lt;=S21,IF(MROUND((V21-R24)/4,1)&gt;=Q21,MROUND((V21-R24)/4,1),Q21),S21)</f>
        <v>5</v>
      </c>
      <c r="T24" s="104">
        <f t="shared" ref="T24" si="174">IF(MROUND((V21-R24-S24)/3,1)&lt;=S21,IF(MROUND((V21-R24-S24)/3,1)&gt;=Q21,MROUND((V21-R24-S24)/3,1),Q21),S21)</f>
        <v>5</v>
      </c>
      <c r="U24" s="104">
        <f t="shared" ref="U24" si="175">IF(MROUND((V21-R24-S24-T24)/2,1)&lt;=S21,IF((V21-R24-S24-T24)/2&gt;=Q21,MROUND((V21-R24-S24-T24)/2,1),V21-R24-S24-T24),S21)</f>
        <v>5</v>
      </c>
      <c r="V24" s="105">
        <f t="shared" ref="V24" si="176">IF((V21-(R24+S24+T24+U24))&gt;0,(V21-(R24+S24+T24+U24)),0)</f>
        <v>5</v>
      </c>
      <c r="W24" s="106">
        <f t="shared" ref="W24" si="177">SUM(R24:V24)</f>
        <v>25</v>
      </c>
      <c r="X24" s="88" t="s">
        <v>30</v>
      </c>
      <c r="Y24" s="89">
        <f t="shared" ref="Y24" si="178">Y23+Y20+O24-O20</f>
        <v>250</v>
      </c>
      <c r="Z24" s="90">
        <f t="shared" ref="Z24" si="179">ROUNDDOWN((Y20-O20+D24+L24)*$Z$4,0)</f>
        <v>2</v>
      </c>
      <c r="AA24" s="90">
        <f t="shared" ref="AA24" si="180">ROUNDDOWN((Y20+L24-O20+D24)*$AA$4,0)</f>
        <v>15</v>
      </c>
    </row>
    <row r="25" spans="1:27" ht="18" customHeight="1" thickTop="1" thickBot="1" x14ac:dyDescent="0.3">
      <c r="A25" s="193">
        <f t="shared" ref="A25" si="181">A21+1</f>
        <v>6</v>
      </c>
      <c r="B25" s="193" t="str">
        <f t="shared" ref="B25" ca="1" si="182">IF((L28+Y24)&lt;IF(B$3="하",$AE$8,$AE$6),0,IF((L28+Y24)&gt;IF(B$3="하",$AE$7,$AE$5),"",MAX(B21,M21)+1))</f>
        <v/>
      </c>
      <c r="C25" s="141" t="str">
        <f t="shared" ref="C25" si="183">IF(AA26-O24&lt;$B$1," ","MAX to "&amp;MROUND(IF(IF(AA26-O24&gt;$B$1,$B$1,AA26-O24)&lt;2,J21,J21*(37-IF(AA26-O24&gt;$B$1,$B$1,AA26-O24))/36),E28))</f>
        <v>MAX to 177.5</v>
      </c>
      <c r="D25" s="90" t="str">
        <f t="shared" ref="D25:D40" si="184">IF(AA26&lt;=O24,"X",IF(Z26&gt;O24,"must ME","can ME"))</f>
        <v>must ME</v>
      </c>
      <c r="E25" s="75" t="s">
        <v>31</v>
      </c>
      <c r="F25" s="23">
        <v>4</v>
      </c>
      <c r="G25" s="2">
        <v>1</v>
      </c>
      <c r="H25" s="23">
        <f t="shared" ref="H25:H40" si="185">IF(G26&gt;=90%,2,IF(G26&gt;=80%,4,IF(G26&gt;=70%,6,6)))</f>
        <v>6</v>
      </c>
      <c r="I25" s="3" t="s">
        <v>2</v>
      </c>
      <c r="J25" s="91">
        <f t="shared" ref="J25" si="186">L26/(100%-IF($B$3="하",$AB$8,$AB$6)*L28)/L28</f>
        <v>200.69204152249139</v>
      </c>
      <c r="K25" s="92">
        <f t="shared" ref="K25:K40" si="187">IF("하"=$B$3,$AC$7,$AC$5)</f>
        <v>25</v>
      </c>
      <c r="L25" s="107" t="s">
        <v>33</v>
      </c>
      <c r="M25" s="193" t="str">
        <f t="shared" ref="M25" ca="1" si="188">IF($Y28&lt;IF(M$3="하",$AE$8,$AE$6),0,IF($Y28&gt;IF(M$3="하",$AE$7,$AE$5),"",MAX(B25,M21)+1))</f>
        <v/>
      </c>
      <c r="N25" s="141" t="str">
        <f t="shared" ref="N25" si="189">IF(AA28-D28&lt;$B$1,"","MAX to "&amp;MROUND(IF(IF(AA28-D28&gt;$B$1,$B$1,AA28-D28)&lt;2,U21,U21*(37-IF(AA28-D28&gt;$B$1,$B$1,AA28-D28))/36),P28))</f>
        <v>MAX to 177.5</v>
      </c>
      <c r="O25" s="90" t="str">
        <f t="shared" ref="O25" si="190">IF(AA28&lt;=D28,"X",IF(Z28&gt;D28,"must ME","can ME"))</f>
        <v>must ME</v>
      </c>
      <c r="P25" s="75" t="s">
        <v>31</v>
      </c>
      <c r="Q25" s="23">
        <v>4</v>
      </c>
      <c r="R25" s="2" t="s">
        <v>32</v>
      </c>
      <c r="S25" s="23">
        <v>6</v>
      </c>
      <c r="T25" s="3" t="s">
        <v>2</v>
      </c>
      <c r="U25" s="91">
        <f t="shared" ref="U25" si="191">W26/(100%-IF($B$3="하",$AB$8,$AB$6)*W28)/W28</f>
        <v>200.69204152249139</v>
      </c>
      <c r="V25" s="92">
        <f t="shared" ref="V25:V40" si="192">IF("하"=$B$3,$AC$8,$AC$6)</f>
        <v>25</v>
      </c>
      <c r="W25" s="108" t="s">
        <v>33</v>
      </c>
      <c r="X25" s="75" t="s">
        <v>25</v>
      </c>
      <c r="Y25" s="76">
        <f t="shared" ref="Y25:Y40" si="193">L26+W26</f>
        <v>7250</v>
      </c>
      <c r="Z25" s="93" t="s">
        <v>34</v>
      </c>
      <c r="AA25" s="93" t="s">
        <v>35</v>
      </c>
    </row>
    <row r="26" spans="1:27" ht="18" customHeight="1" thickTop="1" thickBot="1" x14ac:dyDescent="0.3">
      <c r="A26" s="194"/>
      <c r="B26" s="194"/>
      <c r="C26" s="143"/>
      <c r="D26" s="142" t="str">
        <f t="shared" ref="D26" si="194">IF(C28="","",IF(C26*36/(37-C28)=0,"",C26*36/(37-C28)))</f>
        <v/>
      </c>
      <c r="E26" s="109" t="str">
        <f t="shared" ref="E26" si="195">E22</f>
        <v>exercise1</v>
      </c>
      <c r="F26" s="18">
        <f t="shared" ref="F26" si="196">IF(D26="",J21,D26)</f>
        <v>200.69204152249139</v>
      </c>
      <c r="G26" s="94">
        <f t="shared" ref="G26:G40" si="197">100%-K25*IF($B$3="하",$AB$8,$AB$6)</f>
        <v>0.72249999999999992</v>
      </c>
      <c r="H26" s="7">
        <f t="shared" ref="H26:H40" si="198">G26</f>
        <v>0.72249999999999992</v>
      </c>
      <c r="I26" s="7">
        <f t="shared" ref="I26:I40" si="199">H26</f>
        <v>0.72249999999999992</v>
      </c>
      <c r="J26" s="7">
        <f t="shared" ref="J26:J40" si="200">I26</f>
        <v>0.72249999999999992</v>
      </c>
      <c r="K26" s="8">
        <f t="shared" ref="K26:K27" si="201">J26</f>
        <v>0.72249999999999992</v>
      </c>
      <c r="L26" s="95">
        <f t="shared" ref="L26" si="202">G27*G28+H27*H28+I27*I28+J27*J28+K27*K28</f>
        <v>3625</v>
      </c>
      <c r="M26" s="194"/>
      <c r="N26" s="143"/>
      <c r="O26" s="142" t="str">
        <f t="shared" ref="O26" si="203">IF(N28="","",IF(N26*36/(37-N28)=0,"",N26*36/(37-N28)))</f>
        <v/>
      </c>
      <c r="P26" s="109" t="str">
        <f t="shared" ref="P26" si="204">P22</f>
        <v>exercise2</v>
      </c>
      <c r="Q26" s="18">
        <f t="shared" ref="Q26" si="205">IF(O26="",U21,O26)</f>
        <v>200.69204152249139</v>
      </c>
      <c r="R26" s="94">
        <f t="shared" ref="R26:R40" si="206">100%-V25*IF($B$3="하",$AB$8,$AB$6)</f>
        <v>0.72249999999999992</v>
      </c>
      <c r="S26" s="7">
        <f t="shared" ref="S26:S40" si="207">R26</f>
        <v>0.72249999999999992</v>
      </c>
      <c r="T26" s="7">
        <f t="shared" ref="T26:T40" si="208">S26</f>
        <v>0.72249999999999992</v>
      </c>
      <c r="U26" s="7">
        <f t="shared" ref="U26:U40" si="209">T26</f>
        <v>0.72249999999999992</v>
      </c>
      <c r="V26" s="8">
        <f t="shared" ref="V26:V40" si="210">U26</f>
        <v>0.72249999999999992</v>
      </c>
      <c r="W26" s="96">
        <f t="shared" ref="W26" si="211">R27*R28+S27*S28+T27*T28+U27*U28+V27*V28</f>
        <v>3625</v>
      </c>
      <c r="X26" s="86" t="s">
        <v>27</v>
      </c>
      <c r="Y26" s="81">
        <f t="shared" ref="Y26" si="212">Y25+Y22</f>
        <v>43500</v>
      </c>
      <c r="Z26" s="90">
        <f t="shared" ref="Z26" si="213">ROUNDDOWN(Y24*$Z$4,0)</f>
        <v>2</v>
      </c>
      <c r="AA26" s="90">
        <f t="shared" ref="AA26" si="214">ROUNDDOWN(Y24*$AA$4,0)</f>
        <v>17</v>
      </c>
    </row>
    <row r="27" spans="1:27" ht="18" customHeight="1" thickTop="1" thickBot="1" x14ac:dyDescent="0.3">
      <c r="A27" s="194"/>
      <c r="B27" s="194"/>
      <c r="C27" s="141" t="str">
        <f t="shared" ref="C27" si="215">IF(AA26-O24&lt;$B$1," ","1~ "&amp;IF(AA26-O24&gt;$B$1,$B$1,AA26-O24)&amp;" rep")</f>
        <v>1~ 5 rep</v>
      </c>
      <c r="D27" s="97" t="s">
        <v>37</v>
      </c>
      <c r="E27" s="98" t="s">
        <v>5</v>
      </c>
      <c r="F27" s="5" t="s">
        <v>3</v>
      </c>
      <c r="G27" s="18">
        <f t="shared" ref="G27:G40" si="216">MROUND(G26*F26,E28)</f>
        <v>145</v>
      </c>
      <c r="H27" s="18">
        <f t="shared" si="198"/>
        <v>145</v>
      </c>
      <c r="I27" s="18">
        <f t="shared" si="199"/>
        <v>145</v>
      </c>
      <c r="J27" s="18">
        <f t="shared" si="200"/>
        <v>145</v>
      </c>
      <c r="K27" s="19">
        <f t="shared" si="201"/>
        <v>145</v>
      </c>
      <c r="L27" s="74" t="s">
        <v>10</v>
      </c>
      <c r="M27" s="194"/>
      <c r="N27" s="141" t="str">
        <f t="shared" ref="N27:N40" si="217">IF(AA28-D28&lt;$B$1,"","1~"&amp;IF(AA28-D28&gt;$B$1,$B$1,AA28-D28)&amp;" rep")</f>
        <v>1~5 rep</v>
      </c>
      <c r="O27" s="97" t="s">
        <v>37</v>
      </c>
      <c r="P27" s="86" t="s">
        <v>5</v>
      </c>
      <c r="Q27" s="5" t="s">
        <v>3</v>
      </c>
      <c r="R27" s="18">
        <f t="shared" ref="R27:R40" si="218">MROUND(R26*Q26,P28)</f>
        <v>145</v>
      </c>
      <c r="S27" s="18">
        <f t="shared" si="207"/>
        <v>145</v>
      </c>
      <c r="T27" s="18">
        <f t="shared" si="208"/>
        <v>145</v>
      </c>
      <c r="U27" s="18">
        <f t="shared" si="209"/>
        <v>145</v>
      </c>
      <c r="V27" s="19">
        <f t="shared" si="210"/>
        <v>145</v>
      </c>
      <c r="W27" s="99" t="s">
        <v>10</v>
      </c>
      <c r="X27" s="86" t="s">
        <v>28</v>
      </c>
      <c r="Y27" s="87">
        <f t="shared" ref="Y27:Y40" si="219">L28+W28</f>
        <v>50</v>
      </c>
      <c r="Z27" s="93" t="s">
        <v>34</v>
      </c>
      <c r="AA27" s="93" t="s">
        <v>35</v>
      </c>
    </row>
    <row r="28" spans="1:27" ht="18" customHeight="1" thickTop="1" thickBot="1" x14ac:dyDescent="0.3">
      <c r="A28" s="195"/>
      <c r="B28" s="195"/>
      <c r="C28" s="144"/>
      <c r="D28" s="90">
        <f t="shared" ref="D28" si="220">IF(C26="",O24,IF(D26&lt;=0,O24,O24+C28))</f>
        <v>0</v>
      </c>
      <c r="E28" s="100">
        <f t="shared" ref="E28" si="221">E24</f>
        <v>2.5</v>
      </c>
      <c r="F28" s="13" t="s">
        <v>7</v>
      </c>
      <c r="G28" s="103">
        <f t="shared" ref="G28" si="222" xml:space="preserve"> IF($B$3="하",0,IF(MROUND(K25/5,1)&lt;=H25,IF(MROUND(K25/5,1)&gt;=F25,MROUND(K25/5,1),F25),H25))</f>
        <v>5</v>
      </c>
      <c r="H28" s="104">
        <f t="shared" ref="H28" si="223">IF(MROUND((K25-G28)/4,1)&lt;=H25,IF(MROUND((K25-G28)/4,1)&gt;=F25,MROUND((K25-G28)/4,1),F25),H25)</f>
        <v>5</v>
      </c>
      <c r="I28" s="104">
        <f t="shared" ref="I28" si="224">IF(MROUND((K25-G28-H28)/3,1)&lt;=H25,IF(MROUND((K25-G28-H28)/3,1)&gt;=F25,MROUND((K25-G28-H28)/3,1),F25),H25)</f>
        <v>5</v>
      </c>
      <c r="J28" s="104">
        <f t="shared" ref="J28" si="225">IF(MROUND((K25-G28-H28-I28)/2,1)&lt;=H25,IF((K25-G28-H28-I28)/2&gt;=F25,MROUND((K25-G28-H28-I28)/2,1),K25-G28-H28-I28),H25)</f>
        <v>5</v>
      </c>
      <c r="K28" s="105">
        <f t="shared" ref="K28" si="226">IF((K25-(G28+H28+I28+J28))&gt;0,(K25-(G28+H28+I28+J28)),0)</f>
        <v>5</v>
      </c>
      <c r="L28" s="101">
        <f t="shared" ref="L28" si="227">SUM(G28:K28)</f>
        <v>25</v>
      </c>
      <c r="M28" s="195"/>
      <c r="N28" s="144"/>
      <c r="O28" s="90">
        <f t="shared" ref="O28" si="228">IF(""=N26,D28,IF(O26&lt;=0,D28,D28+N28))</f>
        <v>0</v>
      </c>
      <c r="P28" s="102">
        <f t="shared" ref="P28" si="229">P24</f>
        <v>2.5</v>
      </c>
      <c r="Q28" s="13" t="s">
        <v>7</v>
      </c>
      <c r="R28" s="103">
        <f t="shared" ref="R28" si="230" xml:space="preserve"> IF($B$3="하",0,IF(MROUND(V25/5,1)&lt;=S25,IF(MROUND(V25/5,1)&gt;=Q25,MROUND(V25/5,1),Q25),S25))</f>
        <v>5</v>
      </c>
      <c r="S28" s="104">
        <f t="shared" ref="S28" si="231">IF(MROUND((V25-R28)/4,1)&lt;=S25,IF(MROUND((V25-R28)/4,1)&gt;=Q25,MROUND((V25-R28)/4,1),Q25),S25)</f>
        <v>5</v>
      </c>
      <c r="T28" s="104">
        <f t="shared" ref="T28" si="232">IF(MROUND((V25-R28-S28)/3,1)&lt;=S25,IF(MROUND((V25-R28-S28)/3,1)&gt;=Q25,MROUND((V25-R28-S28)/3,1),Q25),S25)</f>
        <v>5</v>
      </c>
      <c r="U28" s="104">
        <f t="shared" ref="U28" si="233">IF(MROUND((V25-R28-S28-T28)/2,1)&lt;=S25,IF((V25-R28-S28-T28)/2&gt;=Q25,MROUND((V25-R28-S28-T28)/2,1),V25-R28-S28-T28),S25)</f>
        <v>5</v>
      </c>
      <c r="V28" s="105">
        <f t="shared" ref="V28" si="234">IF((V25-(R28+S28+T28+U28))&gt;0,(V25-(R28+S28+T28+U28)),0)</f>
        <v>5</v>
      </c>
      <c r="W28" s="106">
        <f t="shared" ref="W28" si="235">SUM(R28:V28)</f>
        <v>25</v>
      </c>
      <c r="X28" s="88" t="s">
        <v>30</v>
      </c>
      <c r="Y28" s="89">
        <f t="shared" ref="Y28" si="236">Y27+Y24+O28-O24</f>
        <v>300</v>
      </c>
      <c r="Z28" s="90">
        <f t="shared" ref="Z28" si="237">ROUNDDOWN((Y24-O24+D28+L28)*$Z$4,0)</f>
        <v>2</v>
      </c>
      <c r="AA28" s="90">
        <f t="shared" ref="AA28" si="238">ROUNDDOWN((Y24+L28-O24+D28)*$AA$4,0)</f>
        <v>19</v>
      </c>
    </row>
    <row r="29" spans="1:27" ht="18" customHeight="1" thickTop="1" thickBot="1" x14ac:dyDescent="0.3">
      <c r="A29" s="193">
        <f t="shared" ref="A29" si="239">A25+1</f>
        <v>7</v>
      </c>
      <c r="B29" s="193" t="str">
        <f t="shared" ref="B29" ca="1" si="240">IF((L32+Y28)&lt;IF(B$3="하",$AE$8,$AE$6),0,IF((L32+Y28)&gt;IF(B$3="하",$AE$7,$AE$5),"",MAX(B25,M25)+1))</f>
        <v/>
      </c>
      <c r="C29" s="141" t="str">
        <f t="shared" ref="C29" si="241">IF(AA30-O28&lt;$B$1," ","MAX to "&amp;MROUND(IF(IF(AA30-O28&gt;$B$1,$B$1,AA30-O28)&lt;2,J25,J25*(37-IF(AA30-O28&gt;$B$1,$B$1,AA30-O28))/36),E32))</f>
        <v>MAX to 177.5</v>
      </c>
      <c r="D29" s="90" t="str">
        <f t="shared" ref="D29:D40" si="242">IF(AA30&lt;=O28,"X",IF(Z30&gt;O28,"must ME","can ME"))</f>
        <v>must ME</v>
      </c>
      <c r="E29" s="75" t="s">
        <v>31</v>
      </c>
      <c r="F29" s="23">
        <v>4</v>
      </c>
      <c r="G29" s="2">
        <v>1</v>
      </c>
      <c r="H29" s="23">
        <f t="shared" ref="H29:H40" si="243">IF(G30&gt;=90%,2,IF(G30&gt;=80%,4,IF(G30&gt;=70%,6,6)))</f>
        <v>6</v>
      </c>
      <c r="I29" s="3" t="s">
        <v>2</v>
      </c>
      <c r="J29" s="91">
        <f t="shared" ref="J29" si="244">L30/(100%-IF($B$3="하",$AB$8,$AB$6)*L32)/L32</f>
        <v>200.69204152249139</v>
      </c>
      <c r="K29" s="92">
        <f t="shared" ref="K29:K40" si="245">IF("하"=$B$3,$AC$7,$AC$5)</f>
        <v>25</v>
      </c>
      <c r="L29" s="107" t="s">
        <v>33</v>
      </c>
      <c r="M29" s="193" t="str">
        <f t="shared" ref="M29" ca="1" si="246">IF($Y32&lt;IF(M$3="하",$AE$8,$AE$6),0,IF($Y32&gt;IF(M$3="하",$AE$7,$AE$5),"",MAX(B29,M25)+1))</f>
        <v/>
      </c>
      <c r="N29" s="141" t="str">
        <f t="shared" ref="N29" si="247">IF(AA32-D32&lt;$B$1,"","MAX to "&amp;MROUND(IF(IF(AA32-D32&gt;$B$1,$B$1,AA32-D32)&lt;2,U25,U25*(37-IF(AA32-D32&gt;$B$1,$B$1,AA32-D32))/36),P32))</f>
        <v>MAX to 177.5</v>
      </c>
      <c r="O29" s="90" t="str">
        <f t="shared" ref="O29" si="248">IF(AA32&lt;=D32,"X",IF(Z32&gt;D32,"must ME","can ME"))</f>
        <v>must ME</v>
      </c>
      <c r="P29" s="75" t="s">
        <v>31</v>
      </c>
      <c r="Q29" s="23">
        <v>4</v>
      </c>
      <c r="R29" s="2" t="s">
        <v>32</v>
      </c>
      <c r="S29" s="23">
        <v>6</v>
      </c>
      <c r="T29" s="3" t="s">
        <v>2</v>
      </c>
      <c r="U29" s="91">
        <f t="shared" ref="U29" si="249">W30/(100%-IF($B$3="하",$AB$8,$AB$6)*W32)/W32</f>
        <v>200.69204152249139</v>
      </c>
      <c r="V29" s="92">
        <f t="shared" ref="V29:V40" si="250">IF("하"=$B$3,$AC$8,$AC$6)</f>
        <v>25</v>
      </c>
      <c r="W29" s="108" t="s">
        <v>33</v>
      </c>
      <c r="X29" s="75" t="s">
        <v>25</v>
      </c>
      <c r="Y29" s="76">
        <f t="shared" ref="Y29:Y40" si="251">L30+W30</f>
        <v>7250</v>
      </c>
      <c r="Z29" s="93" t="s">
        <v>34</v>
      </c>
      <c r="AA29" s="93" t="s">
        <v>35</v>
      </c>
    </row>
    <row r="30" spans="1:27" ht="18" customHeight="1" thickTop="1" thickBot="1" x14ac:dyDescent="0.3">
      <c r="A30" s="194"/>
      <c r="B30" s="194"/>
      <c r="C30" s="143"/>
      <c r="D30" s="142" t="str">
        <f t="shared" ref="D30" si="252">IF(C32="","",IF(C30*36/(37-C32)=0,"",C30*36/(37-C32)))</f>
        <v/>
      </c>
      <c r="E30" s="109" t="str">
        <f t="shared" ref="E30" si="253">E26</f>
        <v>exercise1</v>
      </c>
      <c r="F30" s="18">
        <f t="shared" ref="F30" si="254">IF(D30="",J25,D30)</f>
        <v>200.69204152249139</v>
      </c>
      <c r="G30" s="94">
        <f t="shared" ref="G30:G40" si="255">100%-K29*IF($B$3="하",$AB$8,$AB$6)</f>
        <v>0.72249999999999992</v>
      </c>
      <c r="H30" s="7">
        <f t="shared" ref="H30:H40" si="256">G30</f>
        <v>0.72249999999999992</v>
      </c>
      <c r="I30" s="7">
        <f t="shared" ref="I30:I40" si="257">H30</f>
        <v>0.72249999999999992</v>
      </c>
      <c r="J30" s="7">
        <f t="shared" ref="J30:J40" si="258">I30</f>
        <v>0.72249999999999992</v>
      </c>
      <c r="K30" s="8">
        <f t="shared" ref="K30:K31" si="259">J30</f>
        <v>0.72249999999999992</v>
      </c>
      <c r="L30" s="95">
        <f t="shared" ref="L30" si="260">G31*G32+H31*H32+I31*I32+J31*J32+K31*K32</f>
        <v>3625</v>
      </c>
      <c r="M30" s="194"/>
      <c r="N30" s="143"/>
      <c r="O30" s="142" t="str">
        <f t="shared" ref="O30" si="261">IF(N32="","",IF(N30*36/(37-N32)=0,"",N30*36/(37-N32)))</f>
        <v/>
      </c>
      <c r="P30" s="109" t="str">
        <f t="shared" ref="P30" si="262">P26</f>
        <v>exercise2</v>
      </c>
      <c r="Q30" s="18">
        <f t="shared" ref="Q30" si="263">IF(O30="",U25,O30)</f>
        <v>200.69204152249139</v>
      </c>
      <c r="R30" s="94">
        <f t="shared" ref="R30:R40" si="264">100%-V29*IF($B$3="하",$AB$8,$AB$6)</f>
        <v>0.72249999999999992</v>
      </c>
      <c r="S30" s="7">
        <f t="shared" ref="S30:S40" si="265">R30</f>
        <v>0.72249999999999992</v>
      </c>
      <c r="T30" s="7">
        <f t="shared" ref="T30:T40" si="266">S30</f>
        <v>0.72249999999999992</v>
      </c>
      <c r="U30" s="7">
        <f t="shared" ref="U30:U40" si="267">T30</f>
        <v>0.72249999999999992</v>
      </c>
      <c r="V30" s="8">
        <f t="shared" ref="V30:V40" si="268">U30</f>
        <v>0.72249999999999992</v>
      </c>
      <c r="W30" s="96">
        <f t="shared" ref="W30" si="269">R31*R32+S31*S32+T31*T32+U31*U32+V31*V32</f>
        <v>3625</v>
      </c>
      <c r="X30" s="86" t="s">
        <v>27</v>
      </c>
      <c r="Y30" s="81">
        <f t="shared" ref="Y30" si="270">Y29+Y26</f>
        <v>50750</v>
      </c>
      <c r="Z30" s="90">
        <f t="shared" ref="Z30" si="271">ROUNDDOWN(Y28*$Z$4,0)</f>
        <v>3</v>
      </c>
      <c r="AA30" s="90">
        <f t="shared" ref="AA30" si="272">ROUNDDOWN(Y28*$AA$4,0)</f>
        <v>21</v>
      </c>
    </row>
    <row r="31" spans="1:27" ht="18" customHeight="1" thickTop="1" thickBot="1" x14ac:dyDescent="0.3">
      <c r="A31" s="194"/>
      <c r="B31" s="194"/>
      <c r="C31" s="141" t="str">
        <f t="shared" ref="C31" si="273">IF(AA30-O28&lt;$B$1," ","1~ "&amp;IF(AA30-O28&gt;$B$1,$B$1,AA30-O28)&amp;" rep")</f>
        <v>1~ 5 rep</v>
      </c>
      <c r="D31" s="97" t="s">
        <v>37</v>
      </c>
      <c r="E31" s="98" t="s">
        <v>5</v>
      </c>
      <c r="F31" s="5" t="s">
        <v>3</v>
      </c>
      <c r="G31" s="18">
        <f t="shared" ref="G31:G40" si="274">MROUND(G30*F30,E32)</f>
        <v>145</v>
      </c>
      <c r="H31" s="18">
        <f t="shared" si="256"/>
        <v>145</v>
      </c>
      <c r="I31" s="18">
        <f t="shared" si="257"/>
        <v>145</v>
      </c>
      <c r="J31" s="18">
        <f t="shared" si="258"/>
        <v>145</v>
      </c>
      <c r="K31" s="19">
        <f t="shared" si="259"/>
        <v>145</v>
      </c>
      <c r="L31" s="74" t="s">
        <v>10</v>
      </c>
      <c r="M31" s="194"/>
      <c r="N31" s="141" t="str">
        <f t="shared" ref="N31:N40" si="275">IF(AA32-D32&lt;$B$1,"","1~"&amp;IF(AA32-D32&gt;$B$1,$B$1,AA32-D32)&amp;" rep")</f>
        <v>1~5 rep</v>
      </c>
      <c r="O31" s="97" t="s">
        <v>37</v>
      </c>
      <c r="P31" s="86" t="s">
        <v>5</v>
      </c>
      <c r="Q31" s="5" t="s">
        <v>3</v>
      </c>
      <c r="R31" s="18">
        <f t="shared" ref="R31:R40" si="276">MROUND(R30*Q30,P32)</f>
        <v>145</v>
      </c>
      <c r="S31" s="18">
        <f t="shared" si="265"/>
        <v>145</v>
      </c>
      <c r="T31" s="18">
        <f t="shared" si="266"/>
        <v>145</v>
      </c>
      <c r="U31" s="18">
        <f t="shared" si="267"/>
        <v>145</v>
      </c>
      <c r="V31" s="19">
        <f t="shared" si="268"/>
        <v>145</v>
      </c>
      <c r="W31" s="99" t="s">
        <v>10</v>
      </c>
      <c r="X31" s="86" t="s">
        <v>28</v>
      </c>
      <c r="Y31" s="87">
        <f t="shared" ref="Y31:Y40" si="277">L32+W32</f>
        <v>50</v>
      </c>
      <c r="Z31" s="93" t="s">
        <v>34</v>
      </c>
      <c r="AA31" s="93" t="s">
        <v>35</v>
      </c>
    </row>
    <row r="32" spans="1:27" ht="18" customHeight="1" thickTop="1" thickBot="1" x14ac:dyDescent="0.3">
      <c r="A32" s="195"/>
      <c r="B32" s="195"/>
      <c r="C32" s="144"/>
      <c r="D32" s="90">
        <f t="shared" ref="D32" si="278">IF(C30="",O28,IF(D30&lt;=0,O28,O28+C32))</f>
        <v>0</v>
      </c>
      <c r="E32" s="100">
        <f t="shared" ref="E32" si="279">E28</f>
        <v>2.5</v>
      </c>
      <c r="F32" s="13" t="s">
        <v>7</v>
      </c>
      <c r="G32" s="103">
        <f t="shared" ref="G32" si="280" xml:space="preserve"> IF($B$3="하",0,IF(MROUND(K29/5,1)&lt;=H29,IF(MROUND(K29/5,1)&gt;=F29,MROUND(K29/5,1),F29),H29))</f>
        <v>5</v>
      </c>
      <c r="H32" s="104">
        <f t="shared" ref="H32" si="281">IF(MROUND((K29-G32)/4,1)&lt;=H29,IF(MROUND((K29-G32)/4,1)&gt;=F29,MROUND((K29-G32)/4,1),F29),H29)</f>
        <v>5</v>
      </c>
      <c r="I32" s="104">
        <f t="shared" ref="I32" si="282">IF(MROUND((K29-G32-H32)/3,1)&lt;=H29,IF(MROUND((K29-G32-H32)/3,1)&gt;=F29,MROUND((K29-G32-H32)/3,1),F29),H29)</f>
        <v>5</v>
      </c>
      <c r="J32" s="104">
        <f t="shared" ref="J32" si="283">IF(MROUND((K29-G32-H32-I32)/2,1)&lt;=H29,IF((K29-G32-H32-I32)/2&gt;=F29,MROUND((K29-G32-H32-I32)/2,1),K29-G32-H32-I32),H29)</f>
        <v>5</v>
      </c>
      <c r="K32" s="105">
        <f t="shared" ref="K32" si="284">IF((K29-(G32+H32+I32+J32))&gt;0,(K29-(G32+H32+I32+J32)),0)</f>
        <v>5</v>
      </c>
      <c r="L32" s="101">
        <f t="shared" ref="L32" si="285">SUM(G32:K32)</f>
        <v>25</v>
      </c>
      <c r="M32" s="195"/>
      <c r="N32" s="144"/>
      <c r="O32" s="90">
        <f t="shared" ref="O32" si="286">IF(""=N30,D32,IF(O30&lt;=0,D32,D32+N32))</f>
        <v>0</v>
      </c>
      <c r="P32" s="102">
        <f t="shared" ref="P32" si="287">P28</f>
        <v>2.5</v>
      </c>
      <c r="Q32" s="13" t="s">
        <v>7</v>
      </c>
      <c r="R32" s="103">
        <f t="shared" ref="R32" si="288" xml:space="preserve"> IF($B$3="하",0,IF(MROUND(V29/5,1)&lt;=S29,IF(MROUND(V29/5,1)&gt;=Q29,MROUND(V29/5,1),Q29),S29))</f>
        <v>5</v>
      </c>
      <c r="S32" s="104">
        <f t="shared" ref="S32" si="289">IF(MROUND((V29-R32)/4,1)&lt;=S29,IF(MROUND((V29-R32)/4,1)&gt;=Q29,MROUND((V29-R32)/4,1),Q29),S29)</f>
        <v>5</v>
      </c>
      <c r="T32" s="104">
        <f t="shared" ref="T32" si="290">IF(MROUND((V29-R32-S32)/3,1)&lt;=S29,IF(MROUND((V29-R32-S32)/3,1)&gt;=Q29,MROUND((V29-R32-S32)/3,1),Q29),S29)</f>
        <v>5</v>
      </c>
      <c r="U32" s="104">
        <f t="shared" ref="U32" si="291">IF(MROUND((V29-R32-S32-T32)/2,1)&lt;=S29,IF((V29-R32-S32-T32)/2&gt;=Q29,MROUND((V29-R32-S32-T32)/2,1),V29-R32-S32-T32),S29)</f>
        <v>5</v>
      </c>
      <c r="V32" s="105">
        <f t="shared" ref="V32" si="292">IF((V29-(R32+S32+T32+U32))&gt;0,(V29-(R32+S32+T32+U32)),0)</f>
        <v>5</v>
      </c>
      <c r="W32" s="106">
        <f t="shared" ref="W32" si="293">SUM(R32:V32)</f>
        <v>25</v>
      </c>
      <c r="X32" s="88" t="s">
        <v>30</v>
      </c>
      <c r="Y32" s="89">
        <f t="shared" ref="Y32" si="294">Y31+Y28+O32-O28</f>
        <v>350</v>
      </c>
      <c r="Z32" s="90">
        <f t="shared" ref="Z32" si="295">ROUNDDOWN((Y28-O28+D32+L32)*$Z$4,0)</f>
        <v>3</v>
      </c>
      <c r="AA32" s="90">
        <f t="shared" ref="AA32" si="296">ROUNDDOWN((Y28+L32-O28+D32)*$AA$4,0)</f>
        <v>22</v>
      </c>
    </row>
    <row r="33" spans="1:27" ht="18" customHeight="1" thickTop="1" thickBot="1" x14ac:dyDescent="0.3">
      <c r="A33" s="193">
        <f t="shared" ref="A33" si="297">A29+1</f>
        <v>8</v>
      </c>
      <c r="B33" s="193" t="str">
        <f t="shared" ref="B33" ca="1" si="298">IF((L36+Y32)&lt;IF(B$3="하",$AE$8,$AE$6),0,IF((L36+Y32)&gt;IF(B$3="하",$AE$7,$AE$5),"",MAX(B29,M29)+1))</f>
        <v/>
      </c>
      <c r="C33" s="141" t="str">
        <f t="shared" ref="C33" si="299">IF(AA34-O32&lt;$B$1," ","MAX to "&amp;MROUND(IF(IF(AA34-O32&gt;$B$1,$B$1,AA34-O32)&lt;2,J29,J29*(37-IF(AA34-O32&gt;$B$1,$B$1,AA34-O32))/36),E36))</f>
        <v>MAX to 177.5</v>
      </c>
      <c r="D33" s="90" t="str">
        <f t="shared" ref="D33:D40" si="300">IF(AA34&lt;=O32,"X",IF(Z34&gt;O32,"must ME","can ME"))</f>
        <v>must ME</v>
      </c>
      <c r="E33" s="75" t="s">
        <v>31</v>
      </c>
      <c r="F33" s="23">
        <v>4</v>
      </c>
      <c r="G33" s="2">
        <v>1</v>
      </c>
      <c r="H33" s="23">
        <f t="shared" ref="H33:H40" si="301">IF(G34&gt;=90%,2,IF(G34&gt;=80%,4,IF(G34&gt;=70%,6,6)))</f>
        <v>6</v>
      </c>
      <c r="I33" s="3" t="s">
        <v>2</v>
      </c>
      <c r="J33" s="91">
        <f t="shared" ref="J33" si="302">L34/(100%-IF($B$3="하",$AB$8,$AB$6)*L36)/L36</f>
        <v>200.69204152249139</v>
      </c>
      <c r="K33" s="92">
        <f t="shared" ref="K33:K40" si="303">IF("하"=$B$3,$AC$7,$AC$5)</f>
        <v>25</v>
      </c>
      <c r="L33" s="107" t="s">
        <v>33</v>
      </c>
      <c r="M33" s="193" t="str">
        <f t="shared" ref="M33" ca="1" si="304">IF($Y36&lt;IF(M$3="하",$AE$8,$AE$6),0,IF($Y36&gt;IF(M$3="하",$AE$7,$AE$5),"",MAX(B33,M29)+1))</f>
        <v/>
      </c>
      <c r="N33" s="141" t="str">
        <f t="shared" ref="N33" si="305">IF(AA36-D36&lt;$B$1,"","MAX to "&amp;MROUND(IF(IF(AA36-D36&gt;$B$1,$B$1,AA36-D36)&lt;2,U29,U29*(37-IF(AA36-D36&gt;$B$1,$B$1,AA36-D36))/36),P36))</f>
        <v>MAX to 177.5</v>
      </c>
      <c r="O33" s="90" t="str">
        <f t="shared" ref="O33" si="306">IF(AA36&lt;=D36,"X",IF(Z36&gt;D36,"must ME","can ME"))</f>
        <v>must ME</v>
      </c>
      <c r="P33" s="75" t="s">
        <v>31</v>
      </c>
      <c r="Q33" s="23">
        <v>4</v>
      </c>
      <c r="R33" s="2" t="s">
        <v>32</v>
      </c>
      <c r="S33" s="23">
        <v>6</v>
      </c>
      <c r="T33" s="3" t="s">
        <v>2</v>
      </c>
      <c r="U33" s="91">
        <f t="shared" ref="U33" si="307">W34/(100%-IF($B$3="하",$AB$8,$AB$6)*W36)/W36</f>
        <v>200.69204152249139</v>
      </c>
      <c r="V33" s="92">
        <f t="shared" ref="V33:V40" si="308">IF("하"=$B$3,$AC$8,$AC$6)</f>
        <v>25</v>
      </c>
      <c r="W33" s="108" t="s">
        <v>33</v>
      </c>
      <c r="X33" s="75" t="s">
        <v>25</v>
      </c>
      <c r="Y33" s="76">
        <f t="shared" ref="Y33:Y40" si="309">L34+W34</f>
        <v>7250</v>
      </c>
      <c r="Z33" s="93" t="s">
        <v>34</v>
      </c>
      <c r="AA33" s="93" t="s">
        <v>35</v>
      </c>
    </row>
    <row r="34" spans="1:27" ht="18" customHeight="1" thickTop="1" thickBot="1" x14ac:dyDescent="0.3">
      <c r="A34" s="194"/>
      <c r="B34" s="194"/>
      <c r="C34" s="143"/>
      <c r="D34" s="142" t="str">
        <f t="shared" ref="D34" si="310">IF(C36="","",IF(C34*36/(37-C36)=0,"",C34*36/(37-C36)))</f>
        <v/>
      </c>
      <c r="E34" s="109" t="str">
        <f t="shared" ref="E34" si="311">E30</f>
        <v>exercise1</v>
      </c>
      <c r="F34" s="18">
        <f t="shared" ref="F34" si="312">IF(D34="",J29,D34)</f>
        <v>200.69204152249139</v>
      </c>
      <c r="G34" s="94">
        <f t="shared" ref="G34:G40" si="313">100%-K33*IF($B$3="하",$AB$8,$AB$6)</f>
        <v>0.72249999999999992</v>
      </c>
      <c r="H34" s="7">
        <f t="shared" ref="H34:H40" si="314">G34</f>
        <v>0.72249999999999992</v>
      </c>
      <c r="I34" s="7">
        <f t="shared" ref="I34:I40" si="315">H34</f>
        <v>0.72249999999999992</v>
      </c>
      <c r="J34" s="7">
        <f t="shared" ref="J34:J40" si="316">I34</f>
        <v>0.72249999999999992</v>
      </c>
      <c r="K34" s="8">
        <f t="shared" ref="K34:K35" si="317">J34</f>
        <v>0.72249999999999992</v>
      </c>
      <c r="L34" s="95">
        <f t="shared" ref="L34" si="318">G35*G36+H35*H36+I35*I36+J35*J36+K35*K36</f>
        <v>3625</v>
      </c>
      <c r="M34" s="194"/>
      <c r="N34" s="143"/>
      <c r="O34" s="142" t="str">
        <f t="shared" ref="O34" si="319">IF(N36="","",IF(N34*36/(37-N36)=0,"",N34*36/(37-N36)))</f>
        <v/>
      </c>
      <c r="P34" s="109" t="str">
        <f t="shared" ref="P34" si="320">P30</f>
        <v>exercise2</v>
      </c>
      <c r="Q34" s="18">
        <f t="shared" ref="Q34" si="321">IF(O34="",U29,O34)</f>
        <v>200.69204152249139</v>
      </c>
      <c r="R34" s="94">
        <f t="shared" ref="R34:R40" si="322">100%-V33*IF($B$3="하",$AB$8,$AB$6)</f>
        <v>0.72249999999999992</v>
      </c>
      <c r="S34" s="7">
        <f t="shared" ref="S34:S40" si="323">R34</f>
        <v>0.72249999999999992</v>
      </c>
      <c r="T34" s="7">
        <f t="shared" ref="T34:T40" si="324">S34</f>
        <v>0.72249999999999992</v>
      </c>
      <c r="U34" s="7">
        <f t="shared" ref="U34:U40" si="325">T34</f>
        <v>0.72249999999999992</v>
      </c>
      <c r="V34" s="8">
        <f t="shared" ref="V34:V40" si="326">U34</f>
        <v>0.72249999999999992</v>
      </c>
      <c r="W34" s="96">
        <f t="shared" ref="W34" si="327">R35*R36+S35*S36+T35*T36+U35*U36+V35*V36</f>
        <v>3625</v>
      </c>
      <c r="X34" s="86" t="s">
        <v>27</v>
      </c>
      <c r="Y34" s="81">
        <f t="shared" ref="Y34" si="328">Y33+Y30</f>
        <v>58000</v>
      </c>
      <c r="Z34" s="90">
        <f t="shared" ref="Z34" si="329">ROUNDDOWN(Y32*$Z$4,0)</f>
        <v>3</v>
      </c>
      <c r="AA34" s="90">
        <f t="shared" ref="AA34" si="330">ROUNDDOWN(Y32*$AA$4,0)</f>
        <v>24</v>
      </c>
    </row>
    <row r="35" spans="1:27" ht="18" customHeight="1" thickTop="1" thickBot="1" x14ac:dyDescent="0.3">
      <c r="A35" s="194"/>
      <c r="B35" s="194"/>
      <c r="C35" s="141" t="str">
        <f t="shared" ref="C35" si="331">IF(AA34-O32&lt;$B$1," ","1~ "&amp;IF(AA34-O32&gt;$B$1,$B$1,AA34-O32)&amp;" rep")</f>
        <v>1~ 5 rep</v>
      </c>
      <c r="D35" s="97" t="s">
        <v>37</v>
      </c>
      <c r="E35" s="98" t="s">
        <v>5</v>
      </c>
      <c r="F35" s="5" t="s">
        <v>3</v>
      </c>
      <c r="G35" s="18">
        <f t="shared" ref="G35:G40" si="332">MROUND(G34*F34,E36)</f>
        <v>145</v>
      </c>
      <c r="H35" s="18">
        <f t="shared" si="314"/>
        <v>145</v>
      </c>
      <c r="I35" s="18">
        <f t="shared" si="315"/>
        <v>145</v>
      </c>
      <c r="J35" s="18">
        <f t="shared" si="316"/>
        <v>145</v>
      </c>
      <c r="K35" s="19">
        <f t="shared" si="317"/>
        <v>145</v>
      </c>
      <c r="L35" s="74" t="s">
        <v>10</v>
      </c>
      <c r="M35" s="194"/>
      <c r="N35" s="141" t="str">
        <f t="shared" ref="N35:N40" si="333">IF(AA36-D36&lt;$B$1,"","1~"&amp;IF(AA36-D36&gt;$B$1,$B$1,AA36-D36)&amp;" rep")</f>
        <v>1~5 rep</v>
      </c>
      <c r="O35" s="97" t="s">
        <v>37</v>
      </c>
      <c r="P35" s="86" t="s">
        <v>5</v>
      </c>
      <c r="Q35" s="5" t="s">
        <v>3</v>
      </c>
      <c r="R35" s="18">
        <f t="shared" ref="R35:R40" si="334">MROUND(R34*Q34,P36)</f>
        <v>145</v>
      </c>
      <c r="S35" s="18">
        <f t="shared" si="323"/>
        <v>145</v>
      </c>
      <c r="T35" s="18">
        <f t="shared" si="324"/>
        <v>145</v>
      </c>
      <c r="U35" s="18">
        <f t="shared" si="325"/>
        <v>145</v>
      </c>
      <c r="V35" s="19">
        <f t="shared" si="326"/>
        <v>145</v>
      </c>
      <c r="W35" s="99" t="s">
        <v>10</v>
      </c>
      <c r="X35" s="86" t="s">
        <v>28</v>
      </c>
      <c r="Y35" s="87">
        <f t="shared" ref="Y35:Y40" si="335">L36+W36</f>
        <v>50</v>
      </c>
      <c r="Z35" s="93" t="s">
        <v>34</v>
      </c>
      <c r="AA35" s="93" t="s">
        <v>35</v>
      </c>
    </row>
    <row r="36" spans="1:27" ht="18" customHeight="1" thickTop="1" thickBot="1" x14ac:dyDescent="0.3">
      <c r="A36" s="195"/>
      <c r="B36" s="195"/>
      <c r="C36" s="144"/>
      <c r="D36" s="90">
        <f t="shared" ref="D36" si="336">IF(C34="",O32,IF(D34&lt;=0,O32,O32+C36))</f>
        <v>0</v>
      </c>
      <c r="E36" s="100">
        <f t="shared" ref="E36" si="337">E32</f>
        <v>2.5</v>
      </c>
      <c r="F36" s="13" t="s">
        <v>7</v>
      </c>
      <c r="G36" s="103">
        <f t="shared" ref="G36" si="338" xml:space="preserve"> IF($B$3="하",0,IF(MROUND(K33/5,1)&lt;=H33,IF(MROUND(K33/5,1)&gt;=F33,MROUND(K33/5,1),F33),H33))</f>
        <v>5</v>
      </c>
      <c r="H36" s="104">
        <f t="shared" ref="H36" si="339">IF(MROUND((K33-G36)/4,1)&lt;=H33,IF(MROUND((K33-G36)/4,1)&gt;=F33,MROUND((K33-G36)/4,1),F33),H33)</f>
        <v>5</v>
      </c>
      <c r="I36" s="104">
        <f t="shared" ref="I36" si="340">IF(MROUND((K33-G36-H36)/3,1)&lt;=H33,IF(MROUND((K33-G36-H36)/3,1)&gt;=F33,MROUND((K33-G36-H36)/3,1),F33),H33)</f>
        <v>5</v>
      </c>
      <c r="J36" s="104">
        <f t="shared" ref="J36" si="341">IF(MROUND((K33-G36-H36-I36)/2,1)&lt;=H33,IF((K33-G36-H36-I36)/2&gt;=F33,MROUND((K33-G36-H36-I36)/2,1),K33-G36-H36-I36),H33)</f>
        <v>5</v>
      </c>
      <c r="K36" s="105">
        <f t="shared" ref="K36" si="342">IF((K33-(G36+H36+I36+J36))&gt;0,(K33-(G36+H36+I36+J36)),0)</f>
        <v>5</v>
      </c>
      <c r="L36" s="101">
        <f t="shared" ref="L36" si="343">SUM(G36:K36)</f>
        <v>25</v>
      </c>
      <c r="M36" s="195"/>
      <c r="N36" s="144"/>
      <c r="O36" s="90">
        <f t="shared" ref="O36" si="344">IF(""=N34,D36,IF(O34&lt;=0,D36,D36+N36))</f>
        <v>0</v>
      </c>
      <c r="P36" s="102">
        <f t="shared" ref="P36" si="345">P32</f>
        <v>2.5</v>
      </c>
      <c r="Q36" s="13" t="s">
        <v>7</v>
      </c>
      <c r="R36" s="103">
        <f t="shared" ref="R36" si="346" xml:space="preserve"> IF($B$3="하",0,IF(MROUND(V33/5,1)&lt;=S33,IF(MROUND(V33/5,1)&gt;=Q33,MROUND(V33/5,1),Q33),S33))</f>
        <v>5</v>
      </c>
      <c r="S36" s="104">
        <f t="shared" ref="S36" si="347">IF(MROUND((V33-R36)/4,1)&lt;=S33,IF(MROUND((V33-R36)/4,1)&gt;=Q33,MROUND((V33-R36)/4,1),Q33),S33)</f>
        <v>5</v>
      </c>
      <c r="T36" s="104">
        <f t="shared" ref="T36" si="348">IF(MROUND((V33-R36-S36)/3,1)&lt;=S33,IF(MROUND((V33-R36-S36)/3,1)&gt;=Q33,MROUND((V33-R36-S36)/3,1),Q33),S33)</f>
        <v>5</v>
      </c>
      <c r="U36" s="104">
        <f t="shared" ref="U36" si="349">IF(MROUND((V33-R36-S36-T36)/2,1)&lt;=S33,IF((V33-R36-S36-T36)/2&gt;=Q33,MROUND((V33-R36-S36-T36)/2,1),V33-R36-S36-T36),S33)</f>
        <v>5</v>
      </c>
      <c r="V36" s="105">
        <f t="shared" ref="V36" si="350">IF((V33-(R36+S36+T36+U36))&gt;0,(V33-(R36+S36+T36+U36)),0)</f>
        <v>5</v>
      </c>
      <c r="W36" s="106">
        <f t="shared" ref="W36" si="351">SUM(R36:V36)</f>
        <v>25</v>
      </c>
      <c r="X36" s="88" t="s">
        <v>30</v>
      </c>
      <c r="Y36" s="89">
        <f t="shared" ref="Y36" si="352">Y35+Y32+O36-O32</f>
        <v>400</v>
      </c>
      <c r="Z36" s="90">
        <f t="shared" ref="Z36" si="353">ROUNDDOWN((Y32-O32+D36+L36)*$Z$4,0)</f>
        <v>3</v>
      </c>
      <c r="AA36" s="90">
        <f t="shared" ref="AA36" si="354">ROUNDDOWN((Y32+L36-O32+D36)*$AA$4,0)</f>
        <v>26</v>
      </c>
    </row>
    <row r="37" spans="1:27" ht="18" customHeight="1" thickTop="1" thickBot="1" x14ac:dyDescent="0.3">
      <c r="A37" s="193">
        <f t="shared" ref="A37" si="355">A33+1</f>
        <v>9</v>
      </c>
      <c r="B37" s="193" t="str">
        <f t="shared" ref="B37" ca="1" si="356">IF((L40+Y36)&lt;IF(B$3="하",$AE$8,$AE$6),0,IF((L40+Y36)&gt;IF(B$3="하",$AE$7,$AE$5),"",MAX(B33,M33)+1))</f>
        <v/>
      </c>
      <c r="C37" s="141" t="str">
        <f t="shared" ref="C37" si="357">IF(AA38-O36&lt;$B$1," ","MAX to "&amp;MROUND(IF(IF(AA38-O36&gt;$B$1,$B$1,AA38-O36)&lt;2,J33,J33*(37-IF(AA38-O36&gt;$B$1,$B$1,AA38-O36))/36),E40))</f>
        <v>MAX to 177.5</v>
      </c>
      <c r="D37" s="90" t="str">
        <f t="shared" ref="D37:D40" si="358">IF(AA38&lt;=O36,"X",IF(Z38&gt;O36,"must ME","can ME"))</f>
        <v>must ME</v>
      </c>
      <c r="E37" s="75" t="s">
        <v>31</v>
      </c>
      <c r="F37" s="23">
        <v>4</v>
      </c>
      <c r="G37" s="2">
        <v>1</v>
      </c>
      <c r="H37" s="23">
        <f t="shared" ref="H37:H40" si="359">IF(G38&gt;=90%,2,IF(G38&gt;=80%,4,IF(G38&gt;=70%,6,6)))</f>
        <v>6</v>
      </c>
      <c r="I37" s="3" t="s">
        <v>2</v>
      </c>
      <c r="J37" s="91">
        <f t="shared" ref="J37" si="360">L38/(100%-IF($B$3="하",$AB$8,$AB$6)*L40)/L40</f>
        <v>200.69204152249139</v>
      </c>
      <c r="K37" s="92">
        <f t="shared" ref="K37:K40" si="361">IF("하"=$B$3,$AC$7,$AC$5)</f>
        <v>25</v>
      </c>
      <c r="L37" s="107" t="s">
        <v>33</v>
      </c>
      <c r="M37" s="193" t="str">
        <f t="shared" ref="M37" ca="1" si="362">IF($Y40&lt;IF(M$3="하",$AE$8,$AE$6),0,IF($Y40&gt;IF(M$3="하",$AE$7,$AE$5),"",MAX(B37,M33)+1))</f>
        <v/>
      </c>
      <c r="N37" s="141" t="str">
        <f t="shared" ref="N37" si="363">IF(AA40-D40&lt;$B$1,"","MAX to "&amp;MROUND(IF(IF(AA40-D40&gt;$B$1,$B$1,AA40-D40)&lt;2,U33,U33*(37-IF(AA40-D40&gt;$B$1,$B$1,AA40-D40))/36),P40))</f>
        <v>MAX to 177.5</v>
      </c>
      <c r="O37" s="90" t="str">
        <f t="shared" ref="O37" si="364">IF(AA40&lt;=D40,"X",IF(Z40&gt;D40,"must ME","can ME"))</f>
        <v>must ME</v>
      </c>
      <c r="P37" s="75" t="s">
        <v>31</v>
      </c>
      <c r="Q37" s="23">
        <v>4</v>
      </c>
      <c r="R37" s="2" t="s">
        <v>32</v>
      </c>
      <c r="S37" s="23">
        <v>6</v>
      </c>
      <c r="T37" s="3" t="s">
        <v>2</v>
      </c>
      <c r="U37" s="91">
        <f t="shared" ref="U37" si="365">W38/(100%-IF($B$3="하",$AB$8,$AB$6)*W40)/W40</f>
        <v>200.69204152249139</v>
      </c>
      <c r="V37" s="92">
        <f t="shared" ref="V37:V40" si="366">IF("하"=$B$3,$AC$8,$AC$6)</f>
        <v>25</v>
      </c>
      <c r="W37" s="108" t="s">
        <v>33</v>
      </c>
      <c r="X37" s="75" t="s">
        <v>25</v>
      </c>
      <c r="Y37" s="76">
        <f t="shared" ref="Y37:Y40" si="367">L38+W38</f>
        <v>7250</v>
      </c>
      <c r="Z37" s="93" t="s">
        <v>34</v>
      </c>
      <c r="AA37" s="93" t="s">
        <v>35</v>
      </c>
    </row>
    <row r="38" spans="1:27" ht="18" customHeight="1" thickTop="1" thickBot="1" x14ac:dyDescent="0.3">
      <c r="A38" s="194"/>
      <c r="B38" s="194"/>
      <c r="C38" s="143"/>
      <c r="D38" s="142" t="str">
        <f t="shared" ref="D38" si="368">IF(C40="","",IF(C38*36/(37-C40)=0,"",C38*36/(37-C40)))</f>
        <v/>
      </c>
      <c r="E38" s="109" t="str">
        <f t="shared" ref="E38" si="369">E34</f>
        <v>exercise1</v>
      </c>
      <c r="F38" s="18">
        <f t="shared" ref="F38" si="370">IF(D38="",J33,D38)</f>
        <v>200.69204152249139</v>
      </c>
      <c r="G38" s="94">
        <f t="shared" ref="G38:G40" si="371">100%-K37*IF($B$3="하",$AB$8,$AB$6)</f>
        <v>0.72249999999999992</v>
      </c>
      <c r="H38" s="7">
        <f t="shared" ref="H38:H40" si="372">G38</f>
        <v>0.72249999999999992</v>
      </c>
      <c r="I38" s="7">
        <f t="shared" ref="I38:I40" si="373">H38</f>
        <v>0.72249999999999992</v>
      </c>
      <c r="J38" s="7">
        <f t="shared" ref="J38:J40" si="374">I38</f>
        <v>0.72249999999999992</v>
      </c>
      <c r="K38" s="8">
        <f t="shared" ref="K38:K39" si="375">J38</f>
        <v>0.72249999999999992</v>
      </c>
      <c r="L38" s="95">
        <f t="shared" ref="L38" si="376">G39*G40+H39*H40+I39*I40+J39*J40+K39*K40</f>
        <v>3625</v>
      </c>
      <c r="M38" s="194"/>
      <c r="N38" s="143"/>
      <c r="O38" s="142" t="str">
        <f t="shared" ref="O38" si="377">IF(N40="","",IF(N38*36/(37-N40)=0,"",N38*36/(37-N40)))</f>
        <v/>
      </c>
      <c r="P38" s="109" t="str">
        <f t="shared" ref="P38" si="378">P34</f>
        <v>exercise2</v>
      </c>
      <c r="Q38" s="18">
        <f t="shared" ref="Q38" si="379">IF(O38="",U33,O38)</f>
        <v>200.69204152249139</v>
      </c>
      <c r="R38" s="94">
        <f t="shared" ref="R38:R40" si="380">100%-V37*IF($B$3="하",$AB$8,$AB$6)</f>
        <v>0.72249999999999992</v>
      </c>
      <c r="S38" s="7">
        <f t="shared" ref="S38:S40" si="381">R38</f>
        <v>0.72249999999999992</v>
      </c>
      <c r="T38" s="7">
        <f t="shared" ref="T38:T40" si="382">S38</f>
        <v>0.72249999999999992</v>
      </c>
      <c r="U38" s="7">
        <f t="shared" ref="U38:U40" si="383">T38</f>
        <v>0.72249999999999992</v>
      </c>
      <c r="V38" s="8">
        <f t="shared" ref="V38:V40" si="384">U38</f>
        <v>0.72249999999999992</v>
      </c>
      <c r="W38" s="96">
        <f t="shared" ref="W38" si="385">R39*R40+S39*S40+T39*T40+U39*U40+V39*V40</f>
        <v>3625</v>
      </c>
      <c r="X38" s="86" t="s">
        <v>27</v>
      </c>
      <c r="Y38" s="81">
        <f t="shared" ref="Y38" si="386">Y37+Y34</f>
        <v>65250</v>
      </c>
      <c r="Z38" s="90">
        <f t="shared" ref="Z38" si="387">ROUNDDOWN(Y36*$Z$4,0)</f>
        <v>4</v>
      </c>
      <c r="AA38" s="90">
        <f t="shared" ref="AA38" si="388">ROUNDDOWN(Y36*$AA$4,0)</f>
        <v>28</v>
      </c>
    </row>
    <row r="39" spans="1:27" ht="18" customHeight="1" thickTop="1" thickBot="1" x14ac:dyDescent="0.3">
      <c r="A39" s="194"/>
      <c r="B39" s="194"/>
      <c r="C39" s="141" t="str">
        <f t="shared" ref="C39" si="389">IF(AA38-O36&lt;$B$1," ","1~ "&amp;IF(AA38-O36&gt;$B$1,$B$1,AA38-O36)&amp;" rep")</f>
        <v>1~ 5 rep</v>
      </c>
      <c r="D39" s="97" t="s">
        <v>37</v>
      </c>
      <c r="E39" s="98" t="s">
        <v>5</v>
      </c>
      <c r="F39" s="5" t="s">
        <v>3</v>
      </c>
      <c r="G39" s="18">
        <f t="shared" ref="G39:G40" si="390">MROUND(G38*F38,E40)</f>
        <v>145</v>
      </c>
      <c r="H39" s="18">
        <f t="shared" si="372"/>
        <v>145</v>
      </c>
      <c r="I39" s="18">
        <f t="shared" si="373"/>
        <v>145</v>
      </c>
      <c r="J39" s="18">
        <f t="shared" si="374"/>
        <v>145</v>
      </c>
      <c r="K39" s="19">
        <f t="shared" si="375"/>
        <v>145</v>
      </c>
      <c r="L39" s="74" t="s">
        <v>10</v>
      </c>
      <c r="M39" s="194"/>
      <c r="N39" s="141" t="str">
        <f t="shared" ref="N39:N40" si="391">IF(AA40-D40&lt;$B$1,"","1~"&amp;IF(AA40-D40&gt;$B$1,$B$1,AA40-D40)&amp;" rep")</f>
        <v>1~5 rep</v>
      </c>
      <c r="O39" s="97" t="s">
        <v>37</v>
      </c>
      <c r="P39" s="86" t="s">
        <v>5</v>
      </c>
      <c r="Q39" s="5" t="s">
        <v>3</v>
      </c>
      <c r="R39" s="18">
        <f t="shared" ref="R39:R40" si="392">MROUND(R38*Q38,P40)</f>
        <v>145</v>
      </c>
      <c r="S39" s="18">
        <f t="shared" si="381"/>
        <v>145</v>
      </c>
      <c r="T39" s="18">
        <f t="shared" si="382"/>
        <v>145</v>
      </c>
      <c r="U39" s="18">
        <f t="shared" si="383"/>
        <v>145</v>
      </c>
      <c r="V39" s="19">
        <f t="shared" si="384"/>
        <v>145</v>
      </c>
      <c r="W39" s="99" t="s">
        <v>10</v>
      </c>
      <c r="X39" s="86" t="s">
        <v>28</v>
      </c>
      <c r="Y39" s="87">
        <f t="shared" ref="Y39:Y40" si="393">L40+W40</f>
        <v>50</v>
      </c>
      <c r="Z39" s="93" t="s">
        <v>34</v>
      </c>
      <c r="AA39" s="93" t="s">
        <v>35</v>
      </c>
    </row>
    <row r="40" spans="1:27" ht="18" customHeight="1" thickTop="1" thickBot="1" x14ac:dyDescent="0.3">
      <c r="A40" s="195"/>
      <c r="B40" s="195"/>
      <c r="C40" s="144"/>
      <c r="D40" s="90">
        <f t="shared" ref="D40" si="394">IF(C38="",O36,IF(D38&lt;=0,O36,O36+C40))</f>
        <v>0</v>
      </c>
      <c r="E40" s="100">
        <f t="shared" ref="E40" si="395">E36</f>
        <v>2.5</v>
      </c>
      <c r="F40" s="13" t="s">
        <v>7</v>
      </c>
      <c r="G40" s="103">
        <f t="shared" ref="G40" si="396" xml:space="preserve"> IF($B$3="하",0,IF(MROUND(K37/5,1)&lt;=H37,IF(MROUND(K37/5,1)&gt;=F37,MROUND(K37/5,1),F37),H37))</f>
        <v>5</v>
      </c>
      <c r="H40" s="104">
        <f t="shared" ref="H40" si="397">IF(MROUND((K37-G40)/4,1)&lt;=H37,IF(MROUND((K37-G40)/4,1)&gt;=F37,MROUND((K37-G40)/4,1),F37),H37)</f>
        <v>5</v>
      </c>
      <c r="I40" s="104">
        <f t="shared" ref="I40" si="398">IF(MROUND((K37-G40-H40)/3,1)&lt;=H37,IF(MROUND((K37-G40-H40)/3,1)&gt;=F37,MROUND((K37-G40-H40)/3,1),F37),H37)</f>
        <v>5</v>
      </c>
      <c r="J40" s="104">
        <f t="shared" ref="J40" si="399">IF(MROUND((K37-G40-H40-I40)/2,1)&lt;=H37,IF((K37-G40-H40-I40)/2&gt;=F37,MROUND((K37-G40-H40-I40)/2,1),K37-G40-H40-I40),H37)</f>
        <v>5</v>
      </c>
      <c r="K40" s="105">
        <f t="shared" ref="K40" si="400">IF((K37-(G40+H40+I40+J40))&gt;0,(K37-(G40+H40+I40+J40)),0)</f>
        <v>5</v>
      </c>
      <c r="L40" s="101">
        <f t="shared" ref="L40" si="401">SUM(G40:K40)</f>
        <v>25</v>
      </c>
      <c r="M40" s="195"/>
      <c r="N40" s="144"/>
      <c r="O40" s="90">
        <f t="shared" ref="O40" si="402">IF(""=N38,D40,IF(O38&lt;=0,D40,D40+N40))</f>
        <v>0</v>
      </c>
      <c r="P40" s="102">
        <f t="shared" ref="P40" si="403">P36</f>
        <v>2.5</v>
      </c>
      <c r="Q40" s="13" t="s">
        <v>7</v>
      </c>
      <c r="R40" s="103">
        <f t="shared" ref="R40" si="404" xml:space="preserve"> IF($B$3="하",0,IF(MROUND(V37/5,1)&lt;=S37,IF(MROUND(V37/5,1)&gt;=Q37,MROUND(V37/5,1),Q37),S37))</f>
        <v>5</v>
      </c>
      <c r="S40" s="104">
        <f t="shared" ref="S40" si="405">IF(MROUND((V37-R40)/4,1)&lt;=S37,IF(MROUND((V37-R40)/4,1)&gt;=Q37,MROUND((V37-R40)/4,1),Q37),S37)</f>
        <v>5</v>
      </c>
      <c r="T40" s="104">
        <f t="shared" ref="T40" si="406">IF(MROUND((V37-R40-S40)/3,1)&lt;=S37,IF(MROUND((V37-R40-S40)/3,1)&gt;=Q37,MROUND((V37-R40-S40)/3,1),Q37),S37)</f>
        <v>5</v>
      </c>
      <c r="U40" s="104">
        <f t="shared" ref="U40" si="407">IF(MROUND((V37-R40-S40-T40)/2,1)&lt;=S37,IF((V37-R40-S40-T40)/2&gt;=Q37,MROUND((V37-R40-S40-T40)/2,1),V37-R40-S40-T40),S37)</f>
        <v>5</v>
      </c>
      <c r="V40" s="105">
        <f t="shared" ref="V40" si="408">IF((V37-(R40+S40+T40+U40))&gt;0,(V37-(R40+S40+T40+U40)),0)</f>
        <v>5</v>
      </c>
      <c r="W40" s="106">
        <f t="shared" ref="W40" si="409">SUM(R40:V40)</f>
        <v>25</v>
      </c>
      <c r="X40" s="88" t="s">
        <v>30</v>
      </c>
      <c r="Y40" s="89">
        <f t="shared" ref="Y40" si="410">Y39+Y36+O40-O36</f>
        <v>450</v>
      </c>
      <c r="Z40" s="90">
        <f t="shared" ref="Z40" si="411">ROUNDDOWN((Y36-O36+D40+L40)*$Z$4,0)</f>
        <v>4</v>
      </c>
      <c r="AA40" s="90">
        <f t="shared" ref="AA40" si="412">ROUNDDOWN((Y36+L40-O36+D40)*$AA$4,0)</f>
        <v>29</v>
      </c>
    </row>
    <row r="41" spans="1:27" ht="18" customHeight="1" thickTop="1" thickBot="1" x14ac:dyDescent="0.3">
      <c r="A41" s="205">
        <f>A37+1</f>
        <v>10</v>
      </c>
      <c r="B41" s="193" t="str">
        <f t="shared" ref="B41" ca="1" si="413">IF((L44+Y40)&lt;IF(B$3="하",$AE$8,$AE$6),0,IF((L44+Y40)&gt;IF(B$3="하",$AE$7,$AE$5),"",MAX(B37,M37)+1))</f>
        <v/>
      </c>
      <c r="C41" s="141" t="str">
        <f>IF(AA42-O40&lt;$B$1," ","MAX to "&amp;MROUND(IF(IF(AA42-O40&gt;$B$1,$B$1,AA42-O40)&lt;2,J37,J37*(37-IF(AA42-O40&gt;$B$1,$B$1,AA42-O40))/36),E44))</f>
        <v>MAX to 177.5</v>
      </c>
      <c r="D41" s="90" t="str">
        <f>IF(AA42&lt;=O40,"X",IF(Z42&gt;O40,"must ME","can ME"))</f>
        <v>must ME</v>
      </c>
      <c r="E41" s="75" t="s">
        <v>31</v>
      </c>
      <c r="F41" s="23">
        <v>4</v>
      </c>
      <c r="G41" s="2">
        <v>1</v>
      </c>
      <c r="H41" s="23">
        <f>IF(G42&gt;=90%,2,IF(G42&gt;=80%,4,IF(G42&gt;=70%,6,6)))</f>
        <v>6</v>
      </c>
      <c r="I41" s="3" t="s">
        <v>2</v>
      </c>
      <c r="J41" s="91">
        <f>L42/(100%-IF($B$3="하",$AB$8,$AB$6)*L44)/L44</f>
        <v>200.69204152249139</v>
      </c>
      <c r="K41" s="92">
        <f>IF("하"=$B$3,$AC$7,$AC$5)</f>
        <v>25</v>
      </c>
      <c r="L41" s="107" t="s">
        <v>33</v>
      </c>
      <c r="M41" s="193" t="str">
        <f t="shared" ref="M41" ca="1" si="414">IF($Y44&lt;IF(M$3="하",$AE$8,$AE$6),0,IF($Y44&gt;IF(M$3="하",$AE$7,$AE$5),"",MAX(B41,M37)+1))</f>
        <v/>
      </c>
      <c r="N41" s="141" t="str">
        <f>IF(AA44-D44&lt;$B$1,"","MAX to "&amp;MROUND(IF(IF(AA44-D44&gt;$B$1,$B$1,AA44-D44)&lt;2,U37,U37*(37-IF(AA44-D44&gt;$B$1,$B$1,AA44-D44))/36),P44))</f>
        <v>MAX to 177.5</v>
      </c>
      <c r="O41" s="90" t="str">
        <f>IF(AA44&lt;=D44,"X",IF(Z44&gt;D44,"must ME","can ME"))</f>
        <v>must ME</v>
      </c>
      <c r="P41" s="75" t="s">
        <v>31</v>
      </c>
      <c r="Q41" s="23">
        <v>4</v>
      </c>
      <c r="R41" s="2" t="s">
        <v>32</v>
      </c>
      <c r="S41" s="23">
        <v>6</v>
      </c>
      <c r="T41" s="3" t="s">
        <v>2</v>
      </c>
      <c r="U41" s="91">
        <f>W42/(100%-IF($B$3="하",$AB$8,$AB$6)*W44)/W44</f>
        <v>200.69204152249139</v>
      </c>
      <c r="V41" s="92">
        <f>IF("하"=$B$3,$AC$8,$AC$6)</f>
        <v>25</v>
      </c>
      <c r="W41" s="108" t="s">
        <v>33</v>
      </c>
      <c r="X41" s="75" t="s">
        <v>25</v>
      </c>
      <c r="Y41" s="76">
        <f>L42+W42</f>
        <v>7250</v>
      </c>
      <c r="Z41" s="93" t="s">
        <v>34</v>
      </c>
      <c r="AA41" s="93" t="s">
        <v>35</v>
      </c>
    </row>
    <row r="42" spans="1:27" ht="18" customHeight="1" thickTop="1" thickBot="1" x14ac:dyDescent="0.3">
      <c r="A42" s="206"/>
      <c r="B42" s="194"/>
      <c r="C42" s="143"/>
      <c r="D42" s="142" t="str">
        <f>IF(C44="","",IF(C42*36/(37-C44)=0,"",C42*36/(37-C44)))</f>
        <v/>
      </c>
      <c r="E42" s="109" t="str">
        <f>E38</f>
        <v>exercise1</v>
      </c>
      <c r="F42" s="18">
        <f>IF(D42="",J37,D42)</f>
        <v>200.69204152249139</v>
      </c>
      <c r="G42" s="94">
        <f>100%-K41*IF($B$3="하",$AB$8,$AB$6)</f>
        <v>0.72249999999999992</v>
      </c>
      <c r="H42" s="7">
        <f t="shared" ref="H42:J43" si="415">G42</f>
        <v>0.72249999999999992</v>
      </c>
      <c r="I42" s="7">
        <f t="shared" si="415"/>
        <v>0.72249999999999992</v>
      </c>
      <c r="J42" s="7">
        <f t="shared" si="415"/>
        <v>0.72249999999999992</v>
      </c>
      <c r="K42" s="8">
        <f>J42</f>
        <v>0.72249999999999992</v>
      </c>
      <c r="L42" s="95">
        <f>G43*G44+H43*H44+I43*I44+J43*J44+K43*K44</f>
        <v>3625</v>
      </c>
      <c r="M42" s="194"/>
      <c r="N42" s="143"/>
      <c r="O42" s="142" t="str">
        <f>IF(N44="","",IF(N42*36/(37-N44)=0,"",N42*36/(37-N44)))</f>
        <v/>
      </c>
      <c r="P42" s="109" t="str">
        <f>P38</f>
        <v>exercise2</v>
      </c>
      <c r="Q42" s="18">
        <f>IF(O42="",U37,O42)</f>
        <v>200.69204152249139</v>
      </c>
      <c r="R42" s="94">
        <f>100%-V41*IF($B$3="하",$AB$8,$AB$6)</f>
        <v>0.72249999999999992</v>
      </c>
      <c r="S42" s="7">
        <f t="shared" ref="S42:V43" si="416">R42</f>
        <v>0.72249999999999992</v>
      </c>
      <c r="T42" s="7">
        <f t="shared" si="416"/>
        <v>0.72249999999999992</v>
      </c>
      <c r="U42" s="7">
        <f t="shared" si="416"/>
        <v>0.72249999999999992</v>
      </c>
      <c r="V42" s="8">
        <f t="shared" si="416"/>
        <v>0.72249999999999992</v>
      </c>
      <c r="W42" s="96">
        <f>R43*R44+S43*S44+T43*T44+U43*U44+V43*V44</f>
        <v>3625</v>
      </c>
      <c r="X42" s="86" t="s">
        <v>27</v>
      </c>
      <c r="Y42" s="81">
        <f>Y41+Y38</f>
        <v>72500</v>
      </c>
      <c r="Z42" s="90">
        <f>ROUNDDOWN(Y40*$Z$4,0)</f>
        <v>4</v>
      </c>
      <c r="AA42" s="90">
        <f>ROUNDDOWN(Y40*$AA$4,0)</f>
        <v>31</v>
      </c>
    </row>
    <row r="43" spans="1:27" ht="18" customHeight="1" thickTop="1" thickBot="1" x14ac:dyDescent="0.3">
      <c r="A43" s="206"/>
      <c r="B43" s="194"/>
      <c r="C43" s="141" t="str">
        <f>IF(AA42-O40&lt;$B$1," ","1~ "&amp;IF(AA42-O40&gt;$B$1,$B$1,AA42-O40)&amp;" rep")</f>
        <v>1~ 5 rep</v>
      </c>
      <c r="D43" s="97" t="s">
        <v>37</v>
      </c>
      <c r="E43" s="98" t="s">
        <v>5</v>
      </c>
      <c r="F43" s="5" t="s">
        <v>3</v>
      </c>
      <c r="G43" s="18">
        <f>MROUND(G42*F42,E44)</f>
        <v>145</v>
      </c>
      <c r="H43" s="18">
        <f t="shared" si="415"/>
        <v>145</v>
      </c>
      <c r="I43" s="18">
        <f t="shared" si="415"/>
        <v>145</v>
      </c>
      <c r="J43" s="18">
        <f t="shared" si="415"/>
        <v>145</v>
      </c>
      <c r="K43" s="19">
        <f>J43</f>
        <v>145</v>
      </c>
      <c r="L43" s="74" t="s">
        <v>10</v>
      </c>
      <c r="M43" s="194"/>
      <c r="N43" s="141" t="str">
        <f>IF(AA44-D44&lt;$B$1,"","1~"&amp;IF(AA44-D44&gt;$B$1,$B$1,AA44-D44)&amp;" rep")</f>
        <v>1~5 rep</v>
      </c>
      <c r="O43" s="97" t="s">
        <v>37</v>
      </c>
      <c r="P43" s="86" t="s">
        <v>5</v>
      </c>
      <c r="Q43" s="5" t="s">
        <v>3</v>
      </c>
      <c r="R43" s="18">
        <f>MROUND(R42*Q42,P44)</f>
        <v>145</v>
      </c>
      <c r="S43" s="18">
        <f t="shared" si="416"/>
        <v>145</v>
      </c>
      <c r="T43" s="18">
        <f t="shared" si="416"/>
        <v>145</v>
      </c>
      <c r="U43" s="18">
        <f t="shared" si="416"/>
        <v>145</v>
      </c>
      <c r="V43" s="19">
        <f t="shared" si="416"/>
        <v>145</v>
      </c>
      <c r="W43" s="99" t="s">
        <v>10</v>
      </c>
      <c r="X43" s="86" t="s">
        <v>28</v>
      </c>
      <c r="Y43" s="87">
        <f>L44+W44</f>
        <v>50</v>
      </c>
      <c r="Z43" s="93" t="s">
        <v>34</v>
      </c>
      <c r="AA43" s="93" t="s">
        <v>35</v>
      </c>
    </row>
    <row r="44" spans="1:27" ht="18" customHeight="1" thickTop="1" thickBot="1" x14ac:dyDescent="0.3">
      <c r="A44" s="207"/>
      <c r="B44" s="195"/>
      <c r="C44" s="144"/>
      <c r="D44" s="90">
        <f>IF(C42="",O40,IF(D42&lt;=0,O40,O40+C44))</f>
        <v>0</v>
      </c>
      <c r="E44" s="100">
        <f>E40</f>
        <v>2.5</v>
      </c>
      <c r="F44" s="13" t="s">
        <v>7</v>
      </c>
      <c r="G44" s="103">
        <f xml:space="preserve"> IF($B$3="하",0,IF(MROUND(K41/5,1)&lt;=H41,IF(MROUND(K41/5,1)&gt;=F41,MROUND(K41/5,1),F41),H41))</f>
        <v>5</v>
      </c>
      <c r="H44" s="104">
        <f>IF(MROUND((K41-G44)/4,1)&lt;=H41,IF(MROUND((K41-G44)/4,1)&gt;=F41,MROUND((K41-G44)/4,1),F41),H41)</f>
        <v>5</v>
      </c>
      <c r="I44" s="104">
        <f>IF(MROUND((K41-G44-H44)/3,1)&lt;=H41,IF(MROUND((K41-G44-H44)/3,1)&gt;=F41,MROUND((K41-G44-H44)/3,1),F41),H41)</f>
        <v>5</v>
      </c>
      <c r="J44" s="104">
        <f>IF(MROUND((K41-G44-H44-I44)/2,1)&lt;=H41,IF((K41-G44-H44-I44)/2&gt;=F41,MROUND((K41-G44-H44-I44)/2,1),K41-G44-H44-I44),H41)</f>
        <v>5</v>
      </c>
      <c r="K44" s="105">
        <f>IF((K41-(G44+H44+I44+J44))&gt;0,(K41-(G44+H44+I44+J44)),0)</f>
        <v>5</v>
      </c>
      <c r="L44" s="101">
        <f>SUM(G44:K44)</f>
        <v>25</v>
      </c>
      <c r="M44" s="195"/>
      <c r="N44" s="144"/>
      <c r="O44" s="90">
        <f>IF(""=N42,D44,IF(O42&lt;=0,D44,D44+N44))</f>
        <v>0</v>
      </c>
      <c r="P44" s="102">
        <f>P40</f>
        <v>2.5</v>
      </c>
      <c r="Q44" s="13" t="s">
        <v>7</v>
      </c>
      <c r="R44" s="103">
        <f xml:space="preserve"> IF($B$3="하",0,IF(MROUND(V41/5,1)&lt;=S41,IF(MROUND(V41/5,1)&gt;=Q41,MROUND(V41/5,1),Q41),S41))</f>
        <v>5</v>
      </c>
      <c r="S44" s="104">
        <f>IF(MROUND((V41-R44)/4,1)&lt;=S41,IF(MROUND((V41-R44)/4,1)&gt;=Q41,MROUND((V41-R44)/4,1),Q41),S41)</f>
        <v>5</v>
      </c>
      <c r="T44" s="104">
        <f>IF(MROUND((V41-R44-S44)/3,1)&lt;=S41,IF(MROUND((V41-R44-S44)/3,1)&gt;=Q41,MROUND((V41-R44-S44)/3,1),Q41),S41)</f>
        <v>5</v>
      </c>
      <c r="U44" s="104">
        <f>IF(MROUND((V41-R44-S44-T44)/2,1)&lt;=S41,IF((V41-R44-S44-T44)/2&gt;=Q41,MROUND((V41-R44-S44-T44)/2,1),V41-R44-S44-T44),S41)</f>
        <v>5</v>
      </c>
      <c r="V44" s="105">
        <f>IF((V41-(R44+S44+T44+U44))&gt;0,(V41-(R44+S44+T44+U44)),0)</f>
        <v>5</v>
      </c>
      <c r="W44" s="106">
        <f>SUM(R44:V44)</f>
        <v>25</v>
      </c>
      <c r="X44" s="88" t="s">
        <v>30</v>
      </c>
      <c r="Y44" s="89">
        <f>Y43+Y40+O44-O40</f>
        <v>500</v>
      </c>
      <c r="Z44" s="90">
        <f>ROUNDDOWN((Y40-O40+D44+L44)*$Z$4,0)</f>
        <v>4</v>
      </c>
      <c r="AA44" s="90">
        <f>ROUNDDOWN((Y40+L44-O40+D44)*$AA$4,0)</f>
        <v>33</v>
      </c>
    </row>
    <row r="45" spans="1:27" ht="18" customHeight="1" thickTop="1" thickBot="1" x14ac:dyDescent="0.3">
      <c r="A45" s="193">
        <f t="shared" ref="A45" si="417">A41+1</f>
        <v>11</v>
      </c>
      <c r="B45" s="193" t="str">
        <f t="shared" ref="B45" ca="1" si="418">IF((L48+Y44)&lt;IF(B$3="하",$AE$8,$AE$6),0,IF((L48+Y44)&gt;IF(B$3="하",$AE$7,$AE$5),"",MAX(B41,M41)+1))</f>
        <v/>
      </c>
      <c r="C45" s="141" t="str">
        <f t="shared" ref="C45" si="419">IF(AA46-O44&lt;$B$1," ","MAX to "&amp;MROUND(IF(IF(AA46-O44&gt;$B$1,$B$1,AA46-O44)&lt;2,J41,J41*(37-IF(AA46-O44&gt;$B$1,$B$1,AA46-O44))/36),E48))</f>
        <v>MAX to 177.5</v>
      </c>
      <c r="D45" s="90" t="str">
        <f t="shared" ref="D45:D64" si="420">IF(AA46&lt;=O44,"X",IF(Z46&gt;O44,"must ME","can ME"))</f>
        <v>must ME</v>
      </c>
      <c r="E45" s="75" t="s">
        <v>31</v>
      </c>
      <c r="F45" s="23">
        <v>4</v>
      </c>
      <c r="G45" s="2">
        <v>1</v>
      </c>
      <c r="H45" s="23">
        <f t="shared" ref="H45:H64" si="421">IF(G46&gt;=90%,2,IF(G46&gt;=80%,4,IF(G46&gt;=70%,6,6)))</f>
        <v>6</v>
      </c>
      <c r="I45" s="3" t="s">
        <v>2</v>
      </c>
      <c r="J45" s="91">
        <f t="shared" ref="J45" si="422">L46/(100%-IF($B$3="하",$AB$8,$AB$6)*L48)/L48</f>
        <v>200.69204152249139</v>
      </c>
      <c r="K45" s="92">
        <f t="shared" ref="K45:K64" si="423">IF("하"=$B$3,$AC$7,$AC$5)</f>
        <v>25</v>
      </c>
      <c r="L45" s="107" t="s">
        <v>33</v>
      </c>
      <c r="M45" s="193" t="str">
        <f t="shared" ref="M45" ca="1" si="424">IF($Y48&lt;IF(M$3="하",$AE$8,$AE$6),0,IF($Y48&gt;IF(M$3="하",$AE$7,$AE$5),"",MAX(B45,M41)+1))</f>
        <v/>
      </c>
      <c r="N45" s="141" t="str">
        <f t="shared" ref="N45" si="425">IF(AA48-D48&lt;$B$1,"","MAX to "&amp;MROUND(IF(IF(AA48-D48&gt;$B$1,$B$1,AA48-D48)&lt;2,U41,U41*(37-IF(AA48-D48&gt;$B$1,$B$1,AA48-D48))/36),P48))</f>
        <v>MAX to 177.5</v>
      </c>
      <c r="O45" s="90" t="str">
        <f t="shared" ref="O45" si="426">IF(AA48&lt;=D48,"X",IF(Z48&gt;D48,"must ME","can ME"))</f>
        <v>must ME</v>
      </c>
      <c r="P45" s="75" t="s">
        <v>31</v>
      </c>
      <c r="Q45" s="23">
        <v>4</v>
      </c>
      <c r="R45" s="2" t="s">
        <v>32</v>
      </c>
      <c r="S45" s="23">
        <v>6</v>
      </c>
      <c r="T45" s="3" t="s">
        <v>2</v>
      </c>
      <c r="U45" s="91">
        <f t="shared" ref="U45" si="427">W46/(100%-IF($B$3="하",$AB$8,$AB$6)*W48)/W48</f>
        <v>200.69204152249139</v>
      </c>
      <c r="V45" s="92">
        <f t="shared" ref="V45:V64" si="428">IF("하"=$B$3,$AC$8,$AC$6)</f>
        <v>25</v>
      </c>
      <c r="W45" s="108" t="s">
        <v>33</v>
      </c>
      <c r="X45" s="75" t="s">
        <v>25</v>
      </c>
      <c r="Y45" s="76">
        <f t="shared" ref="Y45:Y64" si="429">L46+W46</f>
        <v>7250</v>
      </c>
      <c r="Z45" s="93" t="s">
        <v>34</v>
      </c>
      <c r="AA45" s="93" t="s">
        <v>35</v>
      </c>
    </row>
    <row r="46" spans="1:27" ht="18" customHeight="1" thickTop="1" thickBot="1" x14ac:dyDescent="0.3">
      <c r="A46" s="194"/>
      <c r="B46" s="194"/>
      <c r="C46" s="143"/>
      <c r="D46" s="142" t="str">
        <f t="shared" ref="D46" si="430">IF(C48="","",IF(C46*36/(37-C48)=0,"",C46*36/(37-C48)))</f>
        <v/>
      </c>
      <c r="E46" s="109" t="str">
        <f t="shared" ref="E46" si="431">E42</f>
        <v>exercise1</v>
      </c>
      <c r="F46" s="18">
        <f t="shared" ref="F46" si="432">IF(D46="",J41,D46)</f>
        <v>200.69204152249139</v>
      </c>
      <c r="G46" s="94">
        <f t="shared" ref="G46:G64" si="433">100%-K45*IF($B$3="하",$AB$8,$AB$6)</f>
        <v>0.72249999999999992</v>
      </c>
      <c r="H46" s="7">
        <f t="shared" ref="H46:H64" si="434">G46</f>
        <v>0.72249999999999992</v>
      </c>
      <c r="I46" s="7">
        <f t="shared" ref="I46:I64" si="435">H46</f>
        <v>0.72249999999999992</v>
      </c>
      <c r="J46" s="7">
        <f t="shared" ref="J46:J64" si="436">I46</f>
        <v>0.72249999999999992</v>
      </c>
      <c r="K46" s="8">
        <f t="shared" ref="K46:K47" si="437">J46</f>
        <v>0.72249999999999992</v>
      </c>
      <c r="L46" s="95">
        <f t="shared" ref="L46" si="438">G47*G48+H47*H48+I47*I48+J47*J48+K47*K48</f>
        <v>3625</v>
      </c>
      <c r="M46" s="194"/>
      <c r="N46" s="143"/>
      <c r="O46" s="142" t="str">
        <f t="shared" ref="O46" si="439">IF(N48="","",IF(N46*36/(37-N48)=0,"",N46*36/(37-N48)))</f>
        <v/>
      </c>
      <c r="P46" s="109" t="str">
        <f t="shared" ref="P46" si="440">P42</f>
        <v>exercise2</v>
      </c>
      <c r="Q46" s="18">
        <f t="shared" ref="Q46" si="441">IF(O46="",U41,O46)</f>
        <v>200.69204152249139</v>
      </c>
      <c r="R46" s="94">
        <f t="shared" ref="R46:R64" si="442">100%-V45*IF($B$3="하",$AB$8,$AB$6)</f>
        <v>0.72249999999999992</v>
      </c>
      <c r="S46" s="7">
        <f t="shared" ref="S46:S64" si="443">R46</f>
        <v>0.72249999999999992</v>
      </c>
      <c r="T46" s="7">
        <f t="shared" ref="T46:T64" si="444">S46</f>
        <v>0.72249999999999992</v>
      </c>
      <c r="U46" s="7">
        <f t="shared" ref="U46:U64" si="445">T46</f>
        <v>0.72249999999999992</v>
      </c>
      <c r="V46" s="8">
        <f t="shared" ref="V46:V64" si="446">U46</f>
        <v>0.72249999999999992</v>
      </c>
      <c r="W46" s="96">
        <f t="shared" ref="W46" si="447">R47*R48+S47*S48+T47*T48+U47*U48+V47*V48</f>
        <v>3625</v>
      </c>
      <c r="X46" s="86" t="s">
        <v>27</v>
      </c>
      <c r="Y46" s="81">
        <f t="shared" ref="Y46" si="448">Y45+Y42</f>
        <v>79750</v>
      </c>
      <c r="Z46" s="90">
        <f t="shared" ref="Z46" si="449">ROUNDDOWN(Y44*$Z$4,0)</f>
        <v>5</v>
      </c>
      <c r="AA46" s="90">
        <f t="shared" ref="AA46" si="450">ROUNDDOWN(Y44*$AA$4,0)</f>
        <v>35</v>
      </c>
    </row>
    <row r="47" spans="1:27" ht="18" customHeight="1" thickTop="1" thickBot="1" x14ac:dyDescent="0.3">
      <c r="A47" s="194"/>
      <c r="B47" s="194"/>
      <c r="C47" s="141" t="str">
        <f t="shared" ref="C47" si="451">IF(AA46-O44&lt;$B$1," ","1~ "&amp;IF(AA46-O44&gt;$B$1,$B$1,AA46-O44)&amp;" rep")</f>
        <v>1~ 5 rep</v>
      </c>
      <c r="D47" s="97" t="s">
        <v>37</v>
      </c>
      <c r="E47" s="98" t="s">
        <v>5</v>
      </c>
      <c r="F47" s="5" t="s">
        <v>3</v>
      </c>
      <c r="G47" s="18">
        <f t="shared" ref="G47:G64" si="452">MROUND(G46*F46,E48)</f>
        <v>145</v>
      </c>
      <c r="H47" s="18">
        <f t="shared" si="434"/>
        <v>145</v>
      </c>
      <c r="I47" s="18">
        <f t="shared" si="435"/>
        <v>145</v>
      </c>
      <c r="J47" s="18">
        <f t="shared" si="436"/>
        <v>145</v>
      </c>
      <c r="K47" s="19">
        <f t="shared" si="437"/>
        <v>145</v>
      </c>
      <c r="L47" s="74" t="s">
        <v>10</v>
      </c>
      <c r="M47" s="194"/>
      <c r="N47" s="141" t="str">
        <f t="shared" ref="N47:N64" si="453">IF(AA48-D48&lt;$B$1,"","1~"&amp;IF(AA48-D48&gt;$B$1,$B$1,AA48-D48)&amp;" rep")</f>
        <v>1~5 rep</v>
      </c>
      <c r="O47" s="97" t="s">
        <v>37</v>
      </c>
      <c r="P47" s="86" t="s">
        <v>5</v>
      </c>
      <c r="Q47" s="5" t="s">
        <v>3</v>
      </c>
      <c r="R47" s="18">
        <f t="shared" ref="R47:R64" si="454">MROUND(R46*Q46,P48)</f>
        <v>145</v>
      </c>
      <c r="S47" s="18">
        <f t="shared" si="443"/>
        <v>145</v>
      </c>
      <c r="T47" s="18">
        <f t="shared" si="444"/>
        <v>145</v>
      </c>
      <c r="U47" s="18">
        <f t="shared" si="445"/>
        <v>145</v>
      </c>
      <c r="V47" s="19">
        <f t="shared" si="446"/>
        <v>145</v>
      </c>
      <c r="W47" s="99" t="s">
        <v>10</v>
      </c>
      <c r="X47" s="86" t="s">
        <v>28</v>
      </c>
      <c r="Y47" s="87">
        <f t="shared" ref="Y47:Y64" si="455">L48+W48</f>
        <v>50</v>
      </c>
      <c r="Z47" s="93" t="s">
        <v>34</v>
      </c>
      <c r="AA47" s="93" t="s">
        <v>35</v>
      </c>
    </row>
    <row r="48" spans="1:27" ht="18" customHeight="1" thickTop="1" thickBot="1" x14ac:dyDescent="0.3">
      <c r="A48" s="195"/>
      <c r="B48" s="195"/>
      <c r="C48" s="144"/>
      <c r="D48" s="90">
        <f t="shared" ref="D48" si="456">IF(C46="",O44,IF(D46&lt;=0,O44,O44+C48))</f>
        <v>0</v>
      </c>
      <c r="E48" s="100">
        <f t="shared" ref="E48" si="457">E44</f>
        <v>2.5</v>
      </c>
      <c r="F48" s="13" t="s">
        <v>7</v>
      </c>
      <c r="G48" s="103">
        <f t="shared" ref="G48" si="458" xml:space="preserve"> IF($B$3="하",0,IF(MROUND(K45/5,1)&lt;=H45,IF(MROUND(K45/5,1)&gt;=F45,MROUND(K45/5,1),F45),H45))</f>
        <v>5</v>
      </c>
      <c r="H48" s="104">
        <f t="shared" ref="H48" si="459">IF(MROUND((K45-G48)/4,1)&lt;=H45,IF(MROUND((K45-G48)/4,1)&gt;=F45,MROUND((K45-G48)/4,1),F45),H45)</f>
        <v>5</v>
      </c>
      <c r="I48" s="104">
        <f t="shared" ref="I48" si="460">IF(MROUND((K45-G48-H48)/3,1)&lt;=H45,IF(MROUND((K45-G48-H48)/3,1)&gt;=F45,MROUND((K45-G48-H48)/3,1),F45),H45)</f>
        <v>5</v>
      </c>
      <c r="J48" s="104">
        <f t="shared" ref="J48" si="461">IF(MROUND((K45-G48-H48-I48)/2,1)&lt;=H45,IF((K45-G48-H48-I48)/2&gt;=F45,MROUND((K45-G48-H48-I48)/2,1),K45-G48-H48-I48),H45)</f>
        <v>5</v>
      </c>
      <c r="K48" s="105">
        <f t="shared" ref="K48" si="462">IF((K45-(G48+H48+I48+J48))&gt;0,(K45-(G48+H48+I48+J48)),0)</f>
        <v>5</v>
      </c>
      <c r="L48" s="101">
        <f t="shared" ref="L48" si="463">SUM(G48:K48)</f>
        <v>25</v>
      </c>
      <c r="M48" s="195"/>
      <c r="N48" s="144"/>
      <c r="O48" s="90">
        <f t="shared" ref="O48" si="464">IF(""=N46,D48,IF(O46&lt;=0,D48,D48+N48))</f>
        <v>0</v>
      </c>
      <c r="P48" s="102">
        <f t="shared" ref="P48" si="465">P44</f>
        <v>2.5</v>
      </c>
      <c r="Q48" s="13" t="s">
        <v>7</v>
      </c>
      <c r="R48" s="103">
        <f t="shared" ref="R48" si="466" xml:space="preserve"> IF($B$3="하",0,IF(MROUND(V45/5,1)&lt;=S45,IF(MROUND(V45/5,1)&gt;=Q45,MROUND(V45/5,1),Q45),S45))</f>
        <v>5</v>
      </c>
      <c r="S48" s="104">
        <f t="shared" ref="S48" si="467">IF(MROUND((V45-R48)/4,1)&lt;=S45,IF(MROUND((V45-R48)/4,1)&gt;=Q45,MROUND((V45-R48)/4,1),Q45),S45)</f>
        <v>5</v>
      </c>
      <c r="T48" s="104">
        <f t="shared" ref="T48" si="468">IF(MROUND((V45-R48-S48)/3,1)&lt;=S45,IF(MROUND((V45-R48-S48)/3,1)&gt;=Q45,MROUND((V45-R48-S48)/3,1),Q45),S45)</f>
        <v>5</v>
      </c>
      <c r="U48" s="104">
        <f t="shared" ref="U48" si="469">IF(MROUND((V45-R48-S48-T48)/2,1)&lt;=S45,IF((V45-R48-S48-T48)/2&gt;=Q45,MROUND((V45-R48-S48-T48)/2,1),V45-R48-S48-T48),S45)</f>
        <v>5</v>
      </c>
      <c r="V48" s="105">
        <f t="shared" ref="V48" si="470">IF((V45-(R48+S48+T48+U48))&gt;0,(V45-(R48+S48+T48+U48)),0)</f>
        <v>5</v>
      </c>
      <c r="W48" s="106">
        <f t="shared" ref="W48" si="471">SUM(R48:V48)</f>
        <v>25</v>
      </c>
      <c r="X48" s="88" t="s">
        <v>30</v>
      </c>
      <c r="Y48" s="89">
        <f t="shared" ref="Y48" si="472">Y47+Y44+O48-O44</f>
        <v>550</v>
      </c>
      <c r="Z48" s="90">
        <f t="shared" ref="Z48" si="473">ROUNDDOWN((Y44-O44+D48+L48)*$Z$4,0)</f>
        <v>5</v>
      </c>
      <c r="AA48" s="90">
        <f t="shared" ref="AA48" si="474">ROUNDDOWN((Y44+L48-O44+D48)*$AA$4,0)</f>
        <v>36</v>
      </c>
    </row>
    <row r="49" spans="1:27" ht="18" customHeight="1" thickTop="1" thickBot="1" x14ac:dyDescent="0.3">
      <c r="A49" s="193">
        <f t="shared" ref="A49" si="475">A45+1</f>
        <v>12</v>
      </c>
      <c r="B49" s="193" t="str">
        <f t="shared" ref="B49" ca="1" si="476">IF((L52+Y48)&lt;IF(B$3="하",$AE$8,$AE$6),0,IF((L52+Y48)&gt;IF(B$3="하",$AE$7,$AE$5),"",MAX(B45,M45)+1))</f>
        <v/>
      </c>
      <c r="C49" s="141" t="str">
        <f t="shared" ref="C49" si="477">IF(AA50-O48&lt;$B$1," ","MAX to "&amp;MROUND(IF(IF(AA50-O48&gt;$B$1,$B$1,AA50-O48)&lt;2,J45,J45*(37-IF(AA50-O48&gt;$B$1,$B$1,AA50-O48))/36),E52))</f>
        <v>MAX to 177.5</v>
      </c>
      <c r="D49" s="90" t="str">
        <f t="shared" ref="D49:D64" si="478">IF(AA50&lt;=O48,"X",IF(Z50&gt;O48,"must ME","can ME"))</f>
        <v>must ME</v>
      </c>
      <c r="E49" s="75" t="s">
        <v>31</v>
      </c>
      <c r="F49" s="23">
        <v>4</v>
      </c>
      <c r="G49" s="2">
        <v>1</v>
      </c>
      <c r="H49" s="23">
        <f t="shared" ref="H49:H64" si="479">IF(G50&gt;=90%,2,IF(G50&gt;=80%,4,IF(G50&gt;=70%,6,6)))</f>
        <v>6</v>
      </c>
      <c r="I49" s="3" t="s">
        <v>2</v>
      </c>
      <c r="J49" s="91">
        <f t="shared" ref="J49" si="480">L50/(100%-IF($B$3="하",$AB$8,$AB$6)*L52)/L52</f>
        <v>200.69204152249139</v>
      </c>
      <c r="K49" s="92">
        <f t="shared" ref="K49:K64" si="481">IF("하"=$B$3,$AC$7,$AC$5)</f>
        <v>25</v>
      </c>
      <c r="L49" s="107" t="s">
        <v>33</v>
      </c>
      <c r="M49" s="193" t="str">
        <f t="shared" ref="M49" ca="1" si="482">IF($Y52&lt;IF(M$3="하",$AE$8,$AE$6),0,IF($Y52&gt;IF(M$3="하",$AE$7,$AE$5),"",MAX(B49,M45)+1))</f>
        <v/>
      </c>
      <c r="N49" s="141" t="str">
        <f t="shared" ref="N49" si="483">IF(AA52-D52&lt;$B$1,"","MAX to "&amp;MROUND(IF(IF(AA52-D52&gt;$B$1,$B$1,AA52-D52)&lt;2,U45,U45*(37-IF(AA52-D52&gt;$B$1,$B$1,AA52-D52))/36),P52))</f>
        <v>MAX to 177.5</v>
      </c>
      <c r="O49" s="90" t="str">
        <f t="shared" ref="O49" si="484">IF(AA52&lt;=D52,"X",IF(Z52&gt;D52,"must ME","can ME"))</f>
        <v>must ME</v>
      </c>
      <c r="P49" s="75" t="s">
        <v>31</v>
      </c>
      <c r="Q49" s="23">
        <v>4</v>
      </c>
      <c r="R49" s="2" t="s">
        <v>32</v>
      </c>
      <c r="S49" s="23">
        <v>6</v>
      </c>
      <c r="T49" s="3" t="s">
        <v>2</v>
      </c>
      <c r="U49" s="91">
        <f t="shared" ref="U49" si="485">W50/(100%-IF($B$3="하",$AB$8,$AB$6)*W52)/W52</f>
        <v>200.69204152249139</v>
      </c>
      <c r="V49" s="92">
        <f t="shared" ref="V49:V64" si="486">IF("하"=$B$3,$AC$8,$AC$6)</f>
        <v>25</v>
      </c>
      <c r="W49" s="108" t="s">
        <v>33</v>
      </c>
      <c r="X49" s="75" t="s">
        <v>25</v>
      </c>
      <c r="Y49" s="76">
        <f t="shared" ref="Y49:Y64" si="487">L50+W50</f>
        <v>7250</v>
      </c>
      <c r="Z49" s="93" t="s">
        <v>34</v>
      </c>
      <c r="AA49" s="93" t="s">
        <v>35</v>
      </c>
    </row>
    <row r="50" spans="1:27" ht="18" customHeight="1" thickTop="1" thickBot="1" x14ac:dyDescent="0.3">
      <c r="A50" s="194"/>
      <c r="B50" s="194"/>
      <c r="C50" s="143"/>
      <c r="D50" s="142" t="str">
        <f t="shared" ref="D50" si="488">IF(C52="","",IF(C50*36/(37-C52)=0,"",C50*36/(37-C52)))</f>
        <v/>
      </c>
      <c r="E50" s="109" t="str">
        <f t="shared" ref="E50" si="489">E46</f>
        <v>exercise1</v>
      </c>
      <c r="F50" s="18">
        <f t="shared" ref="F50" si="490">IF(D50="",J45,D50)</f>
        <v>200.69204152249139</v>
      </c>
      <c r="G50" s="94">
        <f t="shared" ref="G50:G64" si="491">100%-K49*IF($B$3="하",$AB$8,$AB$6)</f>
        <v>0.72249999999999992</v>
      </c>
      <c r="H50" s="7">
        <f t="shared" ref="H50:H64" si="492">G50</f>
        <v>0.72249999999999992</v>
      </c>
      <c r="I50" s="7">
        <f t="shared" ref="I50:I64" si="493">H50</f>
        <v>0.72249999999999992</v>
      </c>
      <c r="J50" s="7">
        <f t="shared" ref="J50:J64" si="494">I50</f>
        <v>0.72249999999999992</v>
      </c>
      <c r="K50" s="8">
        <f t="shared" ref="K50:K51" si="495">J50</f>
        <v>0.72249999999999992</v>
      </c>
      <c r="L50" s="95">
        <f t="shared" ref="L50" si="496">G51*G52+H51*H52+I51*I52+J51*J52+K51*K52</f>
        <v>3625</v>
      </c>
      <c r="M50" s="194"/>
      <c r="N50" s="143"/>
      <c r="O50" s="142" t="str">
        <f t="shared" ref="O50" si="497">IF(N52="","",IF(N50*36/(37-N52)=0,"",N50*36/(37-N52)))</f>
        <v/>
      </c>
      <c r="P50" s="109" t="str">
        <f t="shared" ref="P50" si="498">P46</f>
        <v>exercise2</v>
      </c>
      <c r="Q50" s="18">
        <f t="shared" ref="Q50" si="499">IF(O50="",U45,O50)</f>
        <v>200.69204152249139</v>
      </c>
      <c r="R50" s="94">
        <f t="shared" ref="R50:R64" si="500">100%-V49*IF($B$3="하",$AB$8,$AB$6)</f>
        <v>0.72249999999999992</v>
      </c>
      <c r="S50" s="7">
        <f t="shared" ref="S50:S64" si="501">R50</f>
        <v>0.72249999999999992</v>
      </c>
      <c r="T50" s="7">
        <f t="shared" ref="T50:T64" si="502">S50</f>
        <v>0.72249999999999992</v>
      </c>
      <c r="U50" s="7">
        <f t="shared" ref="U50:U64" si="503">T50</f>
        <v>0.72249999999999992</v>
      </c>
      <c r="V50" s="8">
        <f t="shared" ref="V50:V64" si="504">U50</f>
        <v>0.72249999999999992</v>
      </c>
      <c r="W50" s="96">
        <f t="shared" ref="W50" si="505">R51*R52+S51*S52+T51*T52+U51*U52+V51*V52</f>
        <v>3625</v>
      </c>
      <c r="X50" s="86" t="s">
        <v>27</v>
      </c>
      <c r="Y50" s="81">
        <f t="shared" ref="Y50" si="506">Y49+Y46</f>
        <v>87000</v>
      </c>
      <c r="Z50" s="90">
        <f t="shared" ref="Z50" si="507">ROUNDDOWN(Y48*$Z$4,0)</f>
        <v>5</v>
      </c>
      <c r="AA50" s="90">
        <f t="shared" ref="AA50" si="508">ROUNDDOWN(Y48*$AA$4,0)</f>
        <v>38</v>
      </c>
    </row>
    <row r="51" spans="1:27" ht="18" customHeight="1" thickTop="1" thickBot="1" x14ac:dyDescent="0.3">
      <c r="A51" s="194"/>
      <c r="B51" s="194"/>
      <c r="C51" s="141" t="str">
        <f t="shared" ref="C51" si="509">IF(AA50-O48&lt;$B$1," ","1~ "&amp;IF(AA50-O48&gt;$B$1,$B$1,AA50-O48)&amp;" rep")</f>
        <v>1~ 5 rep</v>
      </c>
      <c r="D51" s="97" t="s">
        <v>37</v>
      </c>
      <c r="E51" s="98" t="s">
        <v>5</v>
      </c>
      <c r="F51" s="5" t="s">
        <v>3</v>
      </c>
      <c r="G51" s="18">
        <f t="shared" ref="G51:G64" si="510">MROUND(G50*F50,E52)</f>
        <v>145</v>
      </c>
      <c r="H51" s="18">
        <f t="shared" si="492"/>
        <v>145</v>
      </c>
      <c r="I51" s="18">
        <f t="shared" si="493"/>
        <v>145</v>
      </c>
      <c r="J51" s="18">
        <f t="shared" si="494"/>
        <v>145</v>
      </c>
      <c r="K51" s="19">
        <f t="shared" si="495"/>
        <v>145</v>
      </c>
      <c r="L51" s="74" t="s">
        <v>10</v>
      </c>
      <c r="M51" s="194"/>
      <c r="N51" s="141" t="str">
        <f t="shared" ref="N51:N64" si="511">IF(AA52-D52&lt;$B$1,"","1~"&amp;IF(AA52-D52&gt;$B$1,$B$1,AA52-D52)&amp;" rep")</f>
        <v>1~5 rep</v>
      </c>
      <c r="O51" s="97" t="s">
        <v>37</v>
      </c>
      <c r="P51" s="86" t="s">
        <v>5</v>
      </c>
      <c r="Q51" s="5" t="s">
        <v>3</v>
      </c>
      <c r="R51" s="18">
        <f t="shared" ref="R51:R64" si="512">MROUND(R50*Q50,P52)</f>
        <v>145</v>
      </c>
      <c r="S51" s="18">
        <f t="shared" si="501"/>
        <v>145</v>
      </c>
      <c r="T51" s="18">
        <f t="shared" si="502"/>
        <v>145</v>
      </c>
      <c r="U51" s="18">
        <f t="shared" si="503"/>
        <v>145</v>
      </c>
      <c r="V51" s="19">
        <f t="shared" si="504"/>
        <v>145</v>
      </c>
      <c r="W51" s="99" t="s">
        <v>10</v>
      </c>
      <c r="X51" s="86" t="s">
        <v>28</v>
      </c>
      <c r="Y51" s="87">
        <f t="shared" ref="Y51:Y64" si="513">L52+W52</f>
        <v>50</v>
      </c>
      <c r="Z51" s="93" t="s">
        <v>34</v>
      </c>
      <c r="AA51" s="93" t="s">
        <v>35</v>
      </c>
    </row>
    <row r="52" spans="1:27" ht="18" customHeight="1" thickTop="1" thickBot="1" x14ac:dyDescent="0.3">
      <c r="A52" s="195"/>
      <c r="B52" s="195"/>
      <c r="C52" s="144"/>
      <c r="D52" s="90">
        <f t="shared" ref="D52" si="514">IF(C50="",O48,IF(D50&lt;=0,O48,O48+C52))</f>
        <v>0</v>
      </c>
      <c r="E52" s="100">
        <f t="shared" ref="E52" si="515">E48</f>
        <v>2.5</v>
      </c>
      <c r="F52" s="13" t="s">
        <v>7</v>
      </c>
      <c r="G52" s="103">
        <f t="shared" ref="G52" si="516" xml:space="preserve"> IF($B$3="하",0,IF(MROUND(K49/5,1)&lt;=H49,IF(MROUND(K49/5,1)&gt;=F49,MROUND(K49/5,1),F49),H49))</f>
        <v>5</v>
      </c>
      <c r="H52" s="104">
        <f t="shared" ref="H52" si="517">IF(MROUND((K49-G52)/4,1)&lt;=H49,IF(MROUND((K49-G52)/4,1)&gt;=F49,MROUND((K49-G52)/4,1),F49),H49)</f>
        <v>5</v>
      </c>
      <c r="I52" s="104">
        <f t="shared" ref="I52" si="518">IF(MROUND((K49-G52-H52)/3,1)&lt;=H49,IF(MROUND((K49-G52-H52)/3,1)&gt;=F49,MROUND((K49-G52-H52)/3,1),F49),H49)</f>
        <v>5</v>
      </c>
      <c r="J52" s="104">
        <f t="shared" ref="J52" si="519">IF(MROUND((K49-G52-H52-I52)/2,1)&lt;=H49,IF((K49-G52-H52-I52)/2&gt;=F49,MROUND((K49-G52-H52-I52)/2,1),K49-G52-H52-I52),H49)</f>
        <v>5</v>
      </c>
      <c r="K52" s="105">
        <f t="shared" ref="K52" si="520">IF((K49-(G52+H52+I52+J52))&gt;0,(K49-(G52+H52+I52+J52)),0)</f>
        <v>5</v>
      </c>
      <c r="L52" s="101">
        <f t="shared" ref="L52" si="521">SUM(G52:K52)</f>
        <v>25</v>
      </c>
      <c r="M52" s="195"/>
      <c r="N52" s="144"/>
      <c r="O52" s="90">
        <f t="shared" ref="O52" si="522">IF(""=N50,D52,IF(O50&lt;=0,D52,D52+N52))</f>
        <v>0</v>
      </c>
      <c r="P52" s="102">
        <f t="shared" ref="P52" si="523">P48</f>
        <v>2.5</v>
      </c>
      <c r="Q52" s="13" t="s">
        <v>7</v>
      </c>
      <c r="R52" s="103">
        <f t="shared" ref="R52" si="524" xml:space="preserve"> IF($B$3="하",0,IF(MROUND(V49/5,1)&lt;=S49,IF(MROUND(V49/5,1)&gt;=Q49,MROUND(V49/5,1),Q49),S49))</f>
        <v>5</v>
      </c>
      <c r="S52" s="104">
        <f t="shared" ref="S52" si="525">IF(MROUND((V49-R52)/4,1)&lt;=S49,IF(MROUND((V49-R52)/4,1)&gt;=Q49,MROUND((V49-R52)/4,1),Q49),S49)</f>
        <v>5</v>
      </c>
      <c r="T52" s="104">
        <f t="shared" ref="T52" si="526">IF(MROUND((V49-R52-S52)/3,1)&lt;=S49,IF(MROUND((V49-R52-S52)/3,1)&gt;=Q49,MROUND((V49-R52-S52)/3,1),Q49),S49)</f>
        <v>5</v>
      </c>
      <c r="U52" s="104">
        <f t="shared" ref="U52" si="527">IF(MROUND((V49-R52-S52-T52)/2,1)&lt;=S49,IF((V49-R52-S52-T52)/2&gt;=Q49,MROUND((V49-R52-S52-T52)/2,1),V49-R52-S52-T52),S49)</f>
        <v>5</v>
      </c>
      <c r="V52" s="105">
        <f t="shared" ref="V52" si="528">IF((V49-(R52+S52+T52+U52))&gt;0,(V49-(R52+S52+T52+U52)),0)</f>
        <v>5</v>
      </c>
      <c r="W52" s="106">
        <f t="shared" ref="W52" si="529">SUM(R52:V52)</f>
        <v>25</v>
      </c>
      <c r="X52" s="88" t="s">
        <v>30</v>
      </c>
      <c r="Y52" s="89">
        <f t="shared" ref="Y52" si="530">Y51+Y48+O52-O48</f>
        <v>600</v>
      </c>
      <c r="Z52" s="90">
        <f t="shared" ref="Z52" si="531">ROUNDDOWN((Y48-O48+D52+L52)*$Z$4,0)</f>
        <v>5</v>
      </c>
      <c r="AA52" s="90">
        <f t="shared" ref="AA52" si="532">ROUNDDOWN((Y48+L52-O48+D52)*$AA$4,0)</f>
        <v>40</v>
      </c>
    </row>
    <row r="53" spans="1:27" ht="18" customHeight="1" thickTop="1" thickBot="1" x14ac:dyDescent="0.3">
      <c r="A53" s="193">
        <f t="shared" ref="A53" si="533">A49+1</f>
        <v>13</v>
      </c>
      <c r="B53" s="193" t="str">
        <f t="shared" ref="B53" ca="1" si="534">IF((L56+Y52)&lt;IF(B$3="하",$AE$8,$AE$6),0,IF((L56+Y52)&gt;IF(B$3="하",$AE$7,$AE$5),"",MAX(B49,M49)+1))</f>
        <v/>
      </c>
      <c r="C53" s="141" t="str">
        <f t="shared" ref="C53" si="535">IF(AA54-O52&lt;$B$1," ","MAX to "&amp;MROUND(IF(IF(AA54-O52&gt;$B$1,$B$1,AA54-O52)&lt;2,J49,J49*(37-IF(AA54-O52&gt;$B$1,$B$1,AA54-O52))/36),E56))</f>
        <v>MAX to 177.5</v>
      </c>
      <c r="D53" s="90" t="str">
        <f t="shared" ref="D53:D64" si="536">IF(AA54&lt;=O52,"X",IF(Z54&gt;O52,"must ME","can ME"))</f>
        <v>must ME</v>
      </c>
      <c r="E53" s="75" t="s">
        <v>31</v>
      </c>
      <c r="F53" s="23">
        <v>4</v>
      </c>
      <c r="G53" s="2">
        <v>1</v>
      </c>
      <c r="H53" s="23">
        <f t="shared" ref="H53:H64" si="537">IF(G54&gt;=90%,2,IF(G54&gt;=80%,4,IF(G54&gt;=70%,6,6)))</f>
        <v>6</v>
      </c>
      <c r="I53" s="3" t="s">
        <v>2</v>
      </c>
      <c r="J53" s="91">
        <f t="shared" ref="J53" si="538">L54/(100%-IF($B$3="하",$AB$8,$AB$6)*L56)/L56</f>
        <v>200.69204152249139</v>
      </c>
      <c r="K53" s="92">
        <f t="shared" ref="K53:K64" si="539">IF("하"=$B$3,$AC$7,$AC$5)</f>
        <v>25</v>
      </c>
      <c r="L53" s="107" t="s">
        <v>33</v>
      </c>
      <c r="M53" s="193" t="str">
        <f t="shared" ref="M53" ca="1" si="540">IF($Y56&lt;IF(M$3="하",$AE$8,$AE$6),0,IF($Y56&gt;IF(M$3="하",$AE$7,$AE$5),"",MAX(B53,M49)+1))</f>
        <v/>
      </c>
      <c r="N53" s="141" t="str">
        <f t="shared" ref="N53" si="541">IF(AA56-D56&lt;$B$1,"","MAX to "&amp;MROUND(IF(IF(AA56-D56&gt;$B$1,$B$1,AA56-D56)&lt;2,U49,U49*(37-IF(AA56-D56&gt;$B$1,$B$1,AA56-D56))/36),P56))</f>
        <v>MAX to 177.5</v>
      </c>
      <c r="O53" s="90" t="str">
        <f t="shared" ref="O53" si="542">IF(AA56&lt;=D56,"X",IF(Z56&gt;D56,"must ME","can ME"))</f>
        <v>must ME</v>
      </c>
      <c r="P53" s="75" t="s">
        <v>31</v>
      </c>
      <c r="Q53" s="23">
        <v>4</v>
      </c>
      <c r="R53" s="2" t="s">
        <v>32</v>
      </c>
      <c r="S53" s="23">
        <v>6</v>
      </c>
      <c r="T53" s="3" t="s">
        <v>2</v>
      </c>
      <c r="U53" s="91">
        <f t="shared" ref="U53" si="543">W54/(100%-IF($B$3="하",$AB$8,$AB$6)*W56)/W56</f>
        <v>200.69204152249139</v>
      </c>
      <c r="V53" s="92">
        <f t="shared" ref="V53:V64" si="544">IF("하"=$B$3,$AC$8,$AC$6)</f>
        <v>25</v>
      </c>
      <c r="W53" s="108" t="s">
        <v>33</v>
      </c>
      <c r="X53" s="75" t="s">
        <v>25</v>
      </c>
      <c r="Y53" s="76">
        <f t="shared" ref="Y53:Y64" si="545">L54+W54</f>
        <v>7250</v>
      </c>
      <c r="Z53" s="93" t="s">
        <v>34</v>
      </c>
      <c r="AA53" s="93" t="s">
        <v>35</v>
      </c>
    </row>
    <row r="54" spans="1:27" ht="18" customHeight="1" thickTop="1" thickBot="1" x14ac:dyDescent="0.3">
      <c r="A54" s="194"/>
      <c r="B54" s="194"/>
      <c r="C54" s="143"/>
      <c r="D54" s="142" t="str">
        <f t="shared" ref="D54" si="546">IF(C56="","",IF(C54*36/(37-C56)=0,"",C54*36/(37-C56)))</f>
        <v/>
      </c>
      <c r="E54" s="109" t="str">
        <f t="shared" ref="E54" si="547">E50</f>
        <v>exercise1</v>
      </c>
      <c r="F54" s="18">
        <f t="shared" ref="F54" si="548">IF(D54="",J49,D54)</f>
        <v>200.69204152249139</v>
      </c>
      <c r="G54" s="94">
        <f t="shared" ref="G54:G64" si="549">100%-K53*IF($B$3="하",$AB$8,$AB$6)</f>
        <v>0.72249999999999992</v>
      </c>
      <c r="H54" s="7">
        <f t="shared" ref="H54:H64" si="550">G54</f>
        <v>0.72249999999999992</v>
      </c>
      <c r="I54" s="7">
        <f t="shared" ref="I54:I64" si="551">H54</f>
        <v>0.72249999999999992</v>
      </c>
      <c r="J54" s="7">
        <f t="shared" ref="J54:J64" si="552">I54</f>
        <v>0.72249999999999992</v>
      </c>
      <c r="K54" s="8">
        <f t="shared" ref="K54:K55" si="553">J54</f>
        <v>0.72249999999999992</v>
      </c>
      <c r="L54" s="95">
        <f t="shared" ref="L54" si="554">G55*G56+H55*H56+I55*I56+J55*J56+K55*K56</f>
        <v>3625</v>
      </c>
      <c r="M54" s="194"/>
      <c r="N54" s="143"/>
      <c r="O54" s="142" t="str">
        <f t="shared" ref="O54" si="555">IF(N56="","",IF(N54*36/(37-N56)=0,"",N54*36/(37-N56)))</f>
        <v/>
      </c>
      <c r="P54" s="109" t="str">
        <f t="shared" ref="P54" si="556">P50</f>
        <v>exercise2</v>
      </c>
      <c r="Q54" s="18">
        <f t="shared" ref="Q54" si="557">IF(O54="",U49,O54)</f>
        <v>200.69204152249139</v>
      </c>
      <c r="R54" s="94">
        <f t="shared" ref="R54:R64" si="558">100%-V53*IF($B$3="하",$AB$8,$AB$6)</f>
        <v>0.72249999999999992</v>
      </c>
      <c r="S54" s="7">
        <f t="shared" ref="S54:S64" si="559">R54</f>
        <v>0.72249999999999992</v>
      </c>
      <c r="T54" s="7">
        <f t="shared" ref="T54:T64" si="560">S54</f>
        <v>0.72249999999999992</v>
      </c>
      <c r="U54" s="7">
        <f t="shared" ref="U54:U64" si="561">T54</f>
        <v>0.72249999999999992</v>
      </c>
      <c r="V54" s="8">
        <f t="shared" ref="V54:V64" si="562">U54</f>
        <v>0.72249999999999992</v>
      </c>
      <c r="W54" s="96">
        <f t="shared" ref="W54" si="563">R55*R56+S55*S56+T55*T56+U55*U56+V55*V56</f>
        <v>3625</v>
      </c>
      <c r="X54" s="86" t="s">
        <v>27</v>
      </c>
      <c r="Y54" s="81">
        <f t="shared" ref="Y54" si="564">Y53+Y50</f>
        <v>94250</v>
      </c>
      <c r="Z54" s="90">
        <f t="shared" ref="Z54" si="565">ROUNDDOWN(Y52*$Z$4,0)</f>
        <v>6</v>
      </c>
      <c r="AA54" s="90">
        <f t="shared" ref="AA54" si="566">ROUNDDOWN(Y52*$AA$4,0)</f>
        <v>42</v>
      </c>
    </row>
    <row r="55" spans="1:27" ht="18" customHeight="1" thickTop="1" thickBot="1" x14ac:dyDescent="0.3">
      <c r="A55" s="194"/>
      <c r="B55" s="194"/>
      <c r="C55" s="141" t="str">
        <f t="shared" ref="C55" si="567">IF(AA54-O52&lt;$B$1," ","1~ "&amp;IF(AA54-O52&gt;$B$1,$B$1,AA54-O52)&amp;" rep")</f>
        <v>1~ 5 rep</v>
      </c>
      <c r="D55" s="97" t="s">
        <v>37</v>
      </c>
      <c r="E55" s="98" t="s">
        <v>5</v>
      </c>
      <c r="F55" s="5" t="s">
        <v>3</v>
      </c>
      <c r="G55" s="18">
        <f t="shared" ref="G55:G64" si="568">MROUND(G54*F54,E56)</f>
        <v>145</v>
      </c>
      <c r="H55" s="18">
        <f t="shared" si="550"/>
        <v>145</v>
      </c>
      <c r="I55" s="18">
        <f t="shared" si="551"/>
        <v>145</v>
      </c>
      <c r="J55" s="18">
        <f t="shared" si="552"/>
        <v>145</v>
      </c>
      <c r="K55" s="19">
        <f t="shared" si="553"/>
        <v>145</v>
      </c>
      <c r="L55" s="74" t="s">
        <v>10</v>
      </c>
      <c r="M55" s="194"/>
      <c r="N55" s="141" t="str">
        <f t="shared" ref="N55:N64" si="569">IF(AA56-D56&lt;$B$1,"","1~"&amp;IF(AA56-D56&gt;$B$1,$B$1,AA56-D56)&amp;" rep")</f>
        <v>1~5 rep</v>
      </c>
      <c r="O55" s="97" t="s">
        <v>37</v>
      </c>
      <c r="P55" s="86" t="s">
        <v>5</v>
      </c>
      <c r="Q55" s="5" t="s">
        <v>3</v>
      </c>
      <c r="R55" s="18">
        <f t="shared" ref="R55:R64" si="570">MROUND(R54*Q54,P56)</f>
        <v>145</v>
      </c>
      <c r="S55" s="18">
        <f t="shared" si="559"/>
        <v>145</v>
      </c>
      <c r="T55" s="18">
        <f t="shared" si="560"/>
        <v>145</v>
      </c>
      <c r="U55" s="18">
        <f t="shared" si="561"/>
        <v>145</v>
      </c>
      <c r="V55" s="19">
        <f t="shared" si="562"/>
        <v>145</v>
      </c>
      <c r="W55" s="99" t="s">
        <v>10</v>
      </c>
      <c r="X55" s="86" t="s">
        <v>28</v>
      </c>
      <c r="Y55" s="87">
        <f t="shared" ref="Y55:Y64" si="571">L56+W56</f>
        <v>50</v>
      </c>
      <c r="Z55" s="93" t="s">
        <v>34</v>
      </c>
      <c r="AA55" s="93" t="s">
        <v>35</v>
      </c>
    </row>
    <row r="56" spans="1:27" ht="18" customHeight="1" thickTop="1" thickBot="1" x14ac:dyDescent="0.3">
      <c r="A56" s="195"/>
      <c r="B56" s="195"/>
      <c r="C56" s="144"/>
      <c r="D56" s="90">
        <f t="shared" ref="D56" si="572">IF(C54="",O52,IF(D54&lt;=0,O52,O52+C56))</f>
        <v>0</v>
      </c>
      <c r="E56" s="100">
        <f t="shared" ref="E56" si="573">E52</f>
        <v>2.5</v>
      </c>
      <c r="F56" s="13" t="s">
        <v>7</v>
      </c>
      <c r="G56" s="103">
        <f t="shared" ref="G56" si="574" xml:space="preserve"> IF($B$3="하",0,IF(MROUND(K53/5,1)&lt;=H53,IF(MROUND(K53/5,1)&gt;=F53,MROUND(K53/5,1),F53),H53))</f>
        <v>5</v>
      </c>
      <c r="H56" s="104">
        <f t="shared" ref="H56" si="575">IF(MROUND((K53-G56)/4,1)&lt;=H53,IF(MROUND((K53-G56)/4,1)&gt;=F53,MROUND((K53-G56)/4,1),F53),H53)</f>
        <v>5</v>
      </c>
      <c r="I56" s="104">
        <f t="shared" ref="I56" si="576">IF(MROUND((K53-G56-H56)/3,1)&lt;=H53,IF(MROUND((K53-G56-H56)/3,1)&gt;=F53,MROUND((K53-G56-H56)/3,1),F53),H53)</f>
        <v>5</v>
      </c>
      <c r="J56" s="104">
        <f t="shared" ref="J56" si="577">IF(MROUND((K53-G56-H56-I56)/2,1)&lt;=H53,IF((K53-G56-H56-I56)/2&gt;=F53,MROUND((K53-G56-H56-I56)/2,1),K53-G56-H56-I56),H53)</f>
        <v>5</v>
      </c>
      <c r="K56" s="105">
        <f t="shared" ref="K56" si="578">IF((K53-(G56+H56+I56+J56))&gt;0,(K53-(G56+H56+I56+J56)),0)</f>
        <v>5</v>
      </c>
      <c r="L56" s="101">
        <f t="shared" ref="L56" si="579">SUM(G56:K56)</f>
        <v>25</v>
      </c>
      <c r="M56" s="195"/>
      <c r="N56" s="144"/>
      <c r="O56" s="90">
        <f t="shared" ref="O56" si="580">IF(""=N54,D56,IF(O54&lt;=0,D56,D56+N56))</f>
        <v>0</v>
      </c>
      <c r="P56" s="102">
        <f t="shared" ref="P56" si="581">P52</f>
        <v>2.5</v>
      </c>
      <c r="Q56" s="13" t="s">
        <v>7</v>
      </c>
      <c r="R56" s="103">
        <f t="shared" ref="R56" si="582" xml:space="preserve"> IF($B$3="하",0,IF(MROUND(V53/5,1)&lt;=S53,IF(MROUND(V53/5,1)&gt;=Q53,MROUND(V53/5,1),Q53),S53))</f>
        <v>5</v>
      </c>
      <c r="S56" s="104">
        <f t="shared" ref="S56" si="583">IF(MROUND((V53-R56)/4,1)&lt;=S53,IF(MROUND((V53-R56)/4,1)&gt;=Q53,MROUND((V53-R56)/4,1),Q53),S53)</f>
        <v>5</v>
      </c>
      <c r="T56" s="104">
        <f t="shared" ref="T56" si="584">IF(MROUND((V53-R56-S56)/3,1)&lt;=S53,IF(MROUND((V53-R56-S56)/3,1)&gt;=Q53,MROUND((V53-R56-S56)/3,1),Q53),S53)</f>
        <v>5</v>
      </c>
      <c r="U56" s="104">
        <f t="shared" ref="U56" si="585">IF(MROUND((V53-R56-S56-T56)/2,1)&lt;=S53,IF((V53-R56-S56-T56)/2&gt;=Q53,MROUND((V53-R56-S56-T56)/2,1),V53-R56-S56-T56),S53)</f>
        <v>5</v>
      </c>
      <c r="V56" s="105">
        <f t="shared" ref="V56" si="586">IF((V53-(R56+S56+T56+U56))&gt;0,(V53-(R56+S56+T56+U56)),0)</f>
        <v>5</v>
      </c>
      <c r="W56" s="106">
        <f t="shared" ref="W56" si="587">SUM(R56:V56)</f>
        <v>25</v>
      </c>
      <c r="X56" s="88" t="s">
        <v>30</v>
      </c>
      <c r="Y56" s="89">
        <f t="shared" ref="Y56" si="588">Y55+Y52+O56-O52</f>
        <v>650</v>
      </c>
      <c r="Z56" s="90">
        <f t="shared" ref="Z56" si="589">ROUNDDOWN((Y52-O52+D56+L56)*$Z$4,0)</f>
        <v>6</v>
      </c>
      <c r="AA56" s="90">
        <f t="shared" ref="AA56" si="590">ROUNDDOWN((Y52+L56-O52+D56)*$AA$4,0)</f>
        <v>43</v>
      </c>
    </row>
    <row r="57" spans="1:27" ht="18" customHeight="1" thickTop="1" thickBot="1" x14ac:dyDescent="0.3">
      <c r="A57" s="193">
        <f t="shared" ref="A57" si="591">A53+1</f>
        <v>14</v>
      </c>
      <c r="B57" s="193" t="str">
        <f t="shared" ref="B57" ca="1" si="592">IF((L60+Y56)&lt;IF(B$3="하",$AE$8,$AE$6),0,IF((L60+Y56)&gt;IF(B$3="하",$AE$7,$AE$5),"",MAX(B53,M53)+1))</f>
        <v/>
      </c>
      <c r="C57" s="141" t="str">
        <f t="shared" ref="C57" si="593">IF(AA58-O56&lt;$B$1," ","MAX to "&amp;MROUND(IF(IF(AA58-O56&gt;$B$1,$B$1,AA58-O56)&lt;2,J53,J53*(37-IF(AA58-O56&gt;$B$1,$B$1,AA58-O56))/36),E60))</f>
        <v>MAX to 177.5</v>
      </c>
      <c r="D57" s="90" t="str">
        <f t="shared" ref="D57:D64" si="594">IF(AA58&lt;=O56,"X",IF(Z58&gt;O56,"must ME","can ME"))</f>
        <v>must ME</v>
      </c>
      <c r="E57" s="75" t="s">
        <v>31</v>
      </c>
      <c r="F57" s="23">
        <v>4</v>
      </c>
      <c r="G57" s="2">
        <v>1</v>
      </c>
      <c r="H57" s="23">
        <f t="shared" ref="H57:H64" si="595">IF(G58&gt;=90%,2,IF(G58&gt;=80%,4,IF(G58&gt;=70%,6,6)))</f>
        <v>6</v>
      </c>
      <c r="I57" s="3" t="s">
        <v>2</v>
      </c>
      <c r="J57" s="91">
        <f t="shared" ref="J57" si="596">L58/(100%-IF($B$3="하",$AB$8,$AB$6)*L60)/L60</f>
        <v>200.69204152249139</v>
      </c>
      <c r="K57" s="92">
        <f t="shared" ref="K57:K64" si="597">IF("하"=$B$3,$AC$7,$AC$5)</f>
        <v>25</v>
      </c>
      <c r="L57" s="107" t="s">
        <v>33</v>
      </c>
      <c r="M57" s="193" t="str">
        <f t="shared" ref="M57" ca="1" si="598">IF($Y60&lt;IF(M$3="하",$AE$8,$AE$6),0,IF($Y60&gt;IF(M$3="하",$AE$7,$AE$5),"",MAX(B57,M53)+1))</f>
        <v/>
      </c>
      <c r="N57" s="141" t="str">
        <f t="shared" ref="N57" si="599">IF(AA60-D60&lt;$B$1,"","MAX to "&amp;MROUND(IF(IF(AA60-D60&gt;$B$1,$B$1,AA60-D60)&lt;2,U53,U53*(37-IF(AA60-D60&gt;$B$1,$B$1,AA60-D60))/36),P60))</f>
        <v>MAX to 177.5</v>
      </c>
      <c r="O57" s="90" t="str">
        <f t="shared" ref="O57" si="600">IF(AA60&lt;=D60,"X",IF(Z60&gt;D60,"must ME","can ME"))</f>
        <v>must ME</v>
      </c>
      <c r="P57" s="75" t="s">
        <v>31</v>
      </c>
      <c r="Q57" s="23">
        <v>4</v>
      </c>
      <c r="R57" s="2" t="s">
        <v>32</v>
      </c>
      <c r="S57" s="23">
        <v>6</v>
      </c>
      <c r="T57" s="3" t="s">
        <v>2</v>
      </c>
      <c r="U57" s="91">
        <f t="shared" ref="U57" si="601">W58/(100%-IF($B$3="하",$AB$8,$AB$6)*W60)/W60</f>
        <v>200.69204152249139</v>
      </c>
      <c r="V57" s="92">
        <f t="shared" ref="V57:V64" si="602">IF("하"=$B$3,$AC$8,$AC$6)</f>
        <v>25</v>
      </c>
      <c r="W57" s="108" t="s">
        <v>33</v>
      </c>
      <c r="X57" s="75" t="s">
        <v>25</v>
      </c>
      <c r="Y57" s="76">
        <f t="shared" ref="Y57:Y64" si="603">L58+W58</f>
        <v>7250</v>
      </c>
      <c r="Z57" s="93" t="s">
        <v>34</v>
      </c>
      <c r="AA57" s="93" t="s">
        <v>35</v>
      </c>
    </row>
    <row r="58" spans="1:27" ht="18" customHeight="1" thickTop="1" thickBot="1" x14ac:dyDescent="0.3">
      <c r="A58" s="194"/>
      <c r="B58" s="194"/>
      <c r="C58" s="143"/>
      <c r="D58" s="142" t="str">
        <f t="shared" ref="D58" si="604">IF(C60="","",IF(C58*36/(37-C60)=0,"",C58*36/(37-C60)))</f>
        <v/>
      </c>
      <c r="E58" s="109" t="str">
        <f t="shared" ref="E58" si="605">E54</f>
        <v>exercise1</v>
      </c>
      <c r="F58" s="18">
        <f t="shared" ref="F58" si="606">IF(D58="",J53,D58)</f>
        <v>200.69204152249139</v>
      </c>
      <c r="G58" s="94">
        <f t="shared" ref="G58:G64" si="607">100%-K57*IF($B$3="하",$AB$8,$AB$6)</f>
        <v>0.72249999999999992</v>
      </c>
      <c r="H58" s="7">
        <f t="shared" ref="H58:H64" si="608">G58</f>
        <v>0.72249999999999992</v>
      </c>
      <c r="I58" s="7">
        <f t="shared" ref="I58:I64" si="609">H58</f>
        <v>0.72249999999999992</v>
      </c>
      <c r="J58" s="7">
        <f t="shared" ref="J58:J64" si="610">I58</f>
        <v>0.72249999999999992</v>
      </c>
      <c r="K58" s="8">
        <f t="shared" ref="K58:K59" si="611">J58</f>
        <v>0.72249999999999992</v>
      </c>
      <c r="L58" s="95">
        <f t="shared" ref="L58" si="612">G59*G60+H59*H60+I59*I60+J59*J60+K59*K60</f>
        <v>3625</v>
      </c>
      <c r="M58" s="194"/>
      <c r="N58" s="143"/>
      <c r="O58" s="142" t="str">
        <f t="shared" ref="O58" si="613">IF(N60="","",IF(N58*36/(37-N60)=0,"",N58*36/(37-N60)))</f>
        <v/>
      </c>
      <c r="P58" s="109" t="str">
        <f t="shared" ref="P58" si="614">P54</f>
        <v>exercise2</v>
      </c>
      <c r="Q58" s="18">
        <f t="shared" ref="Q58" si="615">IF(O58="",U53,O58)</f>
        <v>200.69204152249139</v>
      </c>
      <c r="R58" s="94">
        <f t="shared" ref="R58:R64" si="616">100%-V57*IF($B$3="하",$AB$8,$AB$6)</f>
        <v>0.72249999999999992</v>
      </c>
      <c r="S58" s="7">
        <f t="shared" ref="S58:S64" si="617">R58</f>
        <v>0.72249999999999992</v>
      </c>
      <c r="T58" s="7">
        <f t="shared" ref="T58:T64" si="618">S58</f>
        <v>0.72249999999999992</v>
      </c>
      <c r="U58" s="7">
        <f t="shared" ref="U58:U64" si="619">T58</f>
        <v>0.72249999999999992</v>
      </c>
      <c r="V58" s="8">
        <f t="shared" ref="V58:V64" si="620">U58</f>
        <v>0.72249999999999992</v>
      </c>
      <c r="W58" s="96">
        <f t="shared" ref="W58" si="621">R59*R60+S59*S60+T59*T60+U59*U60+V59*V60</f>
        <v>3625</v>
      </c>
      <c r="X58" s="86" t="s">
        <v>27</v>
      </c>
      <c r="Y58" s="81">
        <f t="shared" ref="Y58" si="622">Y57+Y54</f>
        <v>101500</v>
      </c>
      <c r="Z58" s="90">
        <f t="shared" ref="Z58" si="623">ROUNDDOWN(Y56*$Z$4,0)</f>
        <v>6</v>
      </c>
      <c r="AA58" s="90">
        <f t="shared" ref="AA58" si="624">ROUNDDOWN(Y56*$AA$4,0)</f>
        <v>45</v>
      </c>
    </row>
    <row r="59" spans="1:27" ht="18" customHeight="1" thickTop="1" thickBot="1" x14ac:dyDescent="0.3">
      <c r="A59" s="194"/>
      <c r="B59" s="194"/>
      <c r="C59" s="141" t="str">
        <f t="shared" ref="C59" si="625">IF(AA58-O56&lt;$B$1," ","1~ "&amp;IF(AA58-O56&gt;$B$1,$B$1,AA58-O56)&amp;" rep")</f>
        <v>1~ 5 rep</v>
      </c>
      <c r="D59" s="97" t="s">
        <v>37</v>
      </c>
      <c r="E59" s="98" t="s">
        <v>5</v>
      </c>
      <c r="F59" s="5" t="s">
        <v>3</v>
      </c>
      <c r="G59" s="18">
        <f t="shared" ref="G59:G64" si="626">MROUND(G58*F58,E60)</f>
        <v>145</v>
      </c>
      <c r="H59" s="18">
        <f t="shared" si="608"/>
        <v>145</v>
      </c>
      <c r="I59" s="18">
        <f t="shared" si="609"/>
        <v>145</v>
      </c>
      <c r="J59" s="18">
        <f t="shared" si="610"/>
        <v>145</v>
      </c>
      <c r="K59" s="19">
        <f t="shared" si="611"/>
        <v>145</v>
      </c>
      <c r="L59" s="74" t="s">
        <v>10</v>
      </c>
      <c r="M59" s="194"/>
      <c r="N59" s="141" t="str">
        <f t="shared" ref="N59:N64" si="627">IF(AA60-D60&lt;$B$1,"","1~"&amp;IF(AA60-D60&gt;$B$1,$B$1,AA60-D60)&amp;" rep")</f>
        <v>1~5 rep</v>
      </c>
      <c r="O59" s="97" t="s">
        <v>37</v>
      </c>
      <c r="P59" s="86" t="s">
        <v>5</v>
      </c>
      <c r="Q59" s="5" t="s">
        <v>3</v>
      </c>
      <c r="R59" s="18">
        <f t="shared" ref="R59:R64" si="628">MROUND(R58*Q58,P60)</f>
        <v>145</v>
      </c>
      <c r="S59" s="18">
        <f t="shared" si="617"/>
        <v>145</v>
      </c>
      <c r="T59" s="18">
        <f t="shared" si="618"/>
        <v>145</v>
      </c>
      <c r="U59" s="18">
        <f t="shared" si="619"/>
        <v>145</v>
      </c>
      <c r="V59" s="19">
        <f t="shared" si="620"/>
        <v>145</v>
      </c>
      <c r="W59" s="99" t="s">
        <v>10</v>
      </c>
      <c r="X59" s="86" t="s">
        <v>28</v>
      </c>
      <c r="Y59" s="87">
        <f t="shared" ref="Y59:Y64" si="629">L60+W60</f>
        <v>50</v>
      </c>
      <c r="Z59" s="93" t="s">
        <v>34</v>
      </c>
      <c r="AA59" s="93" t="s">
        <v>35</v>
      </c>
    </row>
    <row r="60" spans="1:27" ht="18" customHeight="1" thickTop="1" thickBot="1" x14ac:dyDescent="0.3">
      <c r="A60" s="195"/>
      <c r="B60" s="195"/>
      <c r="C60" s="144"/>
      <c r="D60" s="90">
        <f t="shared" ref="D60" si="630">IF(C58="",O56,IF(D58&lt;=0,O56,O56+C60))</f>
        <v>0</v>
      </c>
      <c r="E60" s="100">
        <f t="shared" ref="E60" si="631">E56</f>
        <v>2.5</v>
      </c>
      <c r="F60" s="13" t="s">
        <v>7</v>
      </c>
      <c r="G60" s="103">
        <f t="shared" ref="G60" si="632" xml:space="preserve"> IF($B$3="하",0,IF(MROUND(K57/5,1)&lt;=H57,IF(MROUND(K57/5,1)&gt;=F57,MROUND(K57/5,1),F57),H57))</f>
        <v>5</v>
      </c>
      <c r="H60" s="104">
        <f t="shared" ref="H60" si="633">IF(MROUND((K57-G60)/4,1)&lt;=H57,IF(MROUND((K57-G60)/4,1)&gt;=F57,MROUND((K57-G60)/4,1),F57),H57)</f>
        <v>5</v>
      </c>
      <c r="I60" s="104">
        <f t="shared" ref="I60" si="634">IF(MROUND((K57-G60-H60)/3,1)&lt;=H57,IF(MROUND((K57-G60-H60)/3,1)&gt;=F57,MROUND((K57-G60-H60)/3,1),F57),H57)</f>
        <v>5</v>
      </c>
      <c r="J60" s="104">
        <f t="shared" ref="J60" si="635">IF(MROUND((K57-G60-H60-I60)/2,1)&lt;=H57,IF((K57-G60-H60-I60)/2&gt;=F57,MROUND((K57-G60-H60-I60)/2,1),K57-G60-H60-I60),H57)</f>
        <v>5</v>
      </c>
      <c r="K60" s="105">
        <f t="shared" ref="K60" si="636">IF((K57-(G60+H60+I60+J60))&gt;0,(K57-(G60+H60+I60+J60)),0)</f>
        <v>5</v>
      </c>
      <c r="L60" s="101">
        <f t="shared" ref="L60" si="637">SUM(G60:K60)</f>
        <v>25</v>
      </c>
      <c r="M60" s="195"/>
      <c r="N60" s="144"/>
      <c r="O60" s="90">
        <f t="shared" ref="O60" si="638">IF(""=N58,D60,IF(O58&lt;=0,D60,D60+N60))</f>
        <v>0</v>
      </c>
      <c r="P60" s="102">
        <f t="shared" ref="P60" si="639">P56</f>
        <v>2.5</v>
      </c>
      <c r="Q60" s="13" t="s">
        <v>7</v>
      </c>
      <c r="R60" s="103">
        <f t="shared" ref="R60" si="640" xml:space="preserve"> IF($B$3="하",0,IF(MROUND(V57/5,1)&lt;=S57,IF(MROUND(V57/5,1)&gt;=Q57,MROUND(V57/5,1),Q57),S57))</f>
        <v>5</v>
      </c>
      <c r="S60" s="104">
        <f t="shared" ref="S60" si="641">IF(MROUND((V57-R60)/4,1)&lt;=S57,IF(MROUND((V57-R60)/4,1)&gt;=Q57,MROUND((V57-R60)/4,1),Q57),S57)</f>
        <v>5</v>
      </c>
      <c r="T60" s="104">
        <f t="shared" ref="T60" si="642">IF(MROUND((V57-R60-S60)/3,1)&lt;=S57,IF(MROUND((V57-R60-S60)/3,1)&gt;=Q57,MROUND((V57-R60-S60)/3,1),Q57),S57)</f>
        <v>5</v>
      </c>
      <c r="U60" s="104">
        <f t="shared" ref="U60" si="643">IF(MROUND((V57-R60-S60-T60)/2,1)&lt;=S57,IF((V57-R60-S60-T60)/2&gt;=Q57,MROUND((V57-R60-S60-T60)/2,1),V57-R60-S60-T60),S57)</f>
        <v>5</v>
      </c>
      <c r="V60" s="105">
        <f t="shared" ref="V60" si="644">IF((V57-(R60+S60+T60+U60))&gt;0,(V57-(R60+S60+T60+U60)),0)</f>
        <v>5</v>
      </c>
      <c r="W60" s="106">
        <f t="shared" ref="W60" si="645">SUM(R60:V60)</f>
        <v>25</v>
      </c>
      <c r="X60" s="88" t="s">
        <v>30</v>
      </c>
      <c r="Y60" s="89">
        <f t="shared" ref="Y60" si="646">Y59+Y56+O60-O56</f>
        <v>700</v>
      </c>
      <c r="Z60" s="90">
        <f t="shared" ref="Z60" si="647">ROUNDDOWN((Y56-O56+D60+L60)*$Z$4,0)</f>
        <v>6</v>
      </c>
      <c r="AA60" s="90">
        <f t="shared" ref="AA60" si="648">ROUNDDOWN((Y56+L60-O56+D60)*$AA$4,0)</f>
        <v>47</v>
      </c>
    </row>
    <row r="61" spans="1:27" ht="18" customHeight="1" thickTop="1" thickBot="1" x14ac:dyDescent="0.3">
      <c r="A61" s="193">
        <f t="shared" ref="A61" si="649">A57+1</f>
        <v>15</v>
      </c>
      <c r="B61" s="193" t="str">
        <f t="shared" ref="B61" ca="1" si="650">IF((L64+Y60)&lt;IF(B$3="하",$AE$8,$AE$6),0,IF((L64+Y60)&gt;IF(B$3="하",$AE$7,$AE$5),"",MAX(B57,M57)+1))</f>
        <v/>
      </c>
      <c r="C61" s="141" t="str">
        <f t="shared" ref="C61" si="651">IF(AA62-O60&lt;$B$1," ","MAX to "&amp;MROUND(IF(IF(AA62-O60&gt;$B$1,$B$1,AA62-O60)&lt;2,J57,J57*(37-IF(AA62-O60&gt;$B$1,$B$1,AA62-O60))/36),E64))</f>
        <v>MAX to 177.5</v>
      </c>
      <c r="D61" s="90" t="str">
        <f t="shared" ref="D61:D64" si="652">IF(AA62&lt;=O60,"X",IF(Z62&gt;O60,"must ME","can ME"))</f>
        <v>must ME</v>
      </c>
      <c r="E61" s="75" t="s">
        <v>31</v>
      </c>
      <c r="F61" s="23">
        <v>4</v>
      </c>
      <c r="G61" s="2">
        <v>1</v>
      </c>
      <c r="H61" s="23">
        <f t="shared" ref="H61:H64" si="653">IF(G62&gt;=90%,2,IF(G62&gt;=80%,4,IF(G62&gt;=70%,6,6)))</f>
        <v>6</v>
      </c>
      <c r="I61" s="3" t="s">
        <v>2</v>
      </c>
      <c r="J61" s="91">
        <f t="shared" ref="J61" si="654">L62/(100%-IF($B$3="하",$AB$8,$AB$6)*L64)/L64</f>
        <v>200.69204152249139</v>
      </c>
      <c r="K61" s="92">
        <f t="shared" ref="K61:K64" si="655">IF("하"=$B$3,$AC$7,$AC$5)</f>
        <v>25</v>
      </c>
      <c r="L61" s="107" t="s">
        <v>33</v>
      </c>
      <c r="M61" s="193" t="str">
        <f t="shared" ref="M61" ca="1" si="656">IF($Y64&lt;IF(M$3="하",$AE$8,$AE$6),0,IF($Y64&gt;IF(M$3="하",$AE$7,$AE$5),"",MAX(B61,M57)+1))</f>
        <v/>
      </c>
      <c r="N61" s="141" t="str">
        <f t="shared" ref="N61" si="657">IF(AA64-D64&lt;$B$1,"","MAX to "&amp;MROUND(IF(IF(AA64-D64&gt;$B$1,$B$1,AA64-D64)&lt;2,U57,U57*(37-IF(AA64-D64&gt;$B$1,$B$1,AA64-D64))/36),P64))</f>
        <v>MAX to 177.5</v>
      </c>
      <c r="O61" s="90" t="str">
        <f t="shared" ref="O61" si="658">IF(AA64&lt;=D64,"X",IF(Z64&gt;D64,"must ME","can ME"))</f>
        <v>must ME</v>
      </c>
      <c r="P61" s="75" t="s">
        <v>31</v>
      </c>
      <c r="Q61" s="23">
        <v>4</v>
      </c>
      <c r="R61" s="2" t="s">
        <v>32</v>
      </c>
      <c r="S61" s="23">
        <v>6</v>
      </c>
      <c r="T61" s="3" t="s">
        <v>2</v>
      </c>
      <c r="U61" s="91">
        <f t="shared" ref="U61" si="659">W62/(100%-IF($B$3="하",$AB$8,$AB$6)*W64)/W64</f>
        <v>200.69204152249139</v>
      </c>
      <c r="V61" s="92">
        <f t="shared" ref="V61:V64" si="660">IF("하"=$B$3,$AC$8,$AC$6)</f>
        <v>25</v>
      </c>
      <c r="W61" s="108" t="s">
        <v>33</v>
      </c>
      <c r="X61" s="75" t="s">
        <v>25</v>
      </c>
      <c r="Y61" s="76">
        <f t="shared" ref="Y61:Y64" si="661">L62+W62</f>
        <v>7250</v>
      </c>
      <c r="Z61" s="93" t="s">
        <v>34</v>
      </c>
      <c r="AA61" s="93" t="s">
        <v>35</v>
      </c>
    </row>
    <row r="62" spans="1:27" ht="18" customHeight="1" thickTop="1" thickBot="1" x14ac:dyDescent="0.3">
      <c r="A62" s="194"/>
      <c r="B62" s="194"/>
      <c r="C62" s="143"/>
      <c r="D62" s="142" t="str">
        <f t="shared" ref="D62" si="662">IF(C64="","",IF(C62*36/(37-C64)=0,"",C62*36/(37-C64)))</f>
        <v/>
      </c>
      <c r="E62" s="109" t="str">
        <f t="shared" ref="E62" si="663">E58</f>
        <v>exercise1</v>
      </c>
      <c r="F62" s="18">
        <f t="shared" ref="F62" si="664">IF(D62="",J57,D62)</f>
        <v>200.69204152249139</v>
      </c>
      <c r="G62" s="94">
        <f t="shared" ref="G62:G64" si="665">100%-K61*IF($B$3="하",$AB$8,$AB$6)</f>
        <v>0.72249999999999992</v>
      </c>
      <c r="H62" s="7">
        <f t="shared" ref="H62:H64" si="666">G62</f>
        <v>0.72249999999999992</v>
      </c>
      <c r="I62" s="7">
        <f t="shared" ref="I62:I64" si="667">H62</f>
        <v>0.72249999999999992</v>
      </c>
      <c r="J62" s="7">
        <f t="shared" ref="J62:J64" si="668">I62</f>
        <v>0.72249999999999992</v>
      </c>
      <c r="K62" s="8">
        <f t="shared" ref="K62:K63" si="669">J62</f>
        <v>0.72249999999999992</v>
      </c>
      <c r="L62" s="95">
        <f t="shared" ref="L62" si="670">G63*G64+H63*H64+I63*I64+J63*J64+K63*K64</f>
        <v>3625</v>
      </c>
      <c r="M62" s="194"/>
      <c r="N62" s="143"/>
      <c r="O62" s="142" t="str">
        <f t="shared" ref="O62" si="671">IF(N64="","",IF(N62*36/(37-N64)=0,"",N62*36/(37-N64)))</f>
        <v/>
      </c>
      <c r="P62" s="109" t="str">
        <f t="shared" ref="P62" si="672">P58</f>
        <v>exercise2</v>
      </c>
      <c r="Q62" s="18">
        <f t="shared" ref="Q62" si="673">IF(O62="",U57,O62)</f>
        <v>200.69204152249139</v>
      </c>
      <c r="R62" s="94">
        <f t="shared" ref="R62:R64" si="674">100%-V61*IF($B$3="하",$AB$8,$AB$6)</f>
        <v>0.72249999999999992</v>
      </c>
      <c r="S62" s="7">
        <f t="shared" ref="S62:S64" si="675">R62</f>
        <v>0.72249999999999992</v>
      </c>
      <c r="T62" s="7">
        <f t="shared" ref="T62:T64" si="676">S62</f>
        <v>0.72249999999999992</v>
      </c>
      <c r="U62" s="7">
        <f t="shared" ref="U62:U64" si="677">T62</f>
        <v>0.72249999999999992</v>
      </c>
      <c r="V62" s="8">
        <f t="shared" ref="V62:V64" si="678">U62</f>
        <v>0.72249999999999992</v>
      </c>
      <c r="W62" s="96">
        <f t="shared" ref="W62" si="679">R63*R64+S63*S64+T63*T64+U63*U64+V63*V64</f>
        <v>3625</v>
      </c>
      <c r="X62" s="86" t="s">
        <v>27</v>
      </c>
      <c r="Y62" s="81">
        <f t="shared" ref="Y62" si="680">Y61+Y58</f>
        <v>108750</v>
      </c>
      <c r="Z62" s="90">
        <f t="shared" ref="Z62" si="681">ROUNDDOWN(Y60*$Z$4,0)</f>
        <v>7</v>
      </c>
      <c r="AA62" s="90">
        <f t="shared" ref="AA62" si="682">ROUNDDOWN(Y60*$AA$4,0)</f>
        <v>49</v>
      </c>
    </row>
    <row r="63" spans="1:27" ht="18" customHeight="1" thickTop="1" thickBot="1" x14ac:dyDescent="0.3">
      <c r="A63" s="194"/>
      <c r="B63" s="194"/>
      <c r="C63" s="141" t="str">
        <f t="shared" ref="C63" si="683">IF(AA62-O60&lt;$B$1," ","1~ "&amp;IF(AA62-O60&gt;$B$1,$B$1,AA62-O60)&amp;" rep")</f>
        <v>1~ 5 rep</v>
      </c>
      <c r="D63" s="97" t="s">
        <v>37</v>
      </c>
      <c r="E63" s="98" t="s">
        <v>5</v>
      </c>
      <c r="F63" s="5" t="s">
        <v>3</v>
      </c>
      <c r="G63" s="18">
        <f t="shared" ref="G63:G64" si="684">MROUND(G62*F62,E64)</f>
        <v>145</v>
      </c>
      <c r="H63" s="18">
        <f t="shared" si="666"/>
        <v>145</v>
      </c>
      <c r="I63" s="18">
        <f t="shared" si="667"/>
        <v>145</v>
      </c>
      <c r="J63" s="18">
        <f t="shared" si="668"/>
        <v>145</v>
      </c>
      <c r="K63" s="19">
        <f t="shared" si="669"/>
        <v>145</v>
      </c>
      <c r="L63" s="74" t="s">
        <v>10</v>
      </c>
      <c r="M63" s="194"/>
      <c r="N63" s="141" t="str">
        <f t="shared" ref="N63:N64" si="685">IF(AA64-D64&lt;$B$1,"","1~"&amp;IF(AA64-D64&gt;$B$1,$B$1,AA64-D64)&amp;" rep")</f>
        <v>1~5 rep</v>
      </c>
      <c r="O63" s="97" t="s">
        <v>37</v>
      </c>
      <c r="P63" s="86" t="s">
        <v>5</v>
      </c>
      <c r="Q63" s="5" t="s">
        <v>3</v>
      </c>
      <c r="R63" s="18">
        <f t="shared" ref="R63:R64" si="686">MROUND(R62*Q62,P64)</f>
        <v>145</v>
      </c>
      <c r="S63" s="18">
        <f t="shared" si="675"/>
        <v>145</v>
      </c>
      <c r="T63" s="18">
        <f t="shared" si="676"/>
        <v>145</v>
      </c>
      <c r="U63" s="18">
        <f t="shared" si="677"/>
        <v>145</v>
      </c>
      <c r="V63" s="19">
        <f t="shared" si="678"/>
        <v>145</v>
      </c>
      <c r="W63" s="99" t="s">
        <v>10</v>
      </c>
      <c r="X63" s="86" t="s">
        <v>28</v>
      </c>
      <c r="Y63" s="87">
        <f t="shared" ref="Y63:Y64" si="687">L64+W64</f>
        <v>50</v>
      </c>
      <c r="Z63" s="93" t="s">
        <v>34</v>
      </c>
      <c r="AA63" s="93" t="s">
        <v>35</v>
      </c>
    </row>
    <row r="64" spans="1:27" ht="18" customHeight="1" thickTop="1" thickBot="1" x14ac:dyDescent="0.3">
      <c r="A64" s="195"/>
      <c r="B64" s="195"/>
      <c r="C64" s="144"/>
      <c r="D64" s="90">
        <f t="shared" ref="D64" si="688">IF(C62="",O60,IF(D62&lt;=0,O60,O60+C64))</f>
        <v>0</v>
      </c>
      <c r="E64" s="100">
        <f t="shared" ref="E64" si="689">E60</f>
        <v>2.5</v>
      </c>
      <c r="F64" s="13" t="s">
        <v>7</v>
      </c>
      <c r="G64" s="103">
        <f t="shared" ref="G64" si="690" xml:space="preserve"> IF($B$3="하",0,IF(MROUND(K61/5,1)&lt;=H61,IF(MROUND(K61/5,1)&gt;=F61,MROUND(K61/5,1),F61),H61))</f>
        <v>5</v>
      </c>
      <c r="H64" s="104">
        <f t="shared" ref="H64" si="691">IF(MROUND((K61-G64)/4,1)&lt;=H61,IF(MROUND((K61-G64)/4,1)&gt;=F61,MROUND((K61-G64)/4,1),F61),H61)</f>
        <v>5</v>
      </c>
      <c r="I64" s="104">
        <f t="shared" ref="I64" si="692">IF(MROUND((K61-G64-H64)/3,1)&lt;=H61,IF(MROUND((K61-G64-H64)/3,1)&gt;=F61,MROUND((K61-G64-H64)/3,1),F61),H61)</f>
        <v>5</v>
      </c>
      <c r="J64" s="104">
        <f t="shared" ref="J64" si="693">IF(MROUND((K61-G64-H64-I64)/2,1)&lt;=H61,IF((K61-G64-H64-I64)/2&gt;=F61,MROUND((K61-G64-H64-I64)/2,1),K61-G64-H64-I64),H61)</f>
        <v>5</v>
      </c>
      <c r="K64" s="105">
        <f t="shared" ref="K64" si="694">IF((K61-(G64+H64+I64+J64))&gt;0,(K61-(G64+H64+I64+J64)),0)</f>
        <v>5</v>
      </c>
      <c r="L64" s="101">
        <f t="shared" ref="L64" si="695">SUM(G64:K64)</f>
        <v>25</v>
      </c>
      <c r="M64" s="195"/>
      <c r="N64" s="144"/>
      <c r="O64" s="90">
        <f t="shared" ref="O64" si="696">IF(""=N62,D64,IF(O62&lt;=0,D64,D64+N64))</f>
        <v>0</v>
      </c>
      <c r="P64" s="102">
        <f t="shared" ref="P64" si="697">P60</f>
        <v>2.5</v>
      </c>
      <c r="Q64" s="13" t="s">
        <v>7</v>
      </c>
      <c r="R64" s="103">
        <f t="shared" ref="R64" si="698" xml:space="preserve"> IF($B$3="하",0,IF(MROUND(V61/5,1)&lt;=S61,IF(MROUND(V61/5,1)&gt;=Q61,MROUND(V61/5,1),Q61),S61))</f>
        <v>5</v>
      </c>
      <c r="S64" s="104">
        <f t="shared" ref="S64" si="699">IF(MROUND((V61-R64)/4,1)&lt;=S61,IF(MROUND((V61-R64)/4,1)&gt;=Q61,MROUND((V61-R64)/4,1),Q61),S61)</f>
        <v>5</v>
      </c>
      <c r="T64" s="104">
        <f t="shared" ref="T64" si="700">IF(MROUND((V61-R64-S64)/3,1)&lt;=S61,IF(MROUND((V61-R64-S64)/3,1)&gt;=Q61,MROUND((V61-R64-S64)/3,1),Q61),S61)</f>
        <v>5</v>
      </c>
      <c r="U64" s="104">
        <f t="shared" ref="U64" si="701">IF(MROUND((V61-R64-S64-T64)/2,1)&lt;=S61,IF((V61-R64-S64-T64)/2&gt;=Q61,MROUND((V61-R64-S64-T64)/2,1),V61-R64-S64-T64),S61)</f>
        <v>5</v>
      </c>
      <c r="V64" s="105">
        <f t="shared" ref="V64" si="702">IF((V61-(R64+S64+T64+U64))&gt;0,(V61-(R64+S64+T64+U64)),0)</f>
        <v>5</v>
      </c>
      <c r="W64" s="106">
        <f t="shared" ref="W64" si="703">SUM(R64:V64)</f>
        <v>25</v>
      </c>
      <c r="X64" s="88" t="s">
        <v>30</v>
      </c>
      <c r="Y64" s="89">
        <f t="shared" ref="Y64" si="704">Y63+Y60+O64-O60</f>
        <v>750</v>
      </c>
      <c r="Z64" s="90">
        <f t="shared" ref="Z64" si="705">ROUNDDOWN((Y60-O60+D64+L64)*$Z$4,0)</f>
        <v>7</v>
      </c>
      <c r="AA64" s="90">
        <f t="shared" ref="AA64" si="706">ROUNDDOWN((Y60+L64-O60+D64)*$AA$4,0)</f>
        <v>50</v>
      </c>
    </row>
    <row r="65" ht="17.25" thickTop="1" x14ac:dyDescent="0.25"/>
  </sheetData>
  <mergeCells count="50">
    <mergeCell ref="A57:A60"/>
    <mergeCell ref="B57:B60"/>
    <mergeCell ref="M57:M60"/>
    <mergeCell ref="A61:A64"/>
    <mergeCell ref="B61:B64"/>
    <mergeCell ref="M61:M64"/>
    <mergeCell ref="A49:A52"/>
    <mergeCell ref="B49:B52"/>
    <mergeCell ref="M49:M52"/>
    <mergeCell ref="A53:A56"/>
    <mergeCell ref="B53:B56"/>
    <mergeCell ref="M53:M56"/>
    <mergeCell ref="A41:A44"/>
    <mergeCell ref="B41:B44"/>
    <mergeCell ref="M41:M44"/>
    <mergeCell ref="A45:A48"/>
    <mergeCell ref="B45:B48"/>
    <mergeCell ref="M45:M48"/>
    <mergeCell ref="A33:A36"/>
    <mergeCell ref="B33:B36"/>
    <mergeCell ref="M33:M36"/>
    <mergeCell ref="A37:A40"/>
    <mergeCell ref="B37:B40"/>
    <mergeCell ref="M37:M40"/>
    <mergeCell ref="A25:A28"/>
    <mergeCell ref="B25:B28"/>
    <mergeCell ref="M25:M28"/>
    <mergeCell ref="A29:A32"/>
    <mergeCell ref="B29:B32"/>
    <mergeCell ref="M29:M32"/>
    <mergeCell ref="A17:A20"/>
    <mergeCell ref="B17:B20"/>
    <mergeCell ref="M17:M20"/>
    <mergeCell ref="A21:A24"/>
    <mergeCell ref="B21:B24"/>
    <mergeCell ref="M21:M24"/>
    <mergeCell ref="A9:A12"/>
    <mergeCell ref="B9:B12"/>
    <mergeCell ref="M9:M12"/>
    <mergeCell ref="A13:A16"/>
    <mergeCell ref="B13:B16"/>
    <mergeCell ref="M13:M16"/>
    <mergeCell ref="A5:A8"/>
    <mergeCell ref="B5:B8"/>
    <mergeCell ref="M5:M8"/>
    <mergeCell ref="C1:E1"/>
    <mergeCell ref="F1:G1"/>
    <mergeCell ref="H1:I1"/>
    <mergeCell ref="B4:L4"/>
    <mergeCell ref="M4:W4"/>
  </mergeCells>
  <phoneticPr fontId="1" type="noConversion"/>
  <conditionalFormatting sqref="A5:B40 A45:B64">
    <cfRule type="containsText" dxfId="349" priority="187" operator="containsText" text="0">
      <formula>NOT(ISERROR(SEARCH("0",A5)))</formula>
    </cfRule>
  </conditionalFormatting>
  <conditionalFormatting sqref="B41:B44">
    <cfRule type="containsText" dxfId="348" priority="186" operator="containsText" text="0">
      <formula>NOT(ISERROR(SEARCH("0",B41)))</formula>
    </cfRule>
  </conditionalFormatting>
  <conditionalFormatting sqref="D2:D3">
    <cfRule type="cellIs" dxfId="347" priority="281" operator="equal">
      <formula>"ME"</formula>
    </cfRule>
  </conditionalFormatting>
  <conditionalFormatting sqref="D5">
    <cfRule type="containsText" dxfId="346" priority="277" operator="containsText" text="can">
      <formula>NOT(ISERROR(SEARCH("can",D5)))</formula>
    </cfRule>
    <cfRule type="containsText" dxfId="345" priority="278" operator="containsText" text="must">
      <formula>NOT(ISERROR(SEARCH("must",D5)))</formula>
    </cfRule>
  </conditionalFormatting>
  <conditionalFormatting sqref="D6:D8">
    <cfRule type="containsText" dxfId="344" priority="279" operator="containsText" text="ME">
      <formula>NOT(ISERROR(SEARCH("ME",D6)))</formula>
    </cfRule>
  </conditionalFormatting>
  <conditionalFormatting sqref="D9">
    <cfRule type="containsText" dxfId="343" priority="271" operator="containsText" text="must">
      <formula>NOT(ISERROR(SEARCH("must",D9)))</formula>
    </cfRule>
    <cfRule type="containsText" dxfId="342" priority="270" operator="containsText" text="can">
      <formula>NOT(ISERROR(SEARCH("can",D9)))</formula>
    </cfRule>
  </conditionalFormatting>
  <conditionalFormatting sqref="D10:D12">
    <cfRule type="containsText" dxfId="341" priority="268" operator="containsText" text="ME">
      <formula>NOT(ISERROR(SEARCH("ME",D10)))</formula>
    </cfRule>
  </conditionalFormatting>
  <conditionalFormatting sqref="D13 D17 D21 D25 D29 D33 D37">
    <cfRule type="containsText" dxfId="340" priority="13" operator="containsText" text="can">
      <formula>NOT(ISERROR(SEARCH("can",D13)))</formula>
    </cfRule>
    <cfRule type="containsText" dxfId="339" priority="14" operator="containsText" text="must">
      <formula>NOT(ISERROR(SEARCH("must",D13)))</formula>
    </cfRule>
  </conditionalFormatting>
  <conditionalFormatting sqref="D14:D16 D18:D20 D22:D24 D26:D28 D30:D32 D34:D36 D38:D40">
    <cfRule type="containsText" dxfId="338" priority="11" operator="containsText" text="ME">
      <formula>NOT(ISERROR(SEARCH("ME",D14)))</formula>
    </cfRule>
  </conditionalFormatting>
  <conditionalFormatting sqref="D41">
    <cfRule type="containsText" dxfId="337" priority="198" operator="containsText" text="must">
      <formula>NOT(ISERROR(SEARCH("must",D41)))</formula>
    </cfRule>
    <cfRule type="containsText" dxfId="336" priority="197" operator="containsText" text="can">
      <formula>NOT(ISERROR(SEARCH("can",D41)))</formula>
    </cfRule>
  </conditionalFormatting>
  <conditionalFormatting sqref="D42:D44">
    <cfRule type="containsText" dxfId="335" priority="195" operator="containsText" text="ME">
      <formula>NOT(ISERROR(SEARCH("ME",D42)))</formula>
    </cfRule>
  </conditionalFormatting>
  <conditionalFormatting sqref="D45 D49 D53 D57 D61">
    <cfRule type="containsText" dxfId="334" priority="4" operator="containsText" text="can">
      <formula>NOT(ISERROR(SEARCH("can",D45)))</formula>
    </cfRule>
    <cfRule type="containsText" dxfId="333" priority="5" operator="containsText" text="must">
      <formula>NOT(ISERROR(SEARCH("must",D45)))</formula>
    </cfRule>
  </conditionalFormatting>
  <conditionalFormatting sqref="D46:D48 D50:D52 D54:D56 D58:D60 D62:D64">
    <cfRule type="containsText" dxfId="332" priority="2" operator="containsText" text="ME">
      <formula>NOT(ISERROR(SEARCH("ME",D46)))</formula>
    </cfRule>
  </conditionalFormatting>
  <conditionalFormatting sqref="K5">
    <cfRule type="cellIs" dxfId="331" priority="286" operator="equal">
      <formula>"ME"</formula>
    </cfRule>
  </conditionalFormatting>
  <conditionalFormatting sqref="K9">
    <cfRule type="cellIs" dxfId="330" priority="275" operator="equal">
      <formula>"ME"</formula>
    </cfRule>
  </conditionalFormatting>
  <conditionalFormatting sqref="K13 K17 K21 K25 K29 K33 K37">
    <cfRule type="cellIs" dxfId="329" priority="18" operator="equal">
      <formula>"ME"</formula>
    </cfRule>
  </conditionalFormatting>
  <conditionalFormatting sqref="K41">
    <cfRule type="cellIs" dxfId="328" priority="202" operator="equal">
      <formula>"ME"</formula>
    </cfRule>
  </conditionalFormatting>
  <conditionalFormatting sqref="K45 K49 K53 K57 K61">
    <cfRule type="cellIs" dxfId="327" priority="9" operator="equal">
      <formula>"ME"</formula>
    </cfRule>
  </conditionalFormatting>
  <conditionalFormatting sqref="M5:M64">
    <cfRule type="containsText" dxfId="326" priority="221" operator="containsText" text="0">
      <formula>NOT(ISERROR(SEARCH("0",M5)))</formula>
    </cfRule>
  </conditionalFormatting>
  <conditionalFormatting sqref="O2:O3">
    <cfRule type="cellIs" dxfId="325" priority="280" operator="equal">
      <formula>"ME"</formula>
    </cfRule>
  </conditionalFormatting>
  <conditionalFormatting sqref="O5">
    <cfRule type="containsText" dxfId="324" priority="282" operator="containsText" text="can">
      <formula>NOT(ISERROR(SEARCH("can",O5)))</formula>
    </cfRule>
    <cfRule type="containsText" dxfId="323" priority="283" operator="containsText" text="must">
      <formula>NOT(ISERROR(SEARCH("must",O5)))</formula>
    </cfRule>
  </conditionalFormatting>
  <conditionalFormatting sqref="O6:O7">
    <cfRule type="containsText" dxfId="322" priority="276" operator="containsText" text="ME">
      <formula>NOT(ISERROR(SEARCH("ME",O6)))</formula>
    </cfRule>
  </conditionalFormatting>
  <conditionalFormatting sqref="O7:O8">
    <cfRule type="containsText" dxfId="321" priority="284" operator="containsText" text="ME">
      <formula>NOT(ISERROR(SEARCH("ME",O7)))</formula>
    </cfRule>
  </conditionalFormatting>
  <conditionalFormatting sqref="O9">
    <cfRule type="containsText" dxfId="320" priority="272" operator="containsText" text="can">
      <formula>NOT(ISERROR(SEARCH("can",O9)))</formula>
    </cfRule>
    <cfRule type="containsText" dxfId="319" priority="273" operator="containsText" text="must">
      <formula>NOT(ISERROR(SEARCH("must",O9)))</formula>
    </cfRule>
  </conditionalFormatting>
  <conditionalFormatting sqref="O10:O11">
    <cfRule type="containsText" dxfId="318" priority="267" operator="containsText" text="ME">
      <formula>NOT(ISERROR(SEARCH("ME",O10)))</formula>
    </cfRule>
  </conditionalFormatting>
  <conditionalFormatting sqref="O11:O12">
    <cfRule type="containsText" dxfId="317" priority="269" operator="containsText" text="ME">
      <formula>NOT(ISERROR(SEARCH("ME",O11)))</formula>
    </cfRule>
  </conditionalFormatting>
  <conditionalFormatting sqref="O13 O17 O21 O25 O29 O33 O37">
    <cfRule type="containsText" dxfId="316" priority="16" operator="containsText" text="must">
      <formula>NOT(ISERROR(SEARCH("must",O13)))</formula>
    </cfRule>
    <cfRule type="containsText" dxfId="315" priority="15" operator="containsText" text="can">
      <formula>NOT(ISERROR(SEARCH("can",O13)))</formula>
    </cfRule>
  </conditionalFormatting>
  <conditionalFormatting sqref="O14:O15 O18:O19 O22:O23 O26:O27 O30:O31 O34:O35 O38:O39">
    <cfRule type="containsText" dxfId="314" priority="10" operator="containsText" text="ME">
      <formula>NOT(ISERROR(SEARCH("ME",O14)))</formula>
    </cfRule>
  </conditionalFormatting>
  <conditionalFormatting sqref="O15:O16 O19:O20 O23:O24 O27:O28 O31:O32 O35:O36 O39:O40">
    <cfRule type="containsText" dxfId="313" priority="12" operator="containsText" text="ME">
      <formula>NOT(ISERROR(SEARCH("ME",O15)))</formula>
    </cfRule>
  </conditionalFormatting>
  <conditionalFormatting sqref="O41">
    <cfRule type="containsText" dxfId="312" priority="199" operator="containsText" text="can">
      <formula>NOT(ISERROR(SEARCH("can",O41)))</formula>
    </cfRule>
    <cfRule type="containsText" dxfId="311" priority="200" operator="containsText" text="must">
      <formula>NOT(ISERROR(SEARCH("must",O41)))</formula>
    </cfRule>
  </conditionalFormatting>
  <conditionalFormatting sqref="O42:O43">
    <cfRule type="containsText" dxfId="310" priority="194" operator="containsText" text="ME">
      <formula>NOT(ISERROR(SEARCH("ME",O42)))</formula>
    </cfRule>
  </conditionalFormatting>
  <conditionalFormatting sqref="O43:O44">
    <cfRule type="containsText" dxfId="309" priority="196" operator="containsText" text="ME">
      <formula>NOT(ISERROR(SEARCH("ME",O43)))</formula>
    </cfRule>
  </conditionalFormatting>
  <conditionalFormatting sqref="O45 O49 O53 O57 O61">
    <cfRule type="containsText" dxfId="308" priority="7" operator="containsText" text="must">
      <formula>NOT(ISERROR(SEARCH("must",O45)))</formula>
    </cfRule>
    <cfRule type="containsText" dxfId="307" priority="6" operator="containsText" text="can">
      <formula>NOT(ISERROR(SEARCH("can",O45)))</formula>
    </cfRule>
  </conditionalFormatting>
  <conditionalFormatting sqref="O46:O47 O50:O51 O54:O55 O58:O59 O62:O63">
    <cfRule type="containsText" dxfId="306" priority="1" operator="containsText" text="ME">
      <formula>NOT(ISERROR(SEARCH("ME",O46)))</formula>
    </cfRule>
  </conditionalFormatting>
  <conditionalFormatting sqref="O47:O48 O51:O52 O55:O56 O59:O60 O63:O64">
    <cfRule type="containsText" dxfId="305" priority="3" operator="containsText" text="ME">
      <formula>NOT(ISERROR(SEARCH("ME",O47)))</formula>
    </cfRule>
  </conditionalFormatting>
  <conditionalFormatting sqref="V5">
    <cfRule type="cellIs" dxfId="304" priority="285" operator="equal">
      <formula>"ME"</formula>
    </cfRule>
  </conditionalFormatting>
  <conditionalFormatting sqref="V9">
    <cfRule type="cellIs" dxfId="303" priority="274" operator="equal">
      <formula>"ME"</formula>
    </cfRule>
  </conditionalFormatting>
  <conditionalFormatting sqref="V13 V17 V21 V25 V29 V33 V37">
    <cfRule type="cellIs" dxfId="302" priority="17" operator="equal">
      <formula>"ME"</formula>
    </cfRule>
  </conditionalFormatting>
  <conditionalFormatting sqref="V41">
    <cfRule type="cellIs" dxfId="301" priority="201" operator="equal">
      <formula>"ME"</formula>
    </cfRule>
  </conditionalFormatting>
  <conditionalFormatting sqref="V45 V49 V53 V57 V61">
    <cfRule type="cellIs" dxfId="300" priority="8" operator="equal">
      <formula>"ME"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65"/>
  <sheetViews>
    <sheetView zoomScale="85" zoomScaleNormal="85" workbookViewId="0">
      <pane xSplit="1" ySplit="4" topLeftCell="B5" activePane="bottomRight" state="frozen"/>
      <selection pane="bottomLeft" activeCell="A5" sqref="A5"/>
      <selection pane="topRight" activeCell="B1" sqref="B1"/>
      <selection pane="bottomRight" activeCell="F1" sqref="F1:G1"/>
    </sheetView>
  </sheetViews>
  <sheetFormatPr defaultRowHeight="16.5" x14ac:dyDescent="0.25"/>
  <cols>
    <col min="1" max="1" width="10.890625" bestFit="1" customWidth="1"/>
    <col min="2" max="2" width="3.7109375" customWidth="1"/>
    <col min="3" max="3" width="12.87109375" style="140" bestFit="1" customWidth="1"/>
    <col min="4" max="4" width="10.0234375" bestFit="1" customWidth="1"/>
    <col min="5" max="5" width="8.7890625" bestFit="1" customWidth="1"/>
    <col min="6" max="6" width="10.76953125" bestFit="1" customWidth="1"/>
    <col min="7" max="7" width="6.0625" bestFit="1" customWidth="1"/>
    <col min="8" max="8" width="10.76953125" bestFit="1" customWidth="1"/>
    <col min="9" max="11" width="5.4453125" bestFit="1" customWidth="1"/>
    <col min="12" max="12" width="5.07421875" hidden="1" customWidth="1"/>
    <col min="13" max="13" width="3.7109375" bestFit="1" customWidth="1"/>
    <col min="14" max="14" width="13.61328125" style="140" customWidth="1"/>
    <col min="15" max="15" width="10.0234375" bestFit="1" customWidth="1"/>
    <col min="16" max="16" width="8.7890625" bestFit="1" customWidth="1"/>
    <col min="17" max="17" width="5.4453125" bestFit="1" customWidth="1"/>
    <col min="18" max="18" width="6.0625" bestFit="1" customWidth="1"/>
    <col min="19" max="22" width="5.4453125" bestFit="1" customWidth="1"/>
    <col min="23" max="23" width="5.19921875" hidden="1" customWidth="1"/>
    <col min="24" max="24" width="7.55078125" hidden="1" customWidth="1"/>
    <col min="25" max="25" width="6.1875" hidden="1" customWidth="1"/>
    <col min="26" max="27" width="7.42578125" hidden="1" customWidth="1"/>
    <col min="28" max="28" width="6.0625" hidden="1" customWidth="1"/>
    <col min="29" max="29" width="3.21484375" hidden="1" customWidth="1"/>
    <col min="30" max="31" width="4.20703125" hidden="1" customWidth="1"/>
  </cols>
  <sheetData>
    <row r="1" spans="1:34" ht="63" customHeight="1" thickTop="1" thickBot="1" x14ac:dyDescent="0.3">
      <c r="A1" s="139" t="s">
        <v>41</v>
      </c>
      <c r="C1" s="202" t="s">
        <v>42</v>
      </c>
      <c r="D1" s="202"/>
      <c r="E1" s="202"/>
      <c r="F1" s="196">
        <v>45565</v>
      </c>
      <c r="G1" s="196"/>
      <c r="H1" s="197">
        <f ca="1">TODAY()</f>
        <v>45838</v>
      </c>
      <c r="I1" s="197"/>
      <c r="X1" s="75" t="s">
        <v>25</v>
      </c>
      <c r="Y1" s="76"/>
      <c r="AG1">
        <f>WEEKNUM(F1)</f>
        <v>40</v>
      </c>
      <c r="AH1">
        <f ca="1">WEEKNUM(H1)</f>
        <v>27</v>
      </c>
    </row>
    <row r="2" spans="1:34" ht="33.75" thickTop="1" thickBot="1" x14ac:dyDescent="0.3">
      <c r="A2" s="124" t="s">
        <v>40</v>
      </c>
      <c r="B2" s="126">
        <f ca="1">A3</f>
        <v>-12</v>
      </c>
      <c r="C2" s="112" t="s">
        <v>36</v>
      </c>
      <c r="D2" s="80" t="s">
        <v>5</v>
      </c>
      <c r="E2" s="78" t="s">
        <v>11</v>
      </c>
      <c r="F2" s="78" t="s">
        <v>12</v>
      </c>
      <c r="G2" s="79" t="s">
        <v>13</v>
      </c>
      <c r="H2" s="80" t="s">
        <v>5</v>
      </c>
      <c r="I2" s="78" t="s">
        <v>11</v>
      </c>
      <c r="J2" s="78" t="s">
        <v>13</v>
      </c>
      <c r="K2" s="110" t="s">
        <v>14</v>
      </c>
      <c r="M2" s="123">
        <f ca="1">B2</f>
        <v>-12</v>
      </c>
      <c r="N2" s="112" t="s">
        <v>38</v>
      </c>
      <c r="O2" s="80" t="s">
        <v>5</v>
      </c>
      <c r="P2" s="78" t="s">
        <v>11</v>
      </c>
      <c r="Q2" s="78" t="s">
        <v>12</v>
      </c>
      <c r="R2" s="79" t="s">
        <v>13</v>
      </c>
      <c r="S2" s="80" t="s">
        <v>5</v>
      </c>
      <c r="T2" s="78" t="s">
        <v>11</v>
      </c>
      <c r="U2" s="78" t="s">
        <v>13</v>
      </c>
      <c r="V2" s="79" t="s">
        <v>14</v>
      </c>
      <c r="X2" s="86" t="s">
        <v>27</v>
      </c>
      <c r="Y2" s="81"/>
    </row>
    <row r="3" spans="1:34" ht="33.75" thickTop="1" thickBot="1" x14ac:dyDescent="0.3">
      <c r="A3" s="125">
        <f ca="1">AH1-AG1+1</f>
        <v>-12</v>
      </c>
      <c r="B3" s="129" t="s">
        <v>16</v>
      </c>
      <c r="C3" s="119">
        <v>200</v>
      </c>
      <c r="D3" s="85">
        <v>2.5</v>
      </c>
      <c r="E3" s="83">
        <v>100</v>
      </c>
      <c r="F3" s="83">
        <v>100</v>
      </c>
      <c r="G3" s="84">
        <f>MROUND(F3-E3*0.85,D3)</f>
        <v>15</v>
      </c>
      <c r="H3" s="85">
        <v>0.1</v>
      </c>
      <c r="I3" s="83">
        <v>100</v>
      </c>
      <c r="J3" s="83">
        <v>25</v>
      </c>
      <c r="K3" s="111">
        <f>MROUND(I3*0.85+J3,H3)</f>
        <v>110</v>
      </c>
      <c r="M3" s="118" t="str">
        <f>B3</f>
        <v>상</v>
      </c>
      <c r="N3" s="119">
        <v>200</v>
      </c>
      <c r="O3" s="85">
        <v>2.5</v>
      </c>
      <c r="P3" s="83">
        <v>100</v>
      </c>
      <c r="Q3" s="83">
        <v>100</v>
      </c>
      <c r="R3" s="84">
        <f>MROUND(Q3-P3*0.85,O3)</f>
        <v>15</v>
      </c>
      <c r="S3" s="85">
        <v>0.1</v>
      </c>
      <c r="T3" s="83">
        <v>100</v>
      </c>
      <c r="U3" s="83">
        <v>25</v>
      </c>
      <c r="V3" s="84">
        <f>MROUND(T3*0.85+U3,S3)</f>
        <v>110</v>
      </c>
      <c r="X3" s="86" t="s">
        <v>28</v>
      </c>
      <c r="Y3" s="87"/>
      <c r="Z3" s="120" t="s">
        <v>34</v>
      </c>
      <c r="AA3" s="93" t="s">
        <v>35</v>
      </c>
    </row>
    <row r="4" spans="1:34" ht="33.75" thickTop="1" thickBot="1" x14ac:dyDescent="0.3">
      <c r="A4" s="127" t="s">
        <v>39</v>
      </c>
      <c r="B4" s="198" t="str">
        <f>B3&amp;" 운동"</f>
        <v>상 운동</v>
      </c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8" t="str">
        <f>M3&amp;" 운동"</f>
        <v>상 운동</v>
      </c>
      <c r="N4" s="203"/>
      <c r="O4" s="199"/>
      <c r="P4" s="199"/>
      <c r="Q4" s="199"/>
      <c r="R4" s="199"/>
      <c r="S4" s="199"/>
      <c r="T4" s="199"/>
      <c r="U4" s="199"/>
      <c r="V4" s="199"/>
      <c r="W4" s="204"/>
      <c r="X4" s="128" t="s">
        <v>30</v>
      </c>
      <c r="Y4" s="115"/>
      <c r="Z4" s="116">
        <v>0.01</v>
      </c>
      <c r="AA4" s="122">
        <v>7.0000000000000007E-2</v>
      </c>
    </row>
    <row r="5" spans="1:34" ht="18" customHeight="1" thickTop="1" thickBot="1" x14ac:dyDescent="0.3">
      <c r="A5" s="194">
        <v>1</v>
      </c>
      <c r="B5" s="193" t="str">
        <f ca="1">IF((L8+Y4)&lt;IF(B$3="하",$AE$8,$AE$6),0,IF((L8+Y4)&gt;IF(B$3="하",$AE$7,$AE$5),"",MAX(B1,M1)+1))</f>
        <v/>
      </c>
      <c r="C5" s="141" t="str">
        <f>"MAX to "&amp;MROUND(IF(IF(AA6-O4&gt;5,5,AA6-O4)&lt;2,C3,C3*(37-IF(AA6-O4&gt;5,5,AA6-O4))/36),E8)</f>
        <v>MAX to 200</v>
      </c>
      <c r="D5" s="90" t="str">
        <f>IF(AA6&lt;=O4,"X",IF(Z6&gt;O4,"must ME","can ME"))</f>
        <v>X</v>
      </c>
      <c r="E5" s="131" t="s">
        <v>31</v>
      </c>
      <c r="F5" s="132">
        <v>4</v>
      </c>
      <c r="G5" s="133" t="s">
        <v>32</v>
      </c>
      <c r="H5" s="132">
        <f>IF(G6&gt;=90%,2,IF(G6&gt;=80%,4,IF(G6&gt;=70%,6,6)))</f>
        <v>6</v>
      </c>
      <c r="I5" s="134" t="s">
        <v>2</v>
      </c>
      <c r="J5" s="135">
        <f>L6/(100%-IF($B$3="하",$AB$8,$AB$6)*L8)/L8</f>
        <v>200.69204152249139</v>
      </c>
      <c r="K5" s="136">
        <f>IF("하"=$B$3,$AC$7,$AC$5)</f>
        <v>25</v>
      </c>
      <c r="L5" s="137" t="s">
        <v>33</v>
      </c>
      <c r="M5" s="193" t="str">
        <f t="shared" ref="M5" ca="1" si="0">IF($Y8&lt;IF(M$3="하",$AE$8,$AE$6),0,IF($Y8&gt;IF(M$3="하",$AE$7,$AE$5),"",MAX(B5,M1)+1))</f>
        <v/>
      </c>
      <c r="N5" s="141" t="str">
        <f>"MAX to "&amp;MROUND(IF(IF(AA8-D8&gt;5,5,AA8-D8)&lt;2,N3,N3*(37-IF(AA8-D8&gt;5,5,AA8-D8))/36),P8)</f>
        <v>MAX to 200</v>
      </c>
      <c r="O5" s="130" t="str">
        <f>IF(AA8&lt;=D8,"X",IF(Z8&gt;D8,"must ME","can ME"))</f>
        <v>can ME</v>
      </c>
      <c r="P5" s="131" t="s">
        <v>31</v>
      </c>
      <c r="Q5" s="132">
        <v>4</v>
      </c>
      <c r="R5" s="133" t="s">
        <v>32</v>
      </c>
      <c r="S5" s="132">
        <v>6</v>
      </c>
      <c r="T5" s="134" t="s">
        <v>2</v>
      </c>
      <c r="U5" s="135">
        <f>W6/(100%-IF($B$3="하",$AB$8,$AB$6)*W8)/W8</f>
        <v>200.69204152249139</v>
      </c>
      <c r="V5" s="136">
        <f>IF("하"=$B$3,$AC$8,$AC$6)</f>
        <v>25</v>
      </c>
      <c r="W5" s="138" t="s">
        <v>33</v>
      </c>
      <c r="X5" s="75" t="s">
        <v>25</v>
      </c>
      <c r="Y5" s="76">
        <f>L6+W6</f>
        <v>7250</v>
      </c>
      <c r="Z5" s="74" t="s">
        <v>34</v>
      </c>
      <c r="AA5" s="74" t="s">
        <v>35</v>
      </c>
      <c r="AB5" s="77" t="s">
        <v>26</v>
      </c>
      <c r="AC5" s="77">
        <v>25</v>
      </c>
      <c r="AD5" s="77">
        <v>300</v>
      </c>
      <c r="AE5" s="77">
        <f ca="1">$B$2*AD5/4</f>
        <v>-900</v>
      </c>
    </row>
    <row r="6" spans="1:34" ht="18" customHeight="1" thickTop="1" thickBot="1" x14ac:dyDescent="0.3">
      <c r="A6" s="194"/>
      <c r="B6" s="194"/>
      <c r="C6" s="143"/>
      <c r="D6" s="142" t="str">
        <f>IF(C8="","",IF(C6*36/(37-C8)=0,"",C6*36/(37-C8)))</f>
        <v/>
      </c>
      <c r="E6" s="109" t="str">
        <f>C2</f>
        <v>exercise1</v>
      </c>
      <c r="F6" s="18">
        <f>IF(D6="",C3,D6)</f>
        <v>200</v>
      </c>
      <c r="G6" s="94">
        <f>100%-K5*IF($B$3="하",$AB$8,$AB$6)</f>
        <v>0.72249999999999992</v>
      </c>
      <c r="H6" s="7">
        <f t="shared" ref="H6:J7" si="1">G6</f>
        <v>0.72249999999999992</v>
      </c>
      <c r="I6" s="7">
        <f t="shared" si="1"/>
        <v>0.72249999999999992</v>
      </c>
      <c r="J6" s="7">
        <f t="shared" si="1"/>
        <v>0.72249999999999992</v>
      </c>
      <c r="K6" s="8">
        <f>J6</f>
        <v>0.72249999999999992</v>
      </c>
      <c r="L6" s="95">
        <f>G7*G8+H7*H8+I7*I8+J7*J8+K7*K8</f>
        <v>3625</v>
      </c>
      <c r="M6" s="194"/>
      <c r="N6" s="143"/>
      <c r="O6" s="142" t="str">
        <f>IF(N8="","",IF(N6*36/(37-N8)=0,"",N6*36/(37-N8)))</f>
        <v/>
      </c>
      <c r="P6" s="109" t="str">
        <f>N2</f>
        <v>exercise2</v>
      </c>
      <c r="Q6" s="18">
        <f>IF(O6="",N3,O6)</f>
        <v>200</v>
      </c>
      <c r="R6" s="94">
        <f>100%-V5*IF($B$3="하",$AB$8,$AB$6)</f>
        <v>0.72249999999999992</v>
      </c>
      <c r="S6" s="7">
        <f t="shared" ref="S6:V7" si="2">R6</f>
        <v>0.72249999999999992</v>
      </c>
      <c r="T6" s="7">
        <f t="shared" si="2"/>
        <v>0.72249999999999992</v>
      </c>
      <c r="U6" s="7">
        <f t="shared" si="2"/>
        <v>0.72249999999999992</v>
      </c>
      <c r="V6" s="8">
        <f t="shared" si="2"/>
        <v>0.72249999999999992</v>
      </c>
      <c r="W6" s="96">
        <f>R7*R8+S7*S8+T7*T8+U7*U8+V7*V8</f>
        <v>3625</v>
      </c>
      <c r="X6" s="86" t="s">
        <v>27</v>
      </c>
      <c r="Y6" s="81">
        <f>Y5+Y2</f>
        <v>7250</v>
      </c>
      <c r="Z6" s="90">
        <f>ROUNDDOWN(Y4*$Z$4,0)</f>
        <v>0</v>
      </c>
      <c r="AA6" s="90">
        <f>ROUNDDOWN(Y4*$AA$4,0)</f>
        <v>0</v>
      </c>
      <c r="AB6" s="82">
        <v>1.11E-2</v>
      </c>
      <c r="AC6" s="77">
        <v>25</v>
      </c>
      <c r="AD6" s="77">
        <v>200</v>
      </c>
      <c r="AE6" s="77">
        <f ca="1">$B$2*AD6/4</f>
        <v>-600</v>
      </c>
    </row>
    <row r="7" spans="1:34" ht="18" customHeight="1" thickTop="1" thickBot="1" x14ac:dyDescent="0.3">
      <c r="A7" s="194"/>
      <c r="B7" s="194"/>
      <c r="C7" s="141" t="str">
        <f>"MAX to "&amp;IF(AA6-O4&gt;5,5,AA6-O4)&amp;" rep"</f>
        <v>MAX to 0 rep</v>
      </c>
      <c r="D7" s="97" t="s">
        <v>37</v>
      </c>
      <c r="E7" s="98" t="s">
        <v>5</v>
      </c>
      <c r="F7" s="5" t="s">
        <v>3</v>
      </c>
      <c r="G7" s="18">
        <f>MROUND(G6*F6,E8)</f>
        <v>145</v>
      </c>
      <c r="H7" s="18">
        <f t="shared" si="1"/>
        <v>145</v>
      </c>
      <c r="I7" s="18">
        <f t="shared" si="1"/>
        <v>145</v>
      </c>
      <c r="J7" s="18">
        <f t="shared" si="1"/>
        <v>145</v>
      </c>
      <c r="K7" s="19">
        <f>J7</f>
        <v>145</v>
      </c>
      <c r="L7" s="74" t="s">
        <v>10</v>
      </c>
      <c r="M7" s="194"/>
      <c r="N7" s="141" t="str">
        <f>"MAX to "&amp;IF(AA8-D8&gt;5,5,AA8-D8)&amp;" rep"</f>
        <v>MAX to 1 rep</v>
      </c>
      <c r="O7" s="97" t="s">
        <v>37</v>
      </c>
      <c r="P7" s="86" t="s">
        <v>5</v>
      </c>
      <c r="Q7" s="5" t="s">
        <v>3</v>
      </c>
      <c r="R7" s="18">
        <f>MROUND(R6*Q6,P8)</f>
        <v>145</v>
      </c>
      <c r="S7" s="18">
        <f t="shared" si="2"/>
        <v>145</v>
      </c>
      <c r="T7" s="18">
        <f t="shared" si="2"/>
        <v>145</v>
      </c>
      <c r="U7" s="18">
        <f t="shared" si="2"/>
        <v>145</v>
      </c>
      <c r="V7" s="19">
        <f t="shared" si="2"/>
        <v>145</v>
      </c>
      <c r="W7" s="99" t="s">
        <v>10</v>
      </c>
      <c r="X7" s="86" t="s">
        <v>28</v>
      </c>
      <c r="Y7" s="87">
        <f>L8+W8</f>
        <v>50</v>
      </c>
      <c r="Z7" s="93" t="s">
        <v>34</v>
      </c>
      <c r="AA7" s="93" t="s">
        <v>35</v>
      </c>
      <c r="AB7" s="121" t="s">
        <v>29</v>
      </c>
      <c r="AC7" s="77">
        <v>20</v>
      </c>
      <c r="AD7" s="77">
        <v>240</v>
      </c>
      <c r="AE7" s="77">
        <f ca="1">$B$2*AD7/4</f>
        <v>-720</v>
      </c>
    </row>
    <row r="8" spans="1:34" ht="18" customHeight="1" thickTop="1" thickBot="1" x14ac:dyDescent="0.3">
      <c r="A8" s="195"/>
      <c r="B8" s="195"/>
      <c r="C8" s="143"/>
      <c r="D8" s="90">
        <f>IF(C6="",O4,IF(D6&lt;=0,O4,O4+C8))</f>
        <v>0</v>
      </c>
      <c r="E8" s="113">
        <v>2.5</v>
      </c>
      <c r="F8" s="13" t="s">
        <v>7</v>
      </c>
      <c r="G8" s="103">
        <f xml:space="preserve"> IF($B$3="하",0,IF(MROUND(K5/5,1)&lt;=H5,IF(MROUND(K5/5,1)&gt;=F5,MROUND(K5/5,1),F5),H5))</f>
        <v>5</v>
      </c>
      <c r="H8" s="104">
        <f>IF(MROUND((K5-G8)/4,1)&lt;=H5,IF(MROUND((K5-G8)/4,1)&gt;=F5,MROUND((K5-G8)/4,1),F5),H5)</f>
        <v>5</v>
      </c>
      <c r="I8" s="104">
        <f>IF(MROUND((K5-G8-H8)/3,1)&lt;=H5,IF(MROUND((K5-G8-H8)/3,1)&gt;=F5,MROUND((K5-G8-H8)/3,1),F5),H5)</f>
        <v>5</v>
      </c>
      <c r="J8" s="104">
        <f>IF(MROUND((K5-G8-H8-I8)/2,1)&lt;=H5,IF((K5-G8-H8-I8)/2&gt;=F5,MROUND((K5-G8-H8-I8)/2,1),K5-G8-H8-I8),H5)</f>
        <v>5</v>
      </c>
      <c r="K8" s="105">
        <f>IF((K5-(G8+H8+I8+J8))&gt;0,(K5-(G8+H8+I8+J8)),0)</f>
        <v>5</v>
      </c>
      <c r="L8" s="101">
        <f>SUM(G8:K8)</f>
        <v>25</v>
      </c>
      <c r="M8" s="195"/>
      <c r="N8" s="143"/>
      <c r="O8" s="90">
        <f>IF(""=N6,D8,IF(O6&lt;=0,D8,D8+N8))</f>
        <v>0</v>
      </c>
      <c r="P8" s="114">
        <v>2.5</v>
      </c>
      <c r="Q8" s="13" t="s">
        <v>7</v>
      </c>
      <c r="R8" s="103">
        <f xml:space="preserve"> IF($B$3="하",0,IF(MROUND(V5/5,1)&lt;=S5,IF(MROUND(V5/5,1)&gt;=Q5,MROUND(V5/5,1),Q5),S5))</f>
        <v>5</v>
      </c>
      <c r="S8" s="104">
        <f>IF(MROUND((V5-R8)/4,1)&lt;=S5,IF(MROUND((V5-R8)/4,1)&gt;=Q5,MROUND((V5-R8)/4,1),Q5),S5)</f>
        <v>5</v>
      </c>
      <c r="T8" s="104">
        <f>IF(MROUND((V5-R8-S8)/3,1)&lt;=S5,IF(MROUND((V5-R8-S8)/3,1)&gt;=Q5,MROUND((V5-R8-S8)/3,1),Q5),S5)</f>
        <v>5</v>
      </c>
      <c r="U8" s="104">
        <f>IF(MROUND((V5-R8-S8-T8)/2,1)&lt;=S5,IF((V5-R8-S8-T8)/2&gt;=Q5,MROUND((V5-R8-S8-T8)/2,1),V5-R8-S8-T8),S5)</f>
        <v>5</v>
      </c>
      <c r="V8" s="105">
        <f>IF((V5-(R8+S8+T8+U8))&gt;0,(V5-(R8+S8+T8+U8)),0)</f>
        <v>5</v>
      </c>
      <c r="W8" s="106">
        <f>SUM(R8:V8)</f>
        <v>25</v>
      </c>
      <c r="X8" s="88" t="s">
        <v>30</v>
      </c>
      <c r="Y8" s="89">
        <f>Y7+Y4+O8-O4</f>
        <v>50</v>
      </c>
      <c r="Z8" s="90">
        <f>ROUNDDOWN((Y4-O4+D8+L8)*$Z$4,0)</f>
        <v>0</v>
      </c>
      <c r="AA8" s="90">
        <f>ROUNDDOWN((Y4+L8-O4+D8)*$AA$4,0)</f>
        <v>1</v>
      </c>
      <c r="AB8" s="117">
        <v>1.3899999999999999E-2</v>
      </c>
      <c r="AC8" s="77">
        <v>20</v>
      </c>
      <c r="AD8" s="77">
        <v>160</v>
      </c>
      <c r="AE8" s="77">
        <f ca="1">$B$2*AD8/4</f>
        <v>-480</v>
      </c>
    </row>
    <row r="9" spans="1:34" ht="18" customHeight="1" thickTop="1" thickBot="1" x14ac:dyDescent="0.3">
      <c r="A9" s="193">
        <f>A5+1</f>
        <v>2</v>
      </c>
      <c r="B9" s="193" t="str">
        <f t="shared" ref="B9" ca="1" si="3">IF((L12+Y8)&lt;IF(B$3="하",$AE$8,$AE$6),0,IF((L12+Y8)&gt;IF(B$3="하",$AE$7,$AE$5),"",MAX(B5,M5)+1))</f>
        <v/>
      </c>
      <c r="C9" s="141" t="str">
        <f>"MAX to "&amp;MROUND(IF(IF(AA10-O8&gt;5,5,AA10-O8)&lt;2,J5,J5*(37-IF(AA10-O8&gt;5,5,AA10-O8))/36),E12)</f>
        <v>MAX to 190</v>
      </c>
      <c r="D9" s="90" t="str">
        <f>IF(AA10&lt;=O8,"X",IF(Z10&gt;O8,"must ME","can ME"))</f>
        <v>can ME</v>
      </c>
      <c r="E9" s="75" t="s">
        <v>31</v>
      </c>
      <c r="F9" s="23">
        <v>4</v>
      </c>
      <c r="G9" s="2">
        <v>1</v>
      </c>
      <c r="H9" s="23">
        <f>IF(G10&gt;=90%,2,IF(G10&gt;=80%,4,IF(G10&gt;=70%,6,6)))</f>
        <v>6</v>
      </c>
      <c r="I9" s="3" t="s">
        <v>2</v>
      </c>
      <c r="J9" s="91">
        <f>L10/(100%-IF($B$3="하",$AB$8,$AB$6)*L12)/L12</f>
        <v>200.69204152249139</v>
      </c>
      <c r="K9" s="92">
        <f>IF("하"=$B$3,$AC$7,$AC$5)</f>
        <v>25</v>
      </c>
      <c r="L9" s="107" t="s">
        <v>33</v>
      </c>
      <c r="M9" s="193" t="str">
        <f t="shared" ref="M9" ca="1" si="4">IF($Y12&lt;IF(M$3="하",$AE$8,$AE$6),0,IF($Y12&gt;IF(M$3="하",$AE$7,$AE$5),"",MAX(B9,M5)+1))</f>
        <v/>
      </c>
      <c r="N9" s="141" t="str">
        <f>"MAX to "&amp;MROUND(IF(IF(AA12-D12&gt;5,5,AA12-D12)&lt;2,U5,U5*(37-IF(AA12-D12&gt;5,5,AA12-D12))/36),P12)</f>
        <v>MAX to 177.5</v>
      </c>
      <c r="O9" s="90" t="str">
        <f>IF(AA12&lt;=D12,"X",IF(Z12&gt;D12,"must ME","can ME"))</f>
        <v>can ME</v>
      </c>
      <c r="P9" s="75" t="s">
        <v>31</v>
      </c>
      <c r="Q9" s="23">
        <v>4</v>
      </c>
      <c r="R9" s="2" t="s">
        <v>32</v>
      </c>
      <c r="S9" s="23">
        <v>6</v>
      </c>
      <c r="T9" s="3" t="s">
        <v>2</v>
      </c>
      <c r="U9" s="91">
        <f>W10/(100%-IF($B$3="하",$AB$8,$AB$6)*W12)/W12</f>
        <v>200.69204152249139</v>
      </c>
      <c r="V9" s="92">
        <f>IF("하"=$B$3,$AC$8,$AC$6)</f>
        <v>25</v>
      </c>
      <c r="W9" s="108" t="s">
        <v>33</v>
      </c>
      <c r="X9" s="75" t="s">
        <v>25</v>
      </c>
      <c r="Y9" s="76">
        <f>L10+W10</f>
        <v>7250</v>
      </c>
      <c r="Z9" s="93" t="s">
        <v>34</v>
      </c>
      <c r="AA9" s="93" t="s">
        <v>35</v>
      </c>
    </row>
    <row r="10" spans="1:34" ht="18" customHeight="1" thickTop="1" thickBot="1" x14ac:dyDescent="0.3">
      <c r="A10" s="194"/>
      <c r="B10" s="194"/>
      <c r="C10" s="143"/>
      <c r="D10" s="142" t="str">
        <f>IF(C12="","",IF(C10*36/(37-C12)=0,"",C10*36/(37-C12)))</f>
        <v/>
      </c>
      <c r="E10" s="109" t="str">
        <f>E6</f>
        <v>exercise1</v>
      </c>
      <c r="F10" s="18">
        <f>IF(D10="",J5,D10)</f>
        <v>200.69204152249139</v>
      </c>
      <c r="G10" s="94">
        <f>100%-K9*IF($B$3="하",$AB$8,$AB$6)</f>
        <v>0.72249999999999992</v>
      </c>
      <c r="H10" s="7">
        <f t="shared" ref="H10:J11" si="5">G10</f>
        <v>0.72249999999999992</v>
      </c>
      <c r="I10" s="7">
        <f t="shared" si="5"/>
        <v>0.72249999999999992</v>
      </c>
      <c r="J10" s="7">
        <f t="shared" si="5"/>
        <v>0.72249999999999992</v>
      </c>
      <c r="K10" s="8">
        <f>J10</f>
        <v>0.72249999999999992</v>
      </c>
      <c r="L10" s="95">
        <f>G11*G12+H11*H12+I11*I12+J11*J12+K11*K12</f>
        <v>3625</v>
      </c>
      <c r="M10" s="194"/>
      <c r="N10" s="143"/>
      <c r="O10" s="142" t="str">
        <f>IF(N12="","",IF(N10*36/(37-N12)=0,"",N10*36/(37-N12)))</f>
        <v/>
      </c>
      <c r="P10" s="109" t="str">
        <f>P6</f>
        <v>exercise2</v>
      </c>
      <c r="Q10" s="18">
        <f>IF(O10="",U5,O10)</f>
        <v>200.69204152249139</v>
      </c>
      <c r="R10" s="94">
        <f>100%-V9*IF($B$3="하",$AB$8,$AB$6)</f>
        <v>0.72249999999999992</v>
      </c>
      <c r="S10" s="7">
        <f t="shared" ref="S10:V11" si="6">R10</f>
        <v>0.72249999999999992</v>
      </c>
      <c r="T10" s="7">
        <f t="shared" si="6"/>
        <v>0.72249999999999992</v>
      </c>
      <c r="U10" s="7">
        <f t="shared" si="6"/>
        <v>0.72249999999999992</v>
      </c>
      <c r="V10" s="8">
        <f t="shared" si="6"/>
        <v>0.72249999999999992</v>
      </c>
      <c r="W10" s="96">
        <f>R11*R12+S11*S12+T11*T12+U11*U12+V11*V12</f>
        <v>3625</v>
      </c>
      <c r="X10" s="86" t="s">
        <v>27</v>
      </c>
      <c r="Y10" s="81">
        <f>Y9+Y6</f>
        <v>14500</v>
      </c>
      <c r="Z10" s="90">
        <f>ROUNDDOWN(Y8*$Z$4,0)</f>
        <v>0</v>
      </c>
      <c r="AA10" s="90">
        <f>ROUNDDOWN(Y8*$AA$4,0)</f>
        <v>3</v>
      </c>
    </row>
    <row r="11" spans="1:34" ht="18" customHeight="1" thickTop="1" thickBot="1" x14ac:dyDescent="0.3">
      <c r="A11" s="194"/>
      <c r="B11" s="194"/>
      <c r="C11" s="141" t="str">
        <f>"MAX to "&amp;IF(AA10-O8&gt;5,5,AA10-O8)&amp;"rep"</f>
        <v>MAX to 3rep</v>
      </c>
      <c r="D11" s="97" t="s">
        <v>37</v>
      </c>
      <c r="E11" s="98" t="s">
        <v>5</v>
      </c>
      <c r="F11" s="5" t="s">
        <v>3</v>
      </c>
      <c r="G11" s="18">
        <f>MROUND(G10*F10,E12)</f>
        <v>145</v>
      </c>
      <c r="H11" s="18">
        <f t="shared" si="5"/>
        <v>145</v>
      </c>
      <c r="I11" s="18">
        <f t="shared" si="5"/>
        <v>145</v>
      </c>
      <c r="J11" s="18">
        <f t="shared" si="5"/>
        <v>145</v>
      </c>
      <c r="K11" s="19">
        <f>J11</f>
        <v>145</v>
      </c>
      <c r="L11" s="74" t="s">
        <v>10</v>
      </c>
      <c r="M11" s="194"/>
      <c r="N11" s="141" t="str">
        <f>"MAX to "&amp;IF(AA12-D12&gt;5,5,AA12-D12)&amp;" rep"</f>
        <v>MAX to 5 rep</v>
      </c>
      <c r="O11" s="97" t="s">
        <v>37</v>
      </c>
      <c r="P11" s="86" t="s">
        <v>5</v>
      </c>
      <c r="Q11" s="5" t="s">
        <v>3</v>
      </c>
      <c r="R11" s="18">
        <f>MROUND(R10*Q10,P12)</f>
        <v>145</v>
      </c>
      <c r="S11" s="18">
        <f t="shared" si="6"/>
        <v>145</v>
      </c>
      <c r="T11" s="18">
        <f t="shared" si="6"/>
        <v>145</v>
      </c>
      <c r="U11" s="18">
        <f t="shared" si="6"/>
        <v>145</v>
      </c>
      <c r="V11" s="19">
        <f t="shared" si="6"/>
        <v>145</v>
      </c>
      <c r="W11" s="99" t="s">
        <v>10</v>
      </c>
      <c r="X11" s="86" t="s">
        <v>28</v>
      </c>
      <c r="Y11" s="87">
        <f>L12+W12</f>
        <v>50</v>
      </c>
      <c r="Z11" s="93" t="s">
        <v>34</v>
      </c>
      <c r="AA11" s="93" t="s">
        <v>35</v>
      </c>
    </row>
    <row r="12" spans="1:34" ht="18" customHeight="1" thickTop="1" thickBot="1" x14ac:dyDescent="0.3">
      <c r="A12" s="195"/>
      <c r="B12" s="195"/>
      <c r="C12" s="144"/>
      <c r="D12" s="90">
        <f>IF(C10="",O8,IF(D10&lt;=0,O8,O8+C12))</f>
        <v>0</v>
      </c>
      <c r="E12" s="100">
        <f>P8</f>
        <v>2.5</v>
      </c>
      <c r="F12" s="13" t="s">
        <v>7</v>
      </c>
      <c r="G12" s="103">
        <f xml:space="preserve"> IF($B$3="하",0,IF(MROUND(K9/5,1)&lt;=H9,IF(MROUND(K9/5,1)&gt;=F9,MROUND(K9/5,1),F9),H9))</f>
        <v>5</v>
      </c>
      <c r="H12" s="104">
        <f>IF(MROUND((K9-G12)/4,1)&lt;=H9,IF(MROUND((K9-G12)/4,1)&gt;=F9,MROUND((K9-G12)/4,1),F9),H9)</f>
        <v>5</v>
      </c>
      <c r="I12" s="104">
        <f>IF(MROUND((K9-G12-H12)/3,1)&lt;=H9,IF(MROUND((K9-G12-H12)/3,1)&gt;=F9,MROUND((K9-G12-H12)/3,1),F9),H9)</f>
        <v>5</v>
      </c>
      <c r="J12" s="104">
        <f>IF(MROUND((K9-G12-H12-I12)/2,1)&lt;=H9,IF((K9-G12-H12-I12)/2&gt;=F9,MROUND((K9-G12-H12-I12)/2,1),K9-G12-H12-I12),H9)</f>
        <v>5</v>
      </c>
      <c r="K12" s="105">
        <f>IF((K9-(G12+H12+I12+J12))&gt;0,(K9-(G12+H12+I12+J12)),0)</f>
        <v>5</v>
      </c>
      <c r="L12" s="101">
        <f>SUM(G12:K12)</f>
        <v>25</v>
      </c>
      <c r="M12" s="195"/>
      <c r="N12" s="144"/>
      <c r="O12" s="90">
        <f>IF(""=N10,D12,IF(O10&lt;=0,D12,D12+N12))</f>
        <v>0</v>
      </c>
      <c r="P12" s="102">
        <f>E8</f>
        <v>2.5</v>
      </c>
      <c r="Q12" s="13" t="s">
        <v>7</v>
      </c>
      <c r="R12" s="103">
        <f xml:space="preserve"> IF($B$3="하",0,IF(MROUND(V9/5,1)&lt;=S9,IF(MROUND(V9/5,1)&gt;=Q9,MROUND(V9/5,1),Q9),S9))</f>
        <v>5</v>
      </c>
      <c r="S12" s="104">
        <f>IF(MROUND((V9-R12)/4,1)&lt;=S9,IF(MROUND((V9-R12)/4,1)&gt;=Q9,MROUND((V9-R12)/4,1),Q9),S9)</f>
        <v>5</v>
      </c>
      <c r="T12" s="104">
        <f>IF(MROUND((V9-R12-S12)/3,1)&lt;=S9,IF(MROUND((V9-R12-S12)/3,1)&gt;=Q9,MROUND((V9-R12-S12)/3,1),Q9),S9)</f>
        <v>5</v>
      </c>
      <c r="U12" s="104">
        <f>IF(MROUND((V9-R12-S12-T12)/2,1)&lt;=S9,IF((V9-R12-S12-T12)/2&gt;=Q9,MROUND((V9-R12-S12-T12)/2,1),V9-R12-S12-T12),S9)</f>
        <v>5</v>
      </c>
      <c r="V12" s="105">
        <f>IF((V9-(R12+S12+T12+U12))&gt;0,(V9-(R12+S12+T12+U12)),0)</f>
        <v>5</v>
      </c>
      <c r="W12" s="106">
        <f>SUM(R12:V12)</f>
        <v>25</v>
      </c>
      <c r="X12" s="88" t="s">
        <v>30</v>
      </c>
      <c r="Y12" s="89">
        <f>Y11+Y8+O12-O8</f>
        <v>100</v>
      </c>
      <c r="Z12" s="90">
        <f>ROUNDDOWN((Y8-O8+D12+L12)*$Z$4,0)</f>
        <v>0</v>
      </c>
      <c r="AA12" s="90">
        <f>ROUNDDOWN((Y8+L12-O8+D12)*$AA$4,0)</f>
        <v>5</v>
      </c>
    </row>
    <row r="13" spans="1:34" ht="18" customHeight="1" thickTop="1" thickBot="1" x14ac:dyDescent="0.3">
      <c r="A13" s="193">
        <f>A9+1</f>
        <v>3</v>
      </c>
      <c r="B13" s="193" t="str">
        <f t="shared" ref="B13" ca="1" si="7">IF((L16+Y12)&lt;IF(B$3="하",$AE$8,$AE$6),0,IF((L16+Y12)&gt;IF(B$3="하",$AE$7,$AE$5),"",MAX(B9,M9)+1))</f>
        <v/>
      </c>
      <c r="C13" s="141" t="str">
        <f>"MAX to "&amp;MROUND(IF(IF(AA14-O12&gt;5,5,AA14-O12)&lt;2,J9,J9*(37-IF(AA14-O12&gt;5,5,AA14-O12))/36),E16)</f>
        <v>MAX to 177.5</v>
      </c>
      <c r="D13" s="90" t="str">
        <f>IF(AA14&lt;=O12,"X",IF(Z14&gt;O12,"must ME","can ME"))</f>
        <v>must ME</v>
      </c>
      <c r="E13" s="75" t="s">
        <v>31</v>
      </c>
      <c r="F13" s="23">
        <v>4</v>
      </c>
      <c r="G13" s="2">
        <v>1</v>
      </c>
      <c r="H13" s="23">
        <f>IF(G14&gt;=90%,2,IF(G14&gt;=80%,4,IF(G14&gt;=70%,6,6)))</f>
        <v>6</v>
      </c>
      <c r="I13" s="3" t="s">
        <v>2</v>
      </c>
      <c r="J13" s="91">
        <f>L14/(100%-IF($B$3="하",$AB$8,$AB$6)*L16)/L16</f>
        <v>200.69204152249139</v>
      </c>
      <c r="K13" s="92">
        <f>IF("하"=$B$3,$AC$7,$AC$5)</f>
        <v>25</v>
      </c>
      <c r="L13" s="107" t="s">
        <v>33</v>
      </c>
      <c r="M13" s="193" t="str">
        <f t="shared" ref="M13" ca="1" si="8">IF($Y16&lt;IF(M$3="하",$AE$8,$AE$6),0,IF($Y16&gt;IF(M$3="하",$AE$7,$AE$5),"",MAX(B13,M9)+1))</f>
        <v/>
      </c>
      <c r="N13" s="141" t="str">
        <f>"MAX to "&amp;MROUND(IF(IF(AA16-D16&gt;5,5,AA16-D16)&lt;2,U9,U9*(37-IF(AA16-D16&gt;5,5,AA16-D16))/36),P16)</f>
        <v>MAX to 177.5</v>
      </c>
      <c r="O13" s="90" t="str">
        <f>IF(AA16&lt;=D16,"X",IF(Z16&gt;D16,"must ME","can ME"))</f>
        <v>must ME</v>
      </c>
      <c r="P13" s="75" t="s">
        <v>31</v>
      </c>
      <c r="Q13" s="23">
        <v>4</v>
      </c>
      <c r="R13" s="2" t="s">
        <v>32</v>
      </c>
      <c r="S13" s="23">
        <v>6</v>
      </c>
      <c r="T13" s="3" t="s">
        <v>2</v>
      </c>
      <c r="U13" s="91">
        <f>W14/(100%-IF($B$3="하",$AB$8,$AB$6)*W16)/W16</f>
        <v>200.69204152249139</v>
      </c>
      <c r="V13" s="92">
        <f>IF("하"=$B$3,$AC$8,$AC$6)</f>
        <v>25</v>
      </c>
      <c r="W13" s="108" t="s">
        <v>33</v>
      </c>
      <c r="X13" s="75" t="s">
        <v>25</v>
      </c>
      <c r="Y13" s="76">
        <f>L14+W14</f>
        <v>7250</v>
      </c>
      <c r="Z13" s="93" t="s">
        <v>34</v>
      </c>
      <c r="AA13" s="93" t="s">
        <v>35</v>
      </c>
    </row>
    <row r="14" spans="1:34" ht="18" customHeight="1" thickTop="1" thickBot="1" x14ac:dyDescent="0.3">
      <c r="A14" s="194"/>
      <c r="B14" s="194"/>
      <c r="C14" s="143"/>
      <c r="D14" s="142" t="str">
        <f>IF(C16="","",IF(C14*36/(37-C16)=0,"",C14*36/(37-C16)))</f>
        <v/>
      </c>
      <c r="E14" s="109" t="str">
        <f>E10</f>
        <v>exercise1</v>
      </c>
      <c r="F14" s="18">
        <f>IF(D14="",J9,D14)</f>
        <v>200.69204152249139</v>
      </c>
      <c r="G14" s="94">
        <f>100%-K13*IF($B$3="하",$AB$8,$AB$6)</f>
        <v>0.72249999999999992</v>
      </c>
      <c r="H14" s="7">
        <f t="shared" ref="H14:J15" si="9">G14</f>
        <v>0.72249999999999992</v>
      </c>
      <c r="I14" s="7">
        <f t="shared" si="9"/>
        <v>0.72249999999999992</v>
      </c>
      <c r="J14" s="7">
        <f t="shared" si="9"/>
        <v>0.72249999999999992</v>
      </c>
      <c r="K14" s="8">
        <f>J14</f>
        <v>0.72249999999999992</v>
      </c>
      <c r="L14" s="95">
        <f>G15*G16+H15*H16+I15*I16+J15*J16+K15*K16</f>
        <v>3625</v>
      </c>
      <c r="M14" s="194"/>
      <c r="N14" s="143"/>
      <c r="O14" s="142" t="str">
        <f>IF(N16="","",IF(N14*36/(37-N16)=0,"",N14*36/(37-N16)))</f>
        <v/>
      </c>
      <c r="P14" s="109" t="str">
        <f>P10</f>
        <v>exercise2</v>
      </c>
      <c r="Q14" s="18">
        <f>IF(O14="",U9,O14)</f>
        <v>200.69204152249139</v>
      </c>
      <c r="R14" s="94">
        <f>100%-V13*IF($B$3="하",$AB$8,$AB$6)</f>
        <v>0.72249999999999992</v>
      </c>
      <c r="S14" s="7">
        <f t="shared" ref="S14:V15" si="10">R14</f>
        <v>0.72249999999999992</v>
      </c>
      <c r="T14" s="7">
        <f t="shared" si="10"/>
        <v>0.72249999999999992</v>
      </c>
      <c r="U14" s="7">
        <f t="shared" si="10"/>
        <v>0.72249999999999992</v>
      </c>
      <c r="V14" s="8">
        <f t="shared" si="10"/>
        <v>0.72249999999999992</v>
      </c>
      <c r="W14" s="96">
        <f>R15*R16+S15*S16+T15*T16+U15*U16+V15*V16</f>
        <v>3625</v>
      </c>
      <c r="X14" s="86" t="s">
        <v>27</v>
      </c>
      <c r="Y14" s="81">
        <f>Y13+Y10</f>
        <v>21750</v>
      </c>
      <c r="Z14" s="90">
        <f>ROUNDDOWN(Y12*$Z$4,0)</f>
        <v>1</v>
      </c>
      <c r="AA14" s="90">
        <f>ROUNDDOWN(Y12*$AA$4,0)</f>
        <v>7</v>
      </c>
    </row>
    <row r="15" spans="1:34" ht="18" customHeight="1" thickTop="1" thickBot="1" x14ac:dyDescent="0.3">
      <c r="A15" s="194"/>
      <c r="B15" s="194"/>
      <c r="C15" s="141" t="str">
        <f>"MAX to "&amp;IF(AA14-O12&gt;5,5,AA14-O12)&amp;"rep"</f>
        <v>MAX to 5rep</v>
      </c>
      <c r="D15" s="97" t="s">
        <v>37</v>
      </c>
      <c r="E15" s="98" t="s">
        <v>5</v>
      </c>
      <c r="F15" s="5" t="s">
        <v>3</v>
      </c>
      <c r="G15" s="18">
        <f>MROUND(G14*F14,E16)</f>
        <v>145</v>
      </c>
      <c r="H15" s="18">
        <f t="shared" si="9"/>
        <v>145</v>
      </c>
      <c r="I15" s="18">
        <f t="shared" si="9"/>
        <v>145</v>
      </c>
      <c r="J15" s="18">
        <f t="shared" si="9"/>
        <v>145</v>
      </c>
      <c r="K15" s="19">
        <f>J15</f>
        <v>145</v>
      </c>
      <c r="L15" s="74" t="s">
        <v>10</v>
      </c>
      <c r="M15" s="194"/>
      <c r="N15" s="141" t="str">
        <f>"MAX to "&amp;IF(AA16-D16&gt;5,5,AA16-D16)&amp;" rep"</f>
        <v>MAX to 5 rep</v>
      </c>
      <c r="O15" s="97" t="s">
        <v>37</v>
      </c>
      <c r="P15" s="86" t="s">
        <v>5</v>
      </c>
      <c r="Q15" s="5" t="s">
        <v>3</v>
      </c>
      <c r="R15" s="18">
        <f>MROUND(R14*Q14,P16)</f>
        <v>145</v>
      </c>
      <c r="S15" s="18">
        <f t="shared" si="10"/>
        <v>145</v>
      </c>
      <c r="T15" s="18">
        <f t="shared" si="10"/>
        <v>145</v>
      </c>
      <c r="U15" s="18">
        <f t="shared" si="10"/>
        <v>145</v>
      </c>
      <c r="V15" s="19">
        <f t="shared" si="10"/>
        <v>145</v>
      </c>
      <c r="W15" s="99" t="s">
        <v>10</v>
      </c>
      <c r="X15" s="86" t="s">
        <v>28</v>
      </c>
      <c r="Y15" s="87">
        <f>L16+W16</f>
        <v>50</v>
      </c>
      <c r="Z15" s="93" t="s">
        <v>34</v>
      </c>
      <c r="AA15" s="93" t="s">
        <v>35</v>
      </c>
    </row>
    <row r="16" spans="1:34" ht="18" customHeight="1" thickTop="1" thickBot="1" x14ac:dyDescent="0.3">
      <c r="A16" s="195"/>
      <c r="B16" s="195"/>
      <c r="C16" s="144"/>
      <c r="D16" s="90">
        <f>IF(C14="",O12,IF(D14&lt;=0,O12,O12+C16))</f>
        <v>0</v>
      </c>
      <c r="E16" s="100">
        <f>P12</f>
        <v>2.5</v>
      </c>
      <c r="F16" s="13" t="s">
        <v>7</v>
      </c>
      <c r="G16" s="103">
        <f xml:space="preserve"> IF($B$3="하",0,IF(MROUND(K13/5,1)&lt;=H13,IF(MROUND(K13/5,1)&gt;=F13,MROUND(K13/5,1),F13),H13))</f>
        <v>5</v>
      </c>
      <c r="H16" s="104">
        <f>IF(MROUND((K13-G16)/4,1)&lt;=H13,IF(MROUND((K13-G16)/4,1)&gt;=F13,MROUND((K13-G16)/4,1),F13),H13)</f>
        <v>5</v>
      </c>
      <c r="I16" s="104">
        <f>IF(MROUND((K13-G16-H16)/3,1)&lt;=H13,IF(MROUND((K13-G16-H16)/3,1)&gt;=F13,MROUND((K13-G16-H16)/3,1),F13),H13)</f>
        <v>5</v>
      </c>
      <c r="J16" s="104">
        <f>IF(MROUND((K13-G16-H16-I16)/2,1)&lt;=H13,IF((K13-G16-H16-I16)/2&gt;=F13,MROUND((K13-G16-H16-I16)/2,1),K13-G16-H16-I16),H13)</f>
        <v>5</v>
      </c>
      <c r="K16" s="105">
        <f>IF((K13-(G16+H16+I16+J16))&gt;0,(K13-(G16+H16+I16+J16)),0)</f>
        <v>5</v>
      </c>
      <c r="L16" s="101">
        <f>SUM(G16:K16)</f>
        <v>25</v>
      </c>
      <c r="M16" s="195"/>
      <c r="N16" s="144"/>
      <c r="O16" s="90">
        <f>IF(""=N14,D16,IF(O14&lt;=0,D16,D16+N16))</f>
        <v>0</v>
      </c>
      <c r="P16" s="102">
        <f>E12</f>
        <v>2.5</v>
      </c>
      <c r="Q16" s="13" t="s">
        <v>7</v>
      </c>
      <c r="R16" s="103">
        <f xml:space="preserve"> IF($B$3="하",0,IF(MROUND(V13/5,1)&lt;=S13,IF(MROUND(V13/5,1)&gt;=Q13,MROUND(V13/5,1),Q13),S13))</f>
        <v>5</v>
      </c>
      <c r="S16" s="104">
        <f>IF(MROUND((V13-R16)/4,1)&lt;=S13,IF(MROUND((V13-R16)/4,1)&gt;=Q13,MROUND((V13-R16)/4,1),Q13),S13)</f>
        <v>5</v>
      </c>
      <c r="T16" s="104">
        <f>IF(MROUND((V13-R16-S16)/3,1)&lt;=S13,IF(MROUND((V13-R16-S16)/3,1)&gt;=Q13,MROUND((V13-R16-S16)/3,1),Q13),S13)</f>
        <v>5</v>
      </c>
      <c r="U16" s="104">
        <f>IF(MROUND((V13-R16-S16-T16)/2,1)&lt;=S13,IF((V13-R16-S16-T16)/2&gt;=Q13,MROUND((V13-R16-S16-T16)/2,1),V13-R16-S16-T16),S13)</f>
        <v>5</v>
      </c>
      <c r="V16" s="105">
        <f>IF((V13-(R16+S16+T16+U16))&gt;0,(V13-(R16+S16+T16+U16)),0)</f>
        <v>5</v>
      </c>
      <c r="W16" s="106">
        <f>SUM(R16:V16)</f>
        <v>25</v>
      </c>
      <c r="X16" s="88" t="s">
        <v>30</v>
      </c>
      <c r="Y16" s="89">
        <f>Y15+Y12+O16-O12</f>
        <v>150</v>
      </c>
      <c r="Z16" s="90">
        <f>ROUNDDOWN((Y12-O12+D16+L16)*$Z$4,0)</f>
        <v>1</v>
      </c>
      <c r="AA16" s="90">
        <f>ROUNDDOWN((Y12+L16-O12+D16)*$AA$4,0)</f>
        <v>8</v>
      </c>
    </row>
    <row r="17" spans="1:27" ht="18" customHeight="1" thickTop="1" thickBot="1" x14ac:dyDescent="0.3">
      <c r="A17" s="193">
        <f>A13+1</f>
        <v>4</v>
      </c>
      <c r="B17" s="193" t="str">
        <f t="shared" ref="B17" ca="1" si="11">IF((L20+Y16)&lt;IF(B$3="하",$AE$8,$AE$6),0,IF((L20+Y16)&gt;IF(B$3="하",$AE$7,$AE$5),"",MAX(B13,M13)+1))</f>
        <v/>
      </c>
      <c r="C17" s="141" t="str">
        <f>"MAX to "&amp;MROUND(IF(IF(AA18-O16&gt;5,5,AA18-O16)&lt;2,J13,J13*(37-IF(AA18-O16&gt;5,5,AA18-O16))/36),E20)</f>
        <v>MAX to 177.5</v>
      </c>
      <c r="D17" s="90" t="str">
        <f>IF(AA18&lt;=O16,"X",IF(Z18&gt;O16,"must ME","can ME"))</f>
        <v>must ME</v>
      </c>
      <c r="E17" s="75" t="s">
        <v>31</v>
      </c>
      <c r="F17" s="23">
        <v>4</v>
      </c>
      <c r="G17" s="2">
        <v>1</v>
      </c>
      <c r="H17" s="23">
        <f>IF(G18&gt;=90%,2,IF(G18&gt;=80%,4,IF(G18&gt;=70%,6,6)))</f>
        <v>6</v>
      </c>
      <c r="I17" s="3" t="s">
        <v>2</v>
      </c>
      <c r="J17" s="91">
        <f>L18/(100%-IF($B$3="하",$AB$8,$AB$6)*L20)/L20</f>
        <v>200.69204152249139</v>
      </c>
      <c r="K17" s="92">
        <f>IF("하"=$B$3,$AC$7,$AC$5)</f>
        <v>25</v>
      </c>
      <c r="L17" s="107" t="s">
        <v>33</v>
      </c>
      <c r="M17" s="193" t="str">
        <f t="shared" ref="M17" ca="1" si="12">IF($Y20&lt;IF(M$3="하",$AE$8,$AE$6),0,IF($Y20&gt;IF(M$3="하",$AE$7,$AE$5),"",MAX(B17,M13)+1))</f>
        <v/>
      </c>
      <c r="N17" s="141" t="str">
        <f>"MAX to "&amp;MROUND(IF(IF(AA20-D20&gt;5,5,AA20-D20)&lt;2,U13,U13*(37-IF(AA20-D20&gt;5,5,AA20-D20))/36),P20)</f>
        <v>MAX to 177.5</v>
      </c>
      <c r="O17" s="90" t="str">
        <f>IF(AA20&lt;=D20,"X",IF(Z20&gt;D20,"must ME","can ME"))</f>
        <v>must ME</v>
      </c>
      <c r="P17" s="75" t="s">
        <v>31</v>
      </c>
      <c r="Q17" s="23">
        <v>4</v>
      </c>
      <c r="R17" s="2" t="s">
        <v>32</v>
      </c>
      <c r="S17" s="23">
        <v>6</v>
      </c>
      <c r="T17" s="3" t="s">
        <v>2</v>
      </c>
      <c r="U17" s="91">
        <f>W18/(100%-IF($B$3="하",$AB$8,$AB$6)*W20)/W20</f>
        <v>200.69204152249139</v>
      </c>
      <c r="V17" s="92">
        <f>IF("하"=$B$3,$AC$8,$AC$6)</f>
        <v>25</v>
      </c>
      <c r="W17" s="108" t="s">
        <v>33</v>
      </c>
      <c r="X17" s="75" t="s">
        <v>25</v>
      </c>
      <c r="Y17" s="76">
        <f>L18+W18</f>
        <v>7250</v>
      </c>
      <c r="Z17" s="93" t="s">
        <v>34</v>
      </c>
      <c r="AA17" s="93" t="s">
        <v>35</v>
      </c>
    </row>
    <row r="18" spans="1:27" ht="18" customHeight="1" thickTop="1" thickBot="1" x14ac:dyDescent="0.3">
      <c r="A18" s="194"/>
      <c r="B18" s="194"/>
      <c r="C18" s="143"/>
      <c r="D18" s="142" t="str">
        <f>IF(C20="","",IF(C18*36/(37-C20)=0,"",C18*36/(37-C20)))</f>
        <v/>
      </c>
      <c r="E18" s="109" t="str">
        <f>E14</f>
        <v>exercise1</v>
      </c>
      <c r="F18" s="18">
        <f>IF(D18="",J13,D18)</f>
        <v>200.69204152249139</v>
      </c>
      <c r="G18" s="94">
        <f>100%-K17*IF($B$3="하",$AB$8,$AB$6)</f>
        <v>0.72249999999999992</v>
      </c>
      <c r="H18" s="7">
        <f t="shared" ref="H18:J19" si="13">G18</f>
        <v>0.72249999999999992</v>
      </c>
      <c r="I18" s="7">
        <f t="shared" si="13"/>
        <v>0.72249999999999992</v>
      </c>
      <c r="J18" s="7">
        <f t="shared" si="13"/>
        <v>0.72249999999999992</v>
      </c>
      <c r="K18" s="8">
        <f>J18</f>
        <v>0.72249999999999992</v>
      </c>
      <c r="L18" s="95">
        <f>G19*G20+H19*H20+I19*I20+J19*J20+K19*K20</f>
        <v>3625</v>
      </c>
      <c r="M18" s="194"/>
      <c r="N18" s="143"/>
      <c r="O18" s="142" t="str">
        <f>IF(N20="","",IF(N18*36/(37-N20)=0,"",N18*36/(37-N20)))</f>
        <v/>
      </c>
      <c r="P18" s="109" t="str">
        <f>P14</f>
        <v>exercise2</v>
      </c>
      <c r="Q18" s="18">
        <f>IF(O18="",U13,O18)</f>
        <v>200.69204152249139</v>
      </c>
      <c r="R18" s="94">
        <f>100%-V17*IF($B$3="하",$AB$8,$AB$6)</f>
        <v>0.72249999999999992</v>
      </c>
      <c r="S18" s="7">
        <f t="shared" ref="S18:V19" si="14">R18</f>
        <v>0.72249999999999992</v>
      </c>
      <c r="T18" s="7">
        <f t="shared" si="14"/>
        <v>0.72249999999999992</v>
      </c>
      <c r="U18" s="7">
        <f t="shared" si="14"/>
        <v>0.72249999999999992</v>
      </c>
      <c r="V18" s="8">
        <f t="shared" si="14"/>
        <v>0.72249999999999992</v>
      </c>
      <c r="W18" s="96">
        <f>R19*R20+S19*S20+T19*T20+U19*U20+V19*V20</f>
        <v>3625</v>
      </c>
      <c r="X18" s="86" t="s">
        <v>27</v>
      </c>
      <c r="Y18" s="81">
        <f>Y17+Y14</f>
        <v>29000</v>
      </c>
      <c r="Z18" s="90">
        <f>ROUNDDOWN(Y16*$Z$4,0)</f>
        <v>1</v>
      </c>
      <c r="AA18" s="90">
        <f>ROUNDDOWN(Y16*$AA$4,0)</f>
        <v>10</v>
      </c>
    </row>
    <row r="19" spans="1:27" ht="18" customHeight="1" thickTop="1" thickBot="1" x14ac:dyDescent="0.3">
      <c r="A19" s="194"/>
      <c r="B19" s="194"/>
      <c r="C19" s="141" t="str">
        <f>"MAX to "&amp;IF(AA18-O16&gt;5,5,AA18-O16)&amp;"rep"</f>
        <v>MAX to 5rep</v>
      </c>
      <c r="D19" s="97" t="s">
        <v>37</v>
      </c>
      <c r="E19" s="98" t="s">
        <v>5</v>
      </c>
      <c r="F19" s="5" t="s">
        <v>3</v>
      </c>
      <c r="G19" s="18">
        <f>MROUND(G18*F18,E20)</f>
        <v>145</v>
      </c>
      <c r="H19" s="18">
        <f t="shared" si="13"/>
        <v>145</v>
      </c>
      <c r="I19" s="18">
        <f t="shared" si="13"/>
        <v>145</v>
      </c>
      <c r="J19" s="18">
        <f t="shared" si="13"/>
        <v>145</v>
      </c>
      <c r="K19" s="19">
        <f>J19</f>
        <v>145</v>
      </c>
      <c r="L19" s="74" t="s">
        <v>10</v>
      </c>
      <c r="M19" s="194"/>
      <c r="N19" s="141" t="str">
        <f>"MAX to "&amp;IF(AA20-D20&gt;5,5,AA20-D20)&amp;" rep"</f>
        <v>MAX to 5 rep</v>
      </c>
      <c r="O19" s="97" t="s">
        <v>37</v>
      </c>
      <c r="P19" s="86" t="s">
        <v>5</v>
      </c>
      <c r="Q19" s="5" t="s">
        <v>3</v>
      </c>
      <c r="R19" s="18">
        <f>MROUND(R18*Q18,P20)</f>
        <v>145</v>
      </c>
      <c r="S19" s="18">
        <f t="shared" si="14"/>
        <v>145</v>
      </c>
      <c r="T19" s="18">
        <f t="shared" si="14"/>
        <v>145</v>
      </c>
      <c r="U19" s="18">
        <f t="shared" si="14"/>
        <v>145</v>
      </c>
      <c r="V19" s="19">
        <f t="shared" si="14"/>
        <v>145</v>
      </c>
      <c r="W19" s="99" t="s">
        <v>10</v>
      </c>
      <c r="X19" s="86" t="s">
        <v>28</v>
      </c>
      <c r="Y19" s="87">
        <f>L20+W20</f>
        <v>50</v>
      </c>
      <c r="Z19" s="93" t="s">
        <v>34</v>
      </c>
      <c r="AA19" s="93" t="s">
        <v>35</v>
      </c>
    </row>
    <row r="20" spans="1:27" ht="18" customHeight="1" thickTop="1" thickBot="1" x14ac:dyDescent="0.3">
      <c r="A20" s="195"/>
      <c r="B20" s="195"/>
      <c r="C20" s="144"/>
      <c r="D20" s="90">
        <f>IF(C18="",O16,IF(D18&lt;=0,O16,O16+C20))</f>
        <v>0</v>
      </c>
      <c r="E20" s="100">
        <f>P16</f>
        <v>2.5</v>
      </c>
      <c r="F20" s="13" t="s">
        <v>7</v>
      </c>
      <c r="G20" s="103">
        <f xml:space="preserve"> IF($B$3="하",0,IF(MROUND(K17/5,1)&lt;=H17,IF(MROUND(K17/5,1)&gt;=F17,MROUND(K17/5,1),F17),H17))</f>
        <v>5</v>
      </c>
      <c r="H20" s="104">
        <f>IF(MROUND((K17-G20)/4,1)&lt;=H17,IF(MROUND((K17-G20)/4,1)&gt;=F17,MROUND((K17-G20)/4,1),F17),H17)</f>
        <v>5</v>
      </c>
      <c r="I20" s="104">
        <f>IF(MROUND((K17-G20-H20)/3,1)&lt;=H17,IF(MROUND((K17-G20-H20)/3,1)&gt;=F17,MROUND((K17-G20-H20)/3,1),F17),H17)</f>
        <v>5</v>
      </c>
      <c r="J20" s="104">
        <f>IF(MROUND((K17-G20-H20-I20)/2,1)&lt;=H17,IF((K17-G20-H20-I20)/2&gt;=F17,MROUND((K17-G20-H20-I20)/2,1),K17-G20-H20-I20),H17)</f>
        <v>5</v>
      </c>
      <c r="K20" s="105">
        <f>IF((K17-(G20+H20+I20+J20))&gt;0,(K17-(G20+H20+I20+J20)),0)</f>
        <v>5</v>
      </c>
      <c r="L20" s="101">
        <f>SUM(G20:K20)</f>
        <v>25</v>
      </c>
      <c r="M20" s="195"/>
      <c r="N20" s="144"/>
      <c r="O20" s="90">
        <f>IF(""=N18,D20,IF(O18&lt;=0,D20,D20+N20))</f>
        <v>0</v>
      </c>
      <c r="P20" s="102">
        <f>E16</f>
        <v>2.5</v>
      </c>
      <c r="Q20" s="13" t="s">
        <v>7</v>
      </c>
      <c r="R20" s="103">
        <f xml:space="preserve"> IF($B$3="하",0,IF(MROUND(V17/5,1)&lt;=S17,IF(MROUND(V17/5,1)&gt;=Q17,MROUND(V17/5,1),Q17),S17))</f>
        <v>5</v>
      </c>
      <c r="S20" s="104">
        <f>IF(MROUND((V17-R20)/4,1)&lt;=S17,IF(MROUND((V17-R20)/4,1)&gt;=Q17,MROUND((V17-R20)/4,1),Q17),S17)</f>
        <v>5</v>
      </c>
      <c r="T20" s="104">
        <f>IF(MROUND((V17-R20-S20)/3,1)&lt;=S17,IF(MROUND((V17-R20-S20)/3,1)&gt;=Q17,MROUND((V17-R20-S20)/3,1),Q17),S17)</f>
        <v>5</v>
      </c>
      <c r="U20" s="104">
        <f>IF(MROUND((V17-R20-S20-T20)/2,1)&lt;=S17,IF((V17-R20-S20-T20)/2&gt;=Q17,MROUND((V17-R20-S20-T20)/2,1),V17-R20-S20-T20),S17)</f>
        <v>5</v>
      </c>
      <c r="V20" s="105">
        <f>IF((V17-(R20+S20+T20+U20))&gt;0,(V17-(R20+S20+T20+U20)),0)</f>
        <v>5</v>
      </c>
      <c r="W20" s="106">
        <f>SUM(R20:V20)</f>
        <v>25</v>
      </c>
      <c r="X20" s="88" t="s">
        <v>30</v>
      </c>
      <c r="Y20" s="89">
        <f>Y19+Y16+O20-O16</f>
        <v>200</v>
      </c>
      <c r="Z20" s="90">
        <f>ROUNDDOWN((Y16-O16+D20+L20)*$Z$4,0)</f>
        <v>1</v>
      </c>
      <c r="AA20" s="90">
        <f>ROUNDDOWN((Y16+L20-O16+D20)*$AA$4,0)</f>
        <v>12</v>
      </c>
    </row>
    <row r="21" spans="1:27" ht="18" customHeight="1" thickTop="1" thickBot="1" x14ac:dyDescent="0.3">
      <c r="A21" s="193">
        <f>A17+1</f>
        <v>5</v>
      </c>
      <c r="B21" s="193" t="str">
        <f t="shared" ref="B21" ca="1" si="15">IF((L24+Y20)&lt;IF(B$3="하",$AE$8,$AE$6),0,IF((L24+Y20)&gt;IF(B$3="하",$AE$7,$AE$5),"",MAX(B17,M17)+1))</f>
        <v/>
      </c>
      <c r="C21" s="141" t="str">
        <f>"MAX to "&amp;MROUND(IF(IF(AA22-O20&gt;5,5,AA22-O20)&lt;2,J17,J17*(37-IF(AA22-O20&gt;5,5,AA22-O20))/36),E24)</f>
        <v>MAX to 177.5</v>
      </c>
      <c r="D21" s="90" t="str">
        <f>IF(AA22&lt;=O20,"X",IF(Z22&gt;O20,"must ME","can ME"))</f>
        <v>must ME</v>
      </c>
      <c r="E21" s="75" t="s">
        <v>31</v>
      </c>
      <c r="F21" s="23">
        <v>4</v>
      </c>
      <c r="G21" s="2">
        <v>1</v>
      </c>
      <c r="H21" s="23">
        <f>IF(G22&gt;=90%,2,IF(G22&gt;=80%,4,IF(G22&gt;=70%,6,6)))</f>
        <v>6</v>
      </c>
      <c r="I21" s="3" t="s">
        <v>2</v>
      </c>
      <c r="J21" s="91">
        <f>L22/(100%-IF($B$3="하",$AB$8,$AB$6)*L24)/L24</f>
        <v>200.69204152249139</v>
      </c>
      <c r="K21" s="92">
        <f>IF("하"=$B$3,$AC$7,$AC$5)</f>
        <v>25</v>
      </c>
      <c r="L21" s="107" t="s">
        <v>33</v>
      </c>
      <c r="M21" s="193" t="str">
        <f t="shared" ref="M21" ca="1" si="16">IF($Y24&lt;IF(M$3="하",$AE$8,$AE$6),0,IF($Y24&gt;IF(M$3="하",$AE$7,$AE$5),"",MAX(B21,M17)+1))</f>
        <v/>
      </c>
      <c r="N21" s="141" t="str">
        <f>"MAX to "&amp;MROUND(IF(IF(AA24-D24&gt;5,5,AA24-D24)&lt;2,U17,U17*(37-IF(AA24-D24&gt;5,5,AA24-D24))/36),P24)</f>
        <v>MAX to 177.5</v>
      </c>
      <c r="O21" s="90" t="str">
        <f>IF(AA24&lt;=D24,"X",IF(Z24&gt;D24,"must ME","can ME"))</f>
        <v>must ME</v>
      </c>
      <c r="P21" s="75" t="s">
        <v>31</v>
      </c>
      <c r="Q21" s="23">
        <v>4</v>
      </c>
      <c r="R21" s="2" t="s">
        <v>32</v>
      </c>
      <c r="S21" s="23">
        <v>6</v>
      </c>
      <c r="T21" s="3" t="s">
        <v>2</v>
      </c>
      <c r="U21" s="91">
        <f>W22/(100%-IF($B$3="하",$AB$8,$AB$6)*W24)/W24</f>
        <v>200.69204152249139</v>
      </c>
      <c r="V21" s="92">
        <f>IF("하"=$B$3,$AC$8,$AC$6)</f>
        <v>25</v>
      </c>
      <c r="W21" s="108" t="s">
        <v>33</v>
      </c>
      <c r="X21" s="75" t="s">
        <v>25</v>
      </c>
      <c r="Y21" s="76">
        <f>L22+W22</f>
        <v>7250</v>
      </c>
      <c r="Z21" s="93" t="s">
        <v>34</v>
      </c>
      <c r="AA21" s="93" t="s">
        <v>35</v>
      </c>
    </row>
    <row r="22" spans="1:27" ht="18" customHeight="1" thickTop="1" thickBot="1" x14ac:dyDescent="0.3">
      <c r="A22" s="194"/>
      <c r="B22" s="194"/>
      <c r="C22" s="143"/>
      <c r="D22" s="142" t="str">
        <f>IF(C24="","",IF(C22*36/(37-C24)=0,"",C22*36/(37-C24)))</f>
        <v/>
      </c>
      <c r="E22" s="109" t="str">
        <f>E18</f>
        <v>exercise1</v>
      </c>
      <c r="F22" s="18">
        <f>IF(D22="",J17,D22)</f>
        <v>200.69204152249139</v>
      </c>
      <c r="G22" s="94">
        <f>100%-K21*IF($B$3="하",$AB$8,$AB$6)</f>
        <v>0.72249999999999992</v>
      </c>
      <c r="H22" s="7">
        <f t="shared" ref="H22:J23" si="17">G22</f>
        <v>0.72249999999999992</v>
      </c>
      <c r="I22" s="7">
        <f t="shared" si="17"/>
        <v>0.72249999999999992</v>
      </c>
      <c r="J22" s="7">
        <f t="shared" si="17"/>
        <v>0.72249999999999992</v>
      </c>
      <c r="K22" s="8">
        <f>J22</f>
        <v>0.72249999999999992</v>
      </c>
      <c r="L22" s="95">
        <f>G23*G24+H23*H24+I23*I24+J23*J24+K23*K24</f>
        <v>3625</v>
      </c>
      <c r="M22" s="194"/>
      <c r="N22" s="143"/>
      <c r="O22" s="142" t="str">
        <f>IF(N24="","",IF(N22*36/(37-N24)=0,"",N22*36/(37-N24)))</f>
        <v/>
      </c>
      <c r="P22" s="109" t="str">
        <f>P18</f>
        <v>exercise2</v>
      </c>
      <c r="Q22" s="18">
        <f>IF(O22="",U17,O22)</f>
        <v>200.69204152249139</v>
      </c>
      <c r="R22" s="94">
        <f>100%-V21*IF($B$3="하",$AB$8,$AB$6)</f>
        <v>0.72249999999999992</v>
      </c>
      <c r="S22" s="7">
        <f t="shared" ref="S22:V23" si="18">R22</f>
        <v>0.72249999999999992</v>
      </c>
      <c r="T22" s="7">
        <f t="shared" si="18"/>
        <v>0.72249999999999992</v>
      </c>
      <c r="U22" s="7">
        <f t="shared" si="18"/>
        <v>0.72249999999999992</v>
      </c>
      <c r="V22" s="8">
        <f t="shared" si="18"/>
        <v>0.72249999999999992</v>
      </c>
      <c r="W22" s="96">
        <f>R23*R24+S23*S24+T23*T24+U23*U24+V23*V24</f>
        <v>3625</v>
      </c>
      <c r="X22" s="86" t="s">
        <v>27</v>
      </c>
      <c r="Y22" s="81">
        <f>Y21+Y18</f>
        <v>36250</v>
      </c>
      <c r="Z22" s="90">
        <f>ROUNDDOWN(Y20*$Z$4,0)</f>
        <v>2</v>
      </c>
      <c r="AA22" s="90">
        <f>ROUNDDOWN(Y20*$AA$4,0)</f>
        <v>14</v>
      </c>
    </row>
    <row r="23" spans="1:27" ht="18" customHeight="1" thickTop="1" thickBot="1" x14ac:dyDescent="0.3">
      <c r="A23" s="194"/>
      <c r="B23" s="194"/>
      <c r="C23" s="141" t="str">
        <f>"MAX to "&amp;IF(AA22-O20&gt;5,5,AA22-O20)&amp;"rep"</f>
        <v>MAX to 5rep</v>
      </c>
      <c r="D23" s="97" t="s">
        <v>37</v>
      </c>
      <c r="E23" s="98" t="s">
        <v>5</v>
      </c>
      <c r="F23" s="5" t="s">
        <v>3</v>
      </c>
      <c r="G23" s="18">
        <f>MROUND(G22*F22,E24)</f>
        <v>145</v>
      </c>
      <c r="H23" s="18">
        <f t="shared" si="17"/>
        <v>145</v>
      </c>
      <c r="I23" s="18">
        <f t="shared" si="17"/>
        <v>145</v>
      </c>
      <c r="J23" s="18">
        <f t="shared" si="17"/>
        <v>145</v>
      </c>
      <c r="K23" s="19">
        <f>J23</f>
        <v>145</v>
      </c>
      <c r="L23" s="74" t="s">
        <v>10</v>
      </c>
      <c r="M23" s="194"/>
      <c r="N23" s="141" t="str">
        <f>"MAX to "&amp;IF(AA24-D24&gt;5,5,AA24-D24)&amp;" rep"</f>
        <v>MAX to 5 rep</v>
      </c>
      <c r="O23" s="97" t="s">
        <v>37</v>
      </c>
      <c r="P23" s="86" t="s">
        <v>5</v>
      </c>
      <c r="Q23" s="5" t="s">
        <v>3</v>
      </c>
      <c r="R23" s="18">
        <f>MROUND(R22*Q22,P24)</f>
        <v>145</v>
      </c>
      <c r="S23" s="18">
        <f t="shared" si="18"/>
        <v>145</v>
      </c>
      <c r="T23" s="18">
        <f t="shared" si="18"/>
        <v>145</v>
      </c>
      <c r="U23" s="18">
        <f t="shared" si="18"/>
        <v>145</v>
      </c>
      <c r="V23" s="19">
        <f t="shared" si="18"/>
        <v>145</v>
      </c>
      <c r="W23" s="99" t="s">
        <v>10</v>
      </c>
      <c r="X23" s="86" t="s">
        <v>28</v>
      </c>
      <c r="Y23" s="87">
        <f>L24+W24</f>
        <v>50</v>
      </c>
      <c r="Z23" s="93" t="s">
        <v>34</v>
      </c>
      <c r="AA23" s="93" t="s">
        <v>35</v>
      </c>
    </row>
    <row r="24" spans="1:27" ht="18" customHeight="1" thickTop="1" thickBot="1" x14ac:dyDescent="0.3">
      <c r="A24" s="195"/>
      <c r="B24" s="195"/>
      <c r="C24" s="144"/>
      <c r="D24" s="90">
        <f>IF(C22="",O20,IF(D22&lt;=0,O20,O20+C24))</f>
        <v>0</v>
      </c>
      <c r="E24" s="100">
        <f>P20</f>
        <v>2.5</v>
      </c>
      <c r="F24" s="13" t="s">
        <v>7</v>
      </c>
      <c r="G24" s="103">
        <f xml:space="preserve"> IF($B$3="하",0,IF(MROUND(K21/5,1)&lt;=H21,IF(MROUND(K21/5,1)&gt;=F21,MROUND(K21/5,1),F21),H21))</f>
        <v>5</v>
      </c>
      <c r="H24" s="104">
        <f>IF(MROUND((K21-G24)/4,1)&lt;=H21,IF(MROUND((K21-G24)/4,1)&gt;=F21,MROUND((K21-G24)/4,1),F21),H21)</f>
        <v>5</v>
      </c>
      <c r="I24" s="104">
        <f>IF(MROUND((K21-G24-H24)/3,1)&lt;=H21,IF(MROUND((K21-G24-H24)/3,1)&gt;=F21,MROUND((K21-G24-H24)/3,1),F21),H21)</f>
        <v>5</v>
      </c>
      <c r="J24" s="104">
        <f>IF(MROUND((K21-G24-H24-I24)/2,1)&lt;=H21,IF((K21-G24-H24-I24)/2&gt;=F21,MROUND((K21-G24-H24-I24)/2,1),K21-G24-H24-I24),H21)</f>
        <v>5</v>
      </c>
      <c r="K24" s="105">
        <f>IF((K21-(G24+H24+I24+J24))&gt;0,(K21-(G24+H24+I24+J24)),0)</f>
        <v>5</v>
      </c>
      <c r="L24" s="101">
        <f>SUM(G24:K24)</f>
        <v>25</v>
      </c>
      <c r="M24" s="195"/>
      <c r="N24" s="144"/>
      <c r="O24" s="90">
        <f>IF(""=N22,D24,IF(O22&lt;=0,D24,D24+N24))</f>
        <v>0</v>
      </c>
      <c r="P24" s="102">
        <f>E20</f>
        <v>2.5</v>
      </c>
      <c r="Q24" s="13" t="s">
        <v>7</v>
      </c>
      <c r="R24" s="103">
        <f xml:space="preserve"> IF($B$3="하",0,IF(MROUND(V21/5,1)&lt;=S21,IF(MROUND(V21/5,1)&gt;=Q21,MROUND(V21/5,1),Q21),S21))</f>
        <v>5</v>
      </c>
      <c r="S24" s="104">
        <f>IF(MROUND((V21-R24)/4,1)&lt;=S21,IF(MROUND((V21-R24)/4,1)&gt;=Q21,MROUND((V21-R24)/4,1),Q21),S21)</f>
        <v>5</v>
      </c>
      <c r="T24" s="104">
        <f>IF(MROUND((V21-R24-S24)/3,1)&lt;=S21,IF(MROUND((V21-R24-S24)/3,1)&gt;=Q21,MROUND((V21-R24-S24)/3,1),Q21),S21)</f>
        <v>5</v>
      </c>
      <c r="U24" s="104">
        <f>IF(MROUND((V21-R24-S24-T24)/2,1)&lt;=S21,IF((V21-R24-S24-T24)/2&gt;=Q21,MROUND((V21-R24-S24-T24)/2,1),V21-R24-S24-T24),S21)</f>
        <v>5</v>
      </c>
      <c r="V24" s="105">
        <f>IF((V21-(R24+S24+T24+U24))&gt;0,(V21-(R24+S24+T24+U24)),0)</f>
        <v>5</v>
      </c>
      <c r="W24" s="106">
        <f>SUM(R24:V24)</f>
        <v>25</v>
      </c>
      <c r="X24" s="88" t="s">
        <v>30</v>
      </c>
      <c r="Y24" s="89">
        <f>Y23+Y20+O24-O20</f>
        <v>250</v>
      </c>
      <c r="Z24" s="90">
        <f>ROUNDDOWN((Y20-O20+D24+L24)*$Z$4,0)</f>
        <v>2</v>
      </c>
      <c r="AA24" s="90">
        <f>ROUNDDOWN((Y20+L24-O20+D24)*$AA$4,0)</f>
        <v>15</v>
      </c>
    </row>
    <row r="25" spans="1:27" ht="18" customHeight="1" thickTop="1" thickBot="1" x14ac:dyDescent="0.3">
      <c r="A25" s="193">
        <f>A21+1</f>
        <v>6</v>
      </c>
      <c r="B25" s="193" t="str">
        <f t="shared" ref="B25" ca="1" si="19">IF((L28+Y24)&lt;IF(B$3="하",$AE$8,$AE$6),0,IF((L28+Y24)&gt;IF(B$3="하",$AE$7,$AE$5),"",MAX(B21,M21)+1))</f>
        <v/>
      </c>
      <c r="C25" s="141" t="str">
        <f>"MAX to "&amp;MROUND(IF(IF(AA26-O24&gt;5,5,AA26-O24)&lt;2,J21,J21*(37-IF(AA26-O24&gt;5,5,AA26-O24))/36),E28)</f>
        <v>MAX to 177.5</v>
      </c>
      <c r="D25" s="90" t="str">
        <f>IF(AA26&lt;=O24,"X",IF(Z26&gt;O24,"must ME","can ME"))</f>
        <v>must ME</v>
      </c>
      <c r="E25" s="75" t="s">
        <v>31</v>
      </c>
      <c r="F25" s="23">
        <v>4</v>
      </c>
      <c r="G25" s="2">
        <v>1</v>
      </c>
      <c r="H25" s="23">
        <f>IF(G26&gt;=90%,2,IF(G26&gt;=80%,4,IF(G26&gt;=70%,6,6)))</f>
        <v>6</v>
      </c>
      <c r="I25" s="3" t="s">
        <v>2</v>
      </c>
      <c r="J25" s="91">
        <f>L26/(100%-IF($B$3="하",$AB$8,$AB$6)*L28)/L28</f>
        <v>200.69204152249139</v>
      </c>
      <c r="K25" s="92">
        <f>IF("하"=$B$3,$AC$7,$AC$5)</f>
        <v>25</v>
      </c>
      <c r="L25" s="107" t="s">
        <v>33</v>
      </c>
      <c r="M25" s="193" t="str">
        <f t="shared" ref="M25" ca="1" si="20">IF($Y28&lt;IF(M$3="하",$AE$8,$AE$6),0,IF($Y28&gt;IF(M$3="하",$AE$7,$AE$5),"",MAX(B25,M21)+1))</f>
        <v/>
      </c>
      <c r="N25" s="141" t="str">
        <f>"MAX to "&amp;MROUND(IF(IF(AA28-D28&gt;5,5,AA28-D28)&lt;2,U21,U21*(37-IF(AA28-D28&gt;5,5,AA28-D28))/36),P28)</f>
        <v>MAX to 177.5</v>
      </c>
      <c r="O25" s="90" t="str">
        <f>IF(AA28&lt;=D28,"X",IF(Z28&gt;D28,"must ME","can ME"))</f>
        <v>must ME</v>
      </c>
      <c r="P25" s="75" t="s">
        <v>31</v>
      </c>
      <c r="Q25" s="23">
        <v>4</v>
      </c>
      <c r="R25" s="2" t="s">
        <v>32</v>
      </c>
      <c r="S25" s="23">
        <v>6</v>
      </c>
      <c r="T25" s="3" t="s">
        <v>2</v>
      </c>
      <c r="U25" s="91">
        <f>W26/(100%-IF($B$3="하",$AB$8,$AB$6)*W28)/W28</f>
        <v>200.69204152249139</v>
      </c>
      <c r="V25" s="92">
        <f>IF("하"=$B$3,$AC$8,$AC$6)</f>
        <v>25</v>
      </c>
      <c r="W25" s="108" t="s">
        <v>33</v>
      </c>
      <c r="X25" s="75" t="s">
        <v>25</v>
      </c>
      <c r="Y25" s="76">
        <f>L26+W26</f>
        <v>7250</v>
      </c>
      <c r="Z25" s="93" t="s">
        <v>34</v>
      </c>
      <c r="AA25" s="93" t="s">
        <v>35</v>
      </c>
    </row>
    <row r="26" spans="1:27" ht="18" customHeight="1" thickTop="1" thickBot="1" x14ac:dyDescent="0.3">
      <c r="A26" s="194"/>
      <c r="B26" s="194"/>
      <c r="C26" s="143"/>
      <c r="D26" s="142" t="str">
        <f>IF(C28="","",IF(C26*36/(37-C28)=0,"",C26*36/(37-C28)))</f>
        <v/>
      </c>
      <c r="E26" s="109" t="str">
        <f>E22</f>
        <v>exercise1</v>
      </c>
      <c r="F26" s="18">
        <f>IF(D26="",J21,D26)</f>
        <v>200.69204152249139</v>
      </c>
      <c r="G26" s="94">
        <f>100%-K25*IF($B$3="하",$AB$8,$AB$6)</f>
        <v>0.72249999999999992</v>
      </c>
      <c r="H26" s="7">
        <f t="shared" ref="H26:J27" si="21">G26</f>
        <v>0.72249999999999992</v>
      </c>
      <c r="I26" s="7">
        <f t="shared" si="21"/>
        <v>0.72249999999999992</v>
      </c>
      <c r="J26" s="7">
        <f t="shared" si="21"/>
        <v>0.72249999999999992</v>
      </c>
      <c r="K26" s="8">
        <f>J26</f>
        <v>0.72249999999999992</v>
      </c>
      <c r="L26" s="95">
        <f>G27*G28+H27*H28+I27*I28+J27*J28+K27*K28</f>
        <v>3625</v>
      </c>
      <c r="M26" s="194"/>
      <c r="N26" s="143"/>
      <c r="O26" s="142" t="str">
        <f>IF(N28="","",IF(N26*36/(37-N28)=0,"",N26*36/(37-N28)))</f>
        <v/>
      </c>
      <c r="P26" s="109" t="str">
        <f>P22</f>
        <v>exercise2</v>
      </c>
      <c r="Q26" s="18">
        <f>IF(O26="",U21,O26)</f>
        <v>200.69204152249139</v>
      </c>
      <c r="R26" s="94">
        <f>100%-V25*IF($B$3="하",$AB$8,$AB$6)</f>
        <v>0.72249999999999992</v>
      </c>
      <c r="S26" s="7">
        <f t="shared" ref="S26:V27" si="22">R26</f>
        <v>0.72249999999999992</v>
      </c>
      <c r="T26" s="7">
        <f t="shared" si="22"/>
        <v>0.72249999999999992</v>
      </c>
      <c r="U26" s="7">
        <f t="shared" si="22"/>
        <v>0.72249999999999992</v>
      </c>
      <c r="V26" s="8">
        <f t="shared" si="22"/>
        <v>0.72249999999999992</v>
      </c>
      <c r="W26" s="96">
        <f>R27*R28+S27*S28+T27*T28+U27*U28+V27*V28</f>
        <v>3625</v>
      </c>
      <c r="X26" s="86" t="s">
        <v>27</v>
      </c>
      <c r="Y26" s="81">
        <f>Y25+Y22</f>
        <v>43500</v>
      </c>
      <c r="Z26" s="90">
        <f>ROUNDDOWN(Y24*$Z$4,0)</f>
        <v>2</v>
      </c>
      <c r="AA26" s="90">
        <f>ROUNDDOWN(Y24*$AA$4,0)</f>
        <v>17</v>
      </c>
    </row>
    <row r="27" spans="1:27" ht="18" customHeight="1" thickTop="1" thickBot="1" x14ac:dyDescent="0.3">
      <c r="A27" s="194"/>
      <c r="B27" s="194"/>
      <c r="C27" s="141" t="str">
        <f>"MAX to "&amp;IF(AA26-O24&gt;5,5,AA26-O24)&amp;"rep"</f>
        <v>MAX to 5rep</v>
      </c>
      <c r="D27" s="97" t="s">
        <v>37</v>
      </c>
      <c r="E27" s="98" t="s">
        <v>5</v>
      </c>
      <c r="F27" s="5" t="s">
        <v>3</v>
      </c>
      <c r="G27" s="18">
        <f>MROUND(G26*F26,E28)</f>
        <v>145</v>
      </c>
      <c r="H27" s="18">
        <f t="shared" si="21"/>
        <v>145</v>
      </c>
      <c r="I27" s="18">
        <f t="shared" si="21"/>
        <v>145</v>
      </c>
      <c r="J27" s="18">
        <f t="shared" si="21"/>
        <v>145</v>
      </c>
      <c r="K27" s="19">
        <f>J27</f>
        <v>145</v>
      </c>
      <c r="L27" s="74" t="s">
        <v>10</v>
      </c>
      <c r="M27" s="194"/>
      <c r="N27" s="141" t="str">
        <f>"MAX to "&amp;IF(AA28-D28&gt;5,5,AA28-D28)&amp;" rep"</f>
        <v>MAX to 5 rep</v>
      </c>
      <c r="O27" s="97" t="s">
        <v>37</v>
      </c>
      <c r="P27" s="86" t="s">
        <v>5</v>
      </c>
      <c r="Q27" s="5" t="s">
        <v>3</v>
      </c>
      <c r="R27" s="18">
        <f>MROUND(R26*Q26,P28)</f>
        <v>145</v>
      </c>
      <c r="S27" s="18">
        <f t="shared" si="22"/>
        <v>145</v>
      </c>
      <c r="T27" s="18">
        <f t="shared" si="22"/>
        <v>145</v>
      </c>
      <c r="U27" s="18">
        <f t="shared" si="22"/>
        <v>145</v>
      </c>
      <c r="V27" s="19">
        <f t="shared" si="22"/>
        <v>145</v>
      </c>
      <c r="W27" s="99" t="s">
        <v>10</v>
      </c>
      <c r="X27" s="86" t="s">
        <v>28</v>
      </c>
      <c r="Y27" s="87">
        <f>L28+W28</f>
        <v>50</v>
      </c>
      <c r="Z27" s="93" t="s">
        <v>34</v>
      </c>
      <c r="AA27" s="93" t="s">
        <v>35</v>
      </c>
    </row>
    <row r="28" spans="1:27" ht="18" customHeight="1" thickTop="1" thickBot="1" x14ac:dyDescent="0.3">
      <c r="A28" s="195"/>
      <c r="B28" s="195"/>
      <c r="C28" s="144"/>
      <c r="D28" s="90">
        <f>IF(C26="",O24,IF(D26&lt;=0,O24,O24+C28))</f>
        <v>0</v>
      </c>
      <c r="E28" s="100">
        <f>P24</f>
        <v>2.5</v>
      </c>
      <c r="F28" s="13" t="s">
        <v>7</v>
      </c>
      <c r="G28" s="103">
        <f xml:space="preserve"> IF($B$3="하",0,IF(MROUND(K25/5,1)&lt;=H25,IF(MROUND(K25/5,1)&gt;=F25,MROUND(K25/5,1),F25),H25))</f>
        <v>5</v>
      </c>
      <c r="H28" s="104">
        <f>IF(MROUND((K25-G28)/4,1)&lt;=H25,IF(MROUND((K25-G28)/4,1)&gt;=F25,MROUND((K25-G28)/4,1),F25),H25)</f>
        <v>5</v>
      </c>
      <c r="I28" s="104">
        <f>IF(MROUND((K25-G28-H28)/3,1)&lt;=H25,IF(MROUND((K25-G28-H28)/3,1)&gt;=F25,MROUND((K25-G28-H28)/3,1),F25),H25)</f>
        <v>5</v>
      </c>
      <c r="J28" s="104">
        <f>IF(MROUND((K25-G28-H28-I28)/2,1)&lt;=H25,IF((K25-G28-H28-I28)/2&gt;=F25,MROUND((K25-G28-H28-I28)/2,1),K25-G28-H28-I28),H25)</f>
        <v>5</v>
      </c>
      <c r="K28" s="105">
        <f>IF((K25-(G28+H28+I28+J28))&gt;0,(K25-(G28+H28+I28+J28)),0)</f>
        <v>5</v>
      </c>
      <c r="L28" s="101">
        <f>SUM(G28:K28)</f>
        <v>25</v>
      </c>
      <c r="M28" s="195"/>
      <c r="N28" s="144"/>
      <c r="O28" s="90">
        <f>IF(""=N26,D28,IF(O26&lt;=0,D28,D28+N28))</f>
        <v>0</v>
      </c>
      <c r="P28" s="102">
        <f>E24</f>
        <v>2.5</v>
      </c>
      <c r="Q28" s="13" t="s">
        <v>7</v>
      </c>
      <c r="R28" s="103">
        <f xml:space="preserve"> IF($B$3="하",0,IF(MROUND(V25/5,1)&lt;=S25,IF(MROUND(V25/5,1)&gt;=Q25,MROUND(V25/5,1),Q25),S25))</f>
        <v>5</v>
      </c>
      <c r="S28" s="104">
        <f>IF(MROUND((V25-R28)/4,1)&lt;=S25,IF(MROUND((V25-R28)/4,1)&gt;=Q25,MROUND((V25-R28)/4,1),Q25),S25)</f>
        <v>5</v>
      </c>
      <c r="T28" s="104">
        <f>IF(MROUND((V25-R28-S28)/3,1)&lt;=S25,IF(MROUND((V25-R28-S28)/3,1)&gt;=Q25,MROUND((V25-R28-S28)/3,1),Q25),S25)</f>
        <v>5</v>
      </c>
      <c r="U28" s="104">
        <f>IF(MROUND((V25-R28-S28-T28)/2,1)&lt;=S25,IF((V25-R28-S28-T28)/2&gt;=Q25,MROUND((V25-R28-S28-T28)/2,1),V25-R28-S28-T28),S25)</f>
        <v>5</v>
      </c>
      <c r="V28" s="105">
        <f>IF((V25-(R28+S28+T28+U28))&gt;0,(V25-(R28+S28+T28+U28)),0)</f>
        <v>5</v>
      </c>
      <c r="W28" s="106">
        <f>SUM(R28:V28)</f>
        <v>25</v>
      </c>
      <c r="X28" s="88" t="s">
        <v>30</v>
      </c>
      <c r="Y28" s="89">
        <f>Y27+Y24+O28-O24</f>
        <v>300</v>
      </c>
      <c r="Z28" s="90">
        <f>ROUNDDOWN((Y24-O24+D28+L28)*$Z$4,0)</f>
        <v>2</v>
      </c>
      <c r="AA28" s="90">
        <f>ROUNDDOWN((Y24+L28-O24+D28)*$AA$4,0)</f>
        <v>19</v>
      </c>
    </row>
    <row r="29" spans="1:27" ht="18" customHeight="1" thickTop="1" thickBot="1" x14ac:dyDescent="0.3">
      <c r="A29" s="193">
        <f>A25+1</f>
        <v>7</v>
      </c>
      <c r="B29" s="193" t="str">
        <f t="shared" ref="B29" ca="1" si="23">IF((L32+Y28)&lt;IF(B$3="하",$AE$8,$AE$6),0,IF((L32+Y28)&gt;IF(B$3="하",$AE$7,$AE$5),"",MAX(B25,M25)+1))</f>
        <v/>
      </c>
      <c r="C29" s="141" t="str">
        <f>"MAX to "&amp;MROUND(IF(IF(AA30-O28&gt;5,5,AA30-O28)&lt;2,J25,J25*(37-IF(AA30-O28&gt;5,5,AA30-O28))/36),E32)</f>
        <v>MAX to 177.5</v>
      </c>
      <c r="D29" s="90" t="str">
        <f>IF(AA30&lt;=O28,"X",IF(Z30&gt;O28,"must ME","can ME"))</f>
        <v>must ME</v>
      </c>
      <c r="E29" s="75" t="s">
        <v>31</v>
      </c>
      <c r="F29" s="23">
        <v>4</v>
      </c>
      <c r="G29" s="2">
        <v>1</v>
      </c>
      <c r="H29" s="23">
        <f>IF(G30&gt;=90%,2,IF(G30&gt;=80%,4,IF(G30&gt;=70%,6,6)))</f>
        <v>6</v>
      </c>
      <c r="I29" s="3" t="s">
        <v>2</v>
      </c>
      <c r="J29" s="91">
        <f>L30/(100%-IF($B$3="하",$AB$8,$AB$6)*L32)/L32</f>
        <v>200.69204152249139</v>
      </c>
      <c r="K29" s="92">
        <f>IF("하"=$B$3,$AC$7,$AC$5)</f>
        <v>25</v>
      </c>
      <c r="L29" s="107" t="s">
        <v>33</v>
      </c>
      <c r="M29" s="193" t="str">
        <f t="shared" ref="M29" ca="1" si="24">IF($Y32&lt;IF(M$3="하",$AE$8,$AE$6),0,IF($Y32&gt;IF(M$3="하",$AE$7,$AE$5),"",MAX(B29,M25)+1))</f>
        <v/>
      </c>
      <c r="N29" s="141" t="str">
        <f>"MAX to "&amp;MROUND(IF(IF(AA32-D32&gt;5,5,AA32-D32)&lt;2,U25,U25*(37-IF(AA32-D32&gt;5,5,AA32-D32))/36),P32)</f>
        <v>MAX to 177.5</v>
      </c>
      <c r="O29" s="90" t="str">
        <f>IF(AA32&lt;=D32,"X",IF(Z32&gt;D32,"must ME","can ME"))</f>
        <v>must ME</v>
      </c>
      <c r="P29" s="75" t="s">
        <v>31</v>
      </c>
      <c r="Q29" s="23">
        <v>4</v>
      </c>
      <c r="R29" s="2" t="s">
        <v>32</v>
      </c>
      <c r="S29" s="23">
        <v>6</v>
      </c>
      <c r="T29" s="3" t="s">
        <v>2</v>
      </c>
      <c r="U29" s="91">
        <f>W30/(100%-IF($B$3="하",$AB$8,$AB$6)*W32)/W32</f>
        <v>200.69204152249139</v>
      </c>
      <c r="V29" s="92">
        <f>IF("하"=$B$3,$AC$8,$AC$6)</f>
        <v>25</v>
      </c>
      <c r="W29" s="108" t="s">
        <v>33</v>
      </c>
      <c r="X29" s="75" t="s">
        <v>25</v>
      </c>
      <c r="Y29" s="76">
        <f>L30+W30</f>
        <v>7250</v>
      </c>
      <c r="Z29" s="93" t="s">
        <v>34</v>
      </c>
      <c r="AA29" s="93" t="s">
        <v>35</v>
      </c>
    </row>
    <row r="30" spans="1:27" ht="18" customHeight="1" thickTop="1" thickBot="1" x14ac:dyDescent="0.3">
      <c r="A30" s="194"/>
      <c r="B30" s="194"/>
      <c r="C30" s="143"/>
      <c r="D30" s="142" t="str">
        <f>IF(C32="","",IF(C30*36/(37-C32)=0,"",C30*36/(37-C32)))</f>
        <v/>
      </c>
      <c r="E30" s="109" t="str">
        <f>E26</f>
        <v>exercise1</v>
      </c>
      <c r="F30" s="18">
        <f>IF(D30="",J25,D30)</f>
        <v>200.69204152249139</v>
      </c>
      <c r="G30" s="94">
        <f>100%-K29*IF($B$3="하",$AB$8,$AB$6)</f>
        <v>0.72249999999999992</v>
      </c>
      <c r="H30" s="7">
        <f t="shared" ref="H30:J31" si="25">G30</f>
        <v>0.72249999999999992</v>
      </c>
      <c r="I30" s="7">
        <f t="shared" si="25"/>
        <v>0.72249999999999992</v>
      </c>
      <c r="J30" s="7">
        <f t="shared" si="25"/>
        <v>0.72249999999999992</v>
      </c>
      <c r="K30" s="8">
        <f>J30</f>
        <v>0.72249999999999992</v>
      </c>
      <c r="L30" s="95">
        <f>G31*G32+H31*H32+I31*I32+J31*J32+K31*K32</f>
        <v>3625</v>
      </c>
      <c r="M30" s="194"/>
      <c r="N30" s="143"/>
      <c r="O30" s="142" t="str">
        <f>IF(N32="","",IF(N30*36/(37-N32)=0,"",N30*36/(37-N32)))</f>
        <v/>
      </c>
      <c r="P30" s="109" t="str">
        <f>P26</f>
        <v>exercise2</v>
      </c>
      <c r="Q30" s="18">
        <f>IF(O30="",U25,O30)</f>
        <v>200.69204152249139</v>
      </c>
      <c r="R30" s="94">
        <f>100%-V29*IF($B$3="하",$AB$8,$AB$6)</f>
        <v>0.72249999999999992</v>
      </c>
      <c r="S30" s="7">
        <f t="shared" ref="S30:V31" si="26">R30</f>
        <v>0.72249999999999992</v>
      </c>
      <c r="T30" s="7">
        <f t="shared" si="26"/>
        <v>0.72249999999999992</v>
      </c>
      <c r="U30" s="7">
        <f t="shared" si="26"/>
        <v>0.72249999999999992</v>
      </c>
      <c r="V30" s="8">
        <f t="shared" si="26"/>
        <v>0.72249999999999992</v>
      </c>
      <c r="W30" s="96">
        <f>R31*R32+S31*S32+T31*T32+U31*U32+V31*V32</f>
        <v>3625</v>
      </c>
      <c r="X30" s="86" t="s">
        <v>27</v>
      </c>
      <c r="Y30" s="81">
        <f>Y29+Y26</f>
        <v>50750</v>
      </c>
      <c r="Z30" s="90">
        <f>ROUNDDOWN(Y28*$Z$4,0)</f>
        <v>3</v>
      </c>
      <c r="AA30" s="90">
        <f>ROUNDDOWN(Y28*$AA$4,0)</f>
        <v>21</v>
      </c>
    </row>
    <row r="31" spans="1:27" ht="18" customHeight="1" thickTop="1" thickBot="1" x14ac:dyDescent="0.3">
      <c r="A31" s="194"/>
      <c r="B31" s="194"/>
      <c r="C31" s="141" t="str">
        <f>"MAX to "&amp;IF(AA30-O28&gt;5,5,AA30-O28)&amp;"rep"</f>
        <v>MAX to 5rep</v>
      </c>
      <c r="D31" s="97" t="s">
        <v>37</v>
      </c>
      <c r="E31" s="98" t="s">
        <v>5</v>
      </c>
      <c r="F31" s="5" t="s">
        <v>3</v>
      </c>
      <c r="G31" s="18">
        <f>MROUND(G30*F30,E32)</f>
        <v>145</v>
      </c>
      <c r="H31" s="18">
        <f t="shared" si="25"/>
        <v>145</v>
      </c>
      <c r="I31" s="18">
        <f t="shared" si="25"/>
        <v>145</v>
      </c>
      <c r="J31" s="18">
        <f t="shared" si="25"/>
        <v>145</v>
      </c>
      <c r="K31" s="19">
        <f>J31</f>
        <v>145</v>
      </c>
      <c r="L31" s="74" t="s">
        <v>10</v>
      </c>
      <c r="M31" s="194"/>
      <c r="N31" s="141" t="str">
        <f>"MAX to "&amp;IF(AA32-D32&gt;5,5,AA32-D32)&amp;" rep"</f>
        <v>MAX to 5 rep</v>
      </c>
      <c r="O31" s="97" t="s">
        <v>37</v>
      </c>
      <c r="P31" s="86" t="s">
        <v>5</v>
      </c>
      <c r="Q31" s="5" t="s">
        <v>3</v>
      </c>
      <c r="R31" s="18">
        <f>MROUND(R30*Q30,P32)</f>
        <v>145</v>
      </c>
      <c r="S31" s="18">
        <f t="shared" si="26"/>
        <v>145</v>
      </c>
      <c r="T31" s="18">
        <f t="shared" si="26"/>
        <v>145</v>
      </c>
      <c r="U31" s="18">
        <f t="shared" si="26"/>
        <v>145</v>
      </c>
      <c r="V31" s="19">
        <f t="shared" si="26"/>
        <v>145</v>
      </c>
      <c r="W31" s="99" t="s">
        <v>10</v>
      </c>
      <c r="X31" s="86" t="s">
        <v>28</v>
      </c>
      <c r="Y31" s="87">
        <f>L32+W32</f>
        <v>50</v>
      </c>
      <c r="Z31" s="93" t="s">
        <v>34</v>
      </c>
      <c r="AA31" s="93" t="s">
        <v>35</v>
      </c>
    </row>
    <row r="32" spans="1:27" ht="18" customHeight="1" thickTop="1" thickBot="1" x14ac:dyDescent="0.3">
      <c r="A32" s="195"/>
      <c r="B32" s="195"/>
      <c r="C32" s="144"/>
      <c r="D32" s="90">
        <f>IF(C30="",O28,IF(D30&lt;=0,O28,O28+C32))</f>
        <v>0</v>
      </c>
      <c r="E32" s="100">
        <f>P28</f>
        <v>2.5</v>
      </c>
      <c r="F32" s="13" t="s">
        <v>7</v>
      </c>
      <c r="G32" s="103">
        <f xml:space="preserve"> IF($B$3="하",0,IF(MROUND(K29/5,1)&lt;=H29,IF(MROUND(K29/5,1)&gt;=F29,MROUND(K29/5,1),F29),H29))</f>
        <v>5</v>
      </c>
      <c r="H32" s="104">
        <f>IF(MROUND((K29-G32)/4,1)&lt;=H29,IF(MROUND((K29-G32)/4,1)&gt;=F29,MROUND((K29-G32)/4,1),F29),H29)</f>
        <v>5</v>
      </c>
      <c r="I32" s="104">
        <f>IF(MROUND((K29-G32-H32)/3,1)&lt;=H29,IF(MROUND((K29-G32-H32)/3,1)&gt;=F29,MROUND((K29-G32-H32)/3,1),F29),H29)</f>
        <v>5</v>
      </c>
      <c r="J32" s="104">
        <f>IF(MROUND((K29-G32-H32-I32)/2,1)&lt;=H29,IF((K29-G32-H32-I32)/2&gt;=F29,MROUND((K29-G32-H32-I32)/2,1),K29-G32-H32-I32),H29)</f>
        <v>5</v>
      </c>
      <c r="K32" s="105">
        <f>IF((K29-(G32+H32+I32+J32))&gt;0,(K29-(G32+H32+I32+J32)),0)</f>
        <v>5</v>
      </c>
      <c r="L32" s="101">
        <f>SUM(G32:K32)</f>
        <v>25</v>
      </c>
      <c r="M32" s="195"/>
      <c r="N32" s="144"/>
      <c r="O32" s="90">
        <f>IF(""=N30,D32,IF(O30&lt;=0,D32,D32+N32))</f>
        <v>0</v>
      </c>
      <c r="P32" s="102">
        <f>E28</f>
        <v>2.5</v>
      </c>
      <c r="Q32" s="13" t="s">
        <v>7</v>
      </c>
      <c r="R32" s="103">
        <f xml:space="preserve"> IF($B$3="하",0,IF(MROUND(V29/5,1)&lt;=S29,IF(MROUND(V29/5,1)&gt;=Q29,MROUND(V29/5,1),Q29),S29))</f>
        <v>5</v>
      </c>
      <c r="S32" s="104">
        <f>IF(MROUND((V29-R32)/4,1)&lt;=S29,IF(MROUND((V29-R32)/4,1)&gt;=Q29,MROUND((V29-R32)/4,1),Q29),S29)</f>
        <v>5</v>
      </c>
      <c r="T32" s="104">
        <f>IF(MROUND((V29-R32-S32)/3,1)&lt;=S29,IF(MROUND((V29-R32-S32)/3,1)&gt;=Q29,MROUND((V29-R32-S32)/3,1),Q29),S29)</f>
        <v>5</v>
      </c>
      <c r="U32" s="104">
        <f>IF(MROUND((V29-R32-S32-T32)/2,1)&lt;=S29,IF((V29-R32-S32-T32)/2&gt;=Q29,MROUND((V29-R32-S32-T32)/2,1),V29-R32-S32-T32),S29)</f>
        <v>5</v>
      </c>
      <c r="V32" s="105">
        <f>IF((V29-(R32+S32+T32+U32))&gt;0,(V29-(R32+S32+T32+U32)),0)</f>
        <v>5</v>
      </c>
      <c r="W32" s="106">
        <f>SUM(R32:V32)</f>
        <v>25</v>
      </c>
      <c r="X32" s="88" t="s">
        <v>30</v>
      </c>
      <c r="Y32" s="89">
        <f>Y31+Y28+O32-O28</f>
        <v>350</v>
      </c>
      <c r="Z32" s="90">
        <f>ROUNDDOWN((Y28-O28+D32+L32)*$Z$4,0)</f>
        <v>3</v>
      </c>
      <c r="AA32" s="90">
        <f>ROUNDDOWN((Y28+L32-O28+D32)*$AA$4,0)</f>
        <v>22</v>
      </c>
    </row>
    <row r="33" spans="1:27" ht="18" customHeight="1" thickTop="1" thickBot="1" x14ac:dyDescent="0.3">
      <c r="A33" s="193">
        <f>A29+1</f>
        <v>8</v>
      </c>
      <c r="B33" s="193" t="str">
        <f t="shared" ref="B33" ca="1" si="27">IF((L36+Y32)&lt;IF(B$3="하",$AE$8,$AE$6),0,IF((L36+Y32)&gt;IF(B$3="하",$AE$7,$AE$5),"",MAX(B29,M29)+1))</f>
        <v/>
      </c>
      <c r="C33" s="141" t="str">
        <f>"MAX to "&amp;MROUND(IF(IF(AA34-O32&gt;5,5,AA34-O32)&lt;2,J29,J29*(37-IF(AA34-O32&gt;5,5,AA34-O32))/36),E36)</f>
        <v>MAX to 177.5</v>
      </c>
      <c r="D33" s="90" t="str">
        <f>IF(AA34&lt;=O32,"X",IF(Z34&gt;O32,"must ME","can ME"))</f>
        <v>must ME</v>
      </c>
      <c r="E33" s="75" t="s">
        <v>31</v>
      </c>
      <c r="F33" s="23">
        <v>4</v>
      </c>
      <c r="G33" s="2">
        <v>1</v>
      </c>
      <c r="H33" s="23">
        <f>IF(G34&gt;=90%,2,IF(G34&gt;=80%,4,IF(G34&gt;=70%,6,6)))</f>
        <v>6</v>
      </c>
      <c r="I33" s="3" t="s">
        <v>2</v>
      </c>
      <c r="J33" s="91">
        <f>L34/(100%-IF($B$3="하",$AB$8,$AB$6)*L36)/L36</f>
        <v>200.69204152249139</v>
      </c>
      <c r="K33" s="92">
        <f>IF("하"=$B$3,$AC$7,$AC$5)</f>
        <v>25</v>
      </c>
      <c r="L33" s="107" t="s">
        <v>33</v>
      </c>
      <c r="M33" s="193" t="str">
        <f t="shared" ref="M33" ca="1" si="28">IF($Y36&lt;IF(M$3="하",$AE$8,$AE$6),0,IF($Y36&gt;IF(M$3="하",$AE$7,$AE$5),"",MAX(B33,M29)+1))</f>
        <v/>
      </c>
      <c r="N33" s="141" t="str">
        <f>"MAX to "&amp;MROUND(IF(IF(AA36-D36&gt;5,5,AA36-D36)&lt;2,U29,U29*(37-IF(AA36-D36&gt;5,5,AA36-D36))/36),P36)</f>
        <v>MAX to 177.5</v>
      </c>
      <c r="O33" s="90" t="str">
        <f>IF(AA36&lt;=D36,"X",IF(Z36&gt;D36,"must ME","can ME"))</f>
        <v>must ME</v>
      </c>
      <c r="P33" s="75" t="s">
        <v>31</v>
      </c>
      <c r="Q33" s="23">
        <v>4</v>
      </c>
      <c r="R33" s="2" t="s">
        <v>32</v>
      </c>
      <c r="S33" s="23">
        <v>6</v>
      </c>
      <c r="T33" s="3" t="s">
        <v>2</v>
      </c>
      <c r="U33" s="91">
        <f>W34/(100%-IF($B$3="하",$AB$8,$AB$6)*W36)/W36</f>
        <v>200.69204152249139</v>
      </c>
      <c r="V33" s="92">
        <f>IF("하"=$B$3,$AC$8,$AC$6)</f>
        <v>25</v>
      </c>
      <c r="W33" s="108" t="s">
        <v>33</v>
      </c>
      <c r="X33" s="75" t="s">
        <v>25</v>
      </c>
      <c r="Y33" s="76">
        <f>L34+W34</f>
        <v>7250</v>
      </c>
      <c r="Z33" s="93" t="s">
        <v>34</v>
      </c>
      <c r="AA33" s="93" t="s">
        <v>35</v>
      </c>
    </row>
    <row r="34" spans="1:27" ht="18" customHeight="1" thickTop="1" thickBot="1" x14ac:dyDescent="0.3">
      <c r="A34" s="194"/>
      <c r="B34" s="194"/>
      <c r="C34" s="143"/>
      <c r="D34" s="142" t="str">
        <f>IF(C36="","",IF(C34*36/(37-C36)=0,"",C34*36/(37-C36)))</f>
        <v/>
      </c>
      <c r="E34" s="109" t="str">
        <f>E30</f>
        <v>exercise1</v>
      </c>
      <c r="F34" s="18">
        <f>IF(D34="",J29,D34)</f>
        <v>200.69204152249139</v>
      </c>
      <c r="G34" s="94">
        <f>100%-K33*IF($B$3="하",$AB$8,$AB$6)</f>
        <v>0.72249999999999992</v>
      </c>
      <c r="H34" s="7">
        <f t="shared" ref="H34:J35" si="29">G34</f>
        <v>0.72249999999999992</v>
      </c>
      <c r="I34" s="7">
        <f t="shared" si="29"/>
        <v>0.72249999999999992</v>
      </c>
      <c r="J34" s="7">
        <f t="shared" si="29"/>
        <v>0.72249999999999992</v>
      </c>
      <c r="K34" s="8">
        <f>J34</f>
        <v>0.72249999999999992</v>
      </c>
      <c r="L34" s="95">
        <f>G35*G36+H35*H36+I35*I36+J35*J36+K35*K36</f>
        <v>3625</v>
      </c>
      <c r="M34" s="194"/>
      <c r="N34" s="143"/>
      <c r="O34" s="142" t="str">
        <f>IF(N36="","",IF(N34*36/(37-N36)=0,"",N34*36/(37-N36)))</f>
        <v/>
      </c>
      <c r="P34" s="109" t="str">
        <f>P30</f>
        <v>exercise2</v>
      </c>
      <c r="Q34" s="18">
        <f>IF(O34="",U29,O34)</f>
        <v>200.69204152249139</v>
      </c>
      <c r="R34" s="94">
        <f>100%-V33*IF($B$3="하",$AB$8,$AB$6)</f>
        <v>0.72249999999999992</v>
      </c>
      <c r="S34" s="7">
        <f t="shared" ref="S34:V35" si="30">R34</f>
        <v>0.72249999999999992</v>
      </c>
      <c r="T34" s="7">
        <f t="shared" si="30"/>
        <v>0.72249999999999992</v>
      </c>
      <c r="U34" s="7">
        <f t="shared" si="30"/>
        <v>0.72249999999999992</v>
      </c>
      <c r="V34" s="8">
        <f t="shared" si="30"/>
        <v>0.72249999999999992</v>
      </c>
      <c r="W34" s="96">
        <f>R35*R36+S35*S36+T35*T36+U35*U36+V35*V36</f>
        <v>3625</v>
      </c>
      <c r="X34" s="86" t="s">
        <v>27</v>
      </c>
      <c r="Y34" s="81">
        <f>Y33+Y30</f>
        <v>58000</v>
      </c>
      <c r="Z34" s="90">
        <f>ROUNDDOWN(Y32*$Z$4,0)</f>
        <v>3</v>
      </c>
      <c r="AA34" s="90">
        <f>ROUNDDOWN(Y32*$AA$4,0)</f>
        <v>24</v>
      </c>
    </row>
    <row r="35" spans="1:27" ht="18" customHeight="1" thickTop="1" thickBot="1" x14ac:dyDescent="0.3">
      <c r="A35" s="194"/>
      <c r="B35" s="194"/>
      <c r="C35" s="141" t="str">
        <f>"MAX to "&amp;IF(AA34-O32&gt;5,5,AA34-O32)&amp;"rep"</f>
        <v>MAX to 5rep</v>
      </c>
      <c r="D35" s="97" t="s">
        <v>37</v>
      </c>
      <c r="E35" s="98" t="s">
        <v>5</v>
      </c>
      <c r="F35" s="5" t="s">
        <v>3</v>
      </c>
      <c r="G35" s="18">
        <f>MROUND(G34*F34,E36)</f>
        <v>145</v>
      </c>
      <c r="H35" s="18">
        <f t="shared" si="29"/>
        <v>145</v>
      </c>
      <c r="I35" s="18">
        <f t="shared" si="29"/>
        <v>145</v>
      </c>
      <c r="J35" s="18">
        <f t="shared" si="29"/>
        <v>145</v>
      </c>
      <c r="K35" s="19">
        <f>J35</f>
        <v>145</v>
      </c>
      <c r="L35" s="74" t="s">
        <v>10</v>
      </c>
      <c r="M35" s="194"/>
      <c r="N35" s="141" t="str">
        <f>"MAX to "&amp;IF(AA36-D36&gt;5,5,AA36-D36)&amp;" rep"</f>
        <v>MAX to 5 rep</v>
      </c>
      <c r="O35" s="97" t="s">
        <v>37</v>
      </c>
      <c r="P35" s="86" t="s">
        <v>5</v>
      </c>
      <c r="Q35" s="5" t="s">
        <v>3</v>
      </c>
      <c r="R35" s="18">
        <f>MROUND(R34*Q34,P36)</f>
        <v>145</v>
      </c>
      <c r="S35" s="18">
        <f t="shared" si="30"/>
        <v>145</v>
      </c>
      <c r="T35" s="18">
        <f t="shared" si="30"/>
        <v>145</v>
      </c>
      <c r="U35" s="18">
        <f t="shared" si="30"/>
        <v>145</v>
      </c>
      <c r="V35" s="19">
        <f t="shared" si="30"/>
        <v>145</v>
      </c>
      <c r="W35" s="99" t="s">
        <v>10</v>
      </c>
      <c r="X35" s="86" t="s">
        <v>28</v>
      </c>
      <c r="Y35" s="87">
        <f>L36+W36</f>
        <v>50</v>
      </c>
      <c r="Z35" s="93" t="s">
        <v>34</v>
      </c>
      <c r="AA35" s="93" t="s">
        <v>35</v>
      </c>
    </row>
    <row r="36" spans="1:27" ht="18" customHeight="1" thickTop="1" thickBot="1" x14ac:dyDescent="0.3">
      <c r="A36" s="195"/>
      <c r="B36" s="195"/>
      <c r="C36" s="144"/>
      <c r="D36" s="90">
        <f>IF(C34="",O32,IF(D34&lt;=0,O32,O32+C36))</f>
        <v>0</v>
      </c>
      <c r="E36" s="100">
        <f>P32</f>
        <v>2.5</v>
      </c>
      <c r="F36" s="13" t="s">
        <v>7</v>
      </c>
      <c r="G36" s="103">
        <f xml:space="preserve"> IF($B$3="하",0,IF(MROUND(K33/5,1)&lt;=H33,IF(MROUND(K33/5,1)&gt;=F33,MROUND(K33/5,1),F33),H33))</f>
        <v>5</v>
      </c>
      <c r="H36" s="104">
        <f>IF(MROUND((K33-G36)/4,1)&lt;=H33,IF(MROUND((K33-G36)/4,1)&gt;=F33,MROUND((K33-G36)/4,1),F33),H33)</f>
        <v>5</v>
      </c>
      <c r="I36" s="104">
        <f>IF(MROUND((K33-G36-H36)/3,1)&lt;=H33,IF(MROUND((K33-G36-H36)/3,1)&gt;=F33,MROUND((K33-G36-H36)/3,1),F33),H33)</f>
        <v>5</v>
      </c>
      <c r="J36" s="104">
        <f>IF(MROUND((K33-G36-H36-I36)/2,1)&lt;=H33,IF((K33-G36-H36-I36)/2&gt;=F33,MROUND((K33-G36-H36-I36)/2,1),K33-G36-H36-I36),H33)</f>
        <v>5</v>
      </c>
      <c r="K36" s="105">
        <f>IF((K33-(G36+H36+I36+J36))&gt;0,(K33-(G36+H36+I36+J36)),0)</f>
        <v>5</v>
      </c>
      <c r="L36" s="101">
        <f>SUM(G36:K36)</f>
        <v>25</v>
      </c>
      <c r="M36" s="195"/>
      <c r="N36" s="144"/>
      <c r="O36" s="90">
        <f>IF(""=N34,D36,IF(O34&lt;=0,D36,D36+N36))</f>
        <v>0</v>
      </c>
      <c r="P36" s="102">
        <f>E32</f>
        <v>2.5</v>
      </c>
      <c r="Q36" s="13" t="s">
        <v>7</v>
      </c>
      <c r="R36" s="103">
        <f xml:space="preserve"> IF($B$3="하",0,IF(MROUND(V33/5,1)&lt;=S33,IF(MROUND(V33/5,1)&gt;=Q33,MROUND(V33/5,1),Q33),S33))</f>
        <v>5</v>
      </c>
      <c r="S36" s="104">
        <f>IF(MROUND((V33-R36)/4,1)&lt;=S33,IF(MROUND((V33-R36)/4,1)&gt;=Q33,MROUND((V33-R36)/4,1),Q33),S33)</f>
        <v>5</v>
      </c>
      <c r="T36" s="104">
        <f>IF(MROUND((V33-R36-S36)/3,1)&lt;=S33,IF(MROUND((V33-R36-S36)/3,1)&gt;=Q33,MROUND((V33-R36-S36)/3,1),Q33),S33)</f>
        <v>5</v>
      </c>
      <c r="U36" s="104">
        <f>IF(MROUND((V33-R36-S36-T36)/2,1)&lt;=S33,IF((V33-R36-S36-T36)/2&gt;=Q33,MROUND((V33-R36-S36-T36)/2,1),V33-R36-S36-T36),S33)</f>
        <v>5</v>
      </c>
      <c r="V36" s="105">
        <f>IF((V33-(R36+S36+T36+U36))&gt;0,(V33-(R36+S36+T36+U36)),0)</f>
        <v>5</v>
      </c>
      <c r="W36" s="106">
        <f>SUM(R36:V36)</f>
        <v>25</v>
      </c>
      <c r="X36" s="88" t="s">
        <v>30</v>
      </c>
      <c r="Y36" s="89">
        <f>Y35+Y32+O36-O32</f>
        <v>400</v>
      </c>
      <c r="Z36" s="90">
        <f>ROUNDDOWN((Y32-O32+D36+L36)*$Z$4,0)</f>
        <v>3</v>
      </c>
      <c r="AA36" s="90">
        <f>ROUNDDOWN((Y32+L36-O32+D36)*$AA$4,0)</f>
        <v>26</v>
      </c>
    </row>
    <row r="37" spans="1:27" ht="18" customHeight="1" thickTop="1" thickBot="1" x14ac:dyDescent="0.3">
      <c r="A37" s="193">
        <f>A33+1</f>
        <v>9</v>
      </c>
      <c r="B37" s="193" t="str">
        <f t="shared" ref="B37" ca="1" si="31">IF((L40+Y36)&lt;IF(B$3="하",$AE$8,$AE$6),0,IF((L40+Y36)&gt;IF(B$3="하",$AE$7,$AE$5),"",MAX(B33,M33)+1))</f>
        <v/>
      </c>
      <c r="C37" s="141" t="str">
        <f>"MAX to "&amp;MROUND(IF(IF(AA38-O36&gt;5,5,AA38-O36)&lt;2,J33,J33*(37-IF(AA38-O36&gt;5,5,AA38-O36))/36),E40)</f>
        <v>MAX to 177.5</v>
      </c>
      <c r="D37" s="90" t="str">
        <f>IF(AA38&lt;=O36,"X",IF(Z38&gt;O36,"must ME","can ME"))</f>
        <v>must ME</v>
      </c>
      <c r="E37" s="75" t="s">
        <v>31</v>
      </c>
      <c r="F37" s="23">
        <v>4</v>
      </c>
      <c r="G37" s="2">
        <v>1</v>
      </c>
      <c r="H37" s="23">
        <f>IF(G38&gt;=90%,2,IF(G38&gt;=80%,4,IF(G38&gt;=70%,6,6)))</f>
        <v>6</v>
      </c>
      <c r="I37" s="3" t="s">
        <v>2</v>
      </c>
      <c r="J37" s="91">
        <f>L38/(100%-IF($B$3="하",$AB$8,$AB$6)*L40)/L40</f>
        <v>200.69204152249139</v>
      </c>
      <c r="K37" s="92">
        <f>IF("하"=$B$3,$AC$7,$AC$5)</f>
        <v>25</v>
      </c>
      <c r="L37" s="107" t="s">
        <v>33</v>
      </c>
      <c r="M37" s="193" t="str">
        <f t="shared" ref="M37" ca="1" si="32">IF($Y40&lt;IF(M$3="하",$AE$8,$AE$6),0,IF($Y40&gt;IF(M$3="하",$AE$7,$AE$5),"",MAX(B37,M33)+1))</f>
        <v/>
      </c>
      <c r="N37" s="141" t="str">
        <f>"MAX to "&amp;MROUND(IF(IF(AA40-D40&gt;5,5,AA40-D40)&lt;2,U33,U33*(37-IF(AA40-D40&gt;5,5,AA40-D40))/36),P40)</f>
        <v>MAX to 177.5</v>
      </c>
      <c r="O37" s="90" t="str">
        <f>IF(AA40&lt;=D40,"X",IF(Z40&gt;D40,"must ME","can ME"))</f>
        <v>must ME</v>
      </c>
      <c r="P37" s="75" t="s">
        <v>31</v>
      </c>
      <c r="Q37" s="23">
        <v>4</v>
      </c>
      <c r="R37" s="2" t="s">
        <v>32</v>
      </c>
      <c r="S37" s="23">
        <v>6</v>
      </c>
      <c r="T37" s="3" t="s">
        <v>2</v>
      </c>
      <c r="U37" s="91">
        <f>W38/(100%-IF($B$3="하",$AB$8,$AB$6)*W40)/W40</f>
        <v>200.69204152249139</v>
      </c>
      <c r="V37" s="92">
        <f>IF("하"=$B$3,$AC$8,$AC$6)</f>
        <v>25</v>
      </c>
      <c r="W37" s="108" t="s">
        <v>33</v>
      </c>
      <c r="X37" s="75" t="s">
        <v>25</v>
      </c>
      <c r="Y37" s="76">
        <f>L38+W38</f>
        <v>7250</v>
      </c>
      <c r="Z37" s="93" t="s">
        <v>34</v>
      </c>
      <c r="AA37" s="93" t="s">
        <v>35</v>
      </c>
    </row>
    <row r="38" spans="1:27" ht="18" customHeight="1" thickTop="1" thickBot="1" x14ac:dyDescent="0.3">
      <c r="A38" s="194"/>
      <c r="B38" s="194"/>
      <c r="C38" s="143"/>
      <c r="D38" s="142" t="str">
        <f>IF(C40="","",IF(C38*36/(37-C40)=0,"",C38*36/(37-C40)))</f>
        <v/>
      </c>
      <c r="E38" s="109" t="str">
        <f>E34</f>
        <v>exercise1</v>
      </c>
      <c r="F38" s="18">
        <f>IF(D38="",J33,D38)</f>
        <v>200.69204152249139</v>
      </c>
      <c r="G38" s="94">
        <f>100%-K37*IF($B$3="하",$AB$8,$AB$6)</f>
        <v>0.72249999999999992</v>
      </c>
      <c r="H38" s="7">
        <f t="shared" ref="H38:J39" si="33">G38</f>
        <v>0.72249999999999992</v>
      </c>
      <c r="I38" s="7">
        <f t="shared" si="33"/>
        <v>0.72249999999999992</v>
      </c>
      <c r="J38" s="7">
        <f t="shared" si="33"/>
        <v>0.72249999999999992</v>
      </c>
      <c r="K38" s="8">
        <f>J38</f>
        <v>0.72249999999999992</v>
      </c>
      <c r="L38" s="95">
        <f>G39*G40+H39*H40+I39*I40+J39*J40+K39*K40</f>
        <v>3625</v>
      </c>
      <c r="M38" s="194"/>
      <c r="N38" s="143"/>
      <c r="O38" s="142" t="str">
        <f>IF(N40="","",IF(N38*36/(37-N40)=0,"",N38*36/(37-N40)))</f>
        <v/>
      </c>
      <c r="P38" s="109" t="str">
        <f>P34</f>
        <v>exercise2</v>
      </c>
      <c r="Q38" s="18">
        <f>IF(O38="",U33,O38)</f>
        <v>200.69204152249139</v>
      </c>
      <c r="R38" s="94">
        <f>100%-V37*IF($B$3="하",$AB$8,$AB$6)</f>
        <v>0.72249999999999992</v>
      </c>
      <c r="S38" s="7">
        <f t="shared" ref="S38:V39" si="34">R38</f>
        <v>0.72249999999999992</v>
      </c>
      <c r="T38" s="7">
        <f t="shared" si="34"/>
        <v>0.72249999999999992</v>
      </c>
      <c r="U38" s="7">
        <f t="shared" si="34"/>
        <v>0.72249999999999992</v>
      </c>
      <c r="V38" s="8">
        <f t="shared" si="34"/>
        <v>0.72249999999999992</v>
      </c>
      <c r="W38" s="96">
        <f>R39*R40+S39*S40+T39*T40+U39*U40+V39*V40</f>
        <v>3625</v>
      </c>
      <c r="X38" s="86" t="s">
        <v>27</v>
      </c>
      <c r="Y38" s="81">
        <f>Y37+Y34</f>
        <v>65250</v>
      </c>
      <c r="Z38" s="90">
        <f>ROUNDDOWN(Y36*$Z$4,0)</f>
        <v>4</v>
      </c>
      <c r="AA38" s="90">
        <f>ROUNDDOWN(Y36*$AA$4,0)</f>
        <v>28</v>
      </c>
    </row>
    <row r="39" spans="1:27" ht="18" customHeight="1" thickTop="1" thickBot="1" x14ac:dyDescent="0.3">
      <c r="A39" s="194"/>
      <c r="B39" s="194"/>
      <c r="C39" s="141" t="str">
        <f>"MAX to "&amp;IF(AA38-O36&gt;5,5,AA38-O36)&amp;"rep"</f>
        <v>MAX to 5rep</v>
      </c>
      <c r="D39" s="97" t="s">
        <v>37</v>
      </c>
      <c r="E39" s="98" t="s">
        <v>5</v>
      </c>
      <c r="F39" s="5" t="s">
        <v>3</v>
      </c>
      <c r="G39" s="18">
        <f>MROUND(G38*F38,E40)</f>
        <v>145</v>
      </c>
      <c r="H39" s="18">
        <f t="shared" si="33"/>
        <v>145</v>
      </c>
      <c r="I39" s="18">
        <f t="shared" si="33"/>
        <v>145</v>
      </c>
      <c r="J39" s="18">
        <f t="shared" si="33"/>
        <v>145</v>
      </c>
      <c r="K39" s="19">
        <f>J39</f>
        <v>145</v>
      </c>
      <c r="L39" s="74" t="s">
        <v>10</v>
      </c>
      <c r="M39" s="194"/>
      <c r="N39" s="141" t="str">
        <f>"MAX to "&amp;IF(AA40-D40&gt;5,5,AA40-D40)&amp;" rep"</f>
        <v>MAX to 5 rep</v>
      </c>
      <c r="O39" s="97" t="s">
        <v>37</v>
      </c>
      <c r="P39" s="86" t="s">
        <v>5</v>
      </c>
      <c r="Q39" s="5" t="s">
        <v>3</v>
      </c>
      <c r="R39" s="18">
        <f>MROUND(R38*Q38,P40)</f>
        <v>145</v>
      </c>
      <c r="S39" s="18">
        <f t="shared" si="34"/>
        <v>145</v>
      </c>
      <c r="T39" s="18">
        <f t="shared" si="34"/>
        <v>145</v>
      </c>
      <c r="U39" s="18">
        <f t="shared" si="34"/>
        <v>145</v>
      </c>
      <c r="V39" s="19">
        <f t="shared" si="34"/>
        <v>145</v>
      </c>
      <c r="W39" s="99" t="s">
        <v>10</v>
      </c>
      <c r="X39" s="86" t="s">
        <v>28</v>
      </c>
      <c r="Y39" s="87">
        <f>L40+W40</f>
        <v>50</v>
      </c>
      <c r="Z39" s="93" t="s">
        <v>34</v>
      </c>
      <c r="AA39" s="93" t="s">
        <v>35</v>
      </c>
    </row>
    <row r="40" spans="1:27" ht="18" customHeight="1" thickTop="1" thickBot="1" x14ac:dyDescent="0.3">
      <c r="A40" s="195"/>
      <c r="B40" s="195"/>
      <c r="C40" s="144"/>
      <c r="D40" s="90">
        <f>IF(C38="",O36,IF(D38&lt;=0,O36,O36+C40))</f>
        <v>0</v>
      </c>
      <c r="E40" s="100">
        <f>P36</f>
        <v>2.5</v>
      </c>
      <c r="F40" s="13" t="s">
        <v>7</v>
      </c>
      <c r="G40" s="103">
        <f xml:space="preserve"> IF($B$3="하",0,IF(MROUND(K37/5,1)&lt;=H37,IF(MROUND(K37/5,1)&gt;=F37,MROUND(K37/5,1),F37),H37))</f>
        <v>5</v>
      </c>
      <c r="H40" s="104">
        <f>IF(MROUND((K37-G40)/4,1)&lt;=H37,IF(MROUND((K37-G40)/4,1)&gt;=F37,MROUND((K37-G40)/4,1),F37),H37)</f>
        <v>5</v>
      </c>
      <c r="I40" s="104">
        <f>IF(MROUND((K37-G40-H40)/3,1)&lt;=H37,IF(MROUND((K37-G40-H40)/3,1)&gt;=F37,MROUND((K37-G40-H40)/3,1),F37),H37)</f>
        <v>5</v>
      </c>
      <c r="J40" s="104">
        <f>IF(MROUND((K37-G40-H40-I40)/2,1)&lt;=H37,IF((K37-G40-H40-I40)/2&gt;=F37,MROUND((K37-G40-H40-I40)/2,1),K37-G40-H40-I40),H37)</f>
        <v>5</v>
      </c>
      <c r="K40" s="105">
        <f>IF((K37-(G40+H40+I40+J40))&gt;0,(K37-(G40+H40+I40+J40)),0)</f>
        <v>5</v>
      </c>
      <c r="L40" s="101">
        <f>SUM(G40:K40)</f>
        <v>25</v>
      </c>
      <c r="M40" s="195"/>
      <c r="N40" s="144"/>
      <c r="O40" s="90">
        <f>IF(""=N38,D40,IF(O38&lt;=0,D40,D40+N40))</f>
        <v>0</v>
      </c>
      <c r="P40" s="102">
        <f>E36</f>
        <v>2.5</v>
      </c>
      <c r="Q40" s="13" t="s">
        <v>7</v>
      </c>
      <c r="R40" s="103">
        <f xml:space="preserve"> IF($B$3="하",0,IF(MROUND(V37/5,1)&lt;=S37,IF(MROUND(V37/5,1)&gt;=Q37,MROUND(V37/5,1),Q37),S37))</f>
        <v>5</v>
      </c>
      <c r="S40" s="104">
        <f>IF(MROUND((V37-R40)/4,1)&lt;=S37,IF(MROUND((V37-R40)/4,1)&gt;=Q37,MROUND((V37-R40)/4,1),Q37),S37)</f>
        <v>5</v>
      </c>
      <c r="T40" s="104">
        <f>IF(MROUND((V37-R40-S40)/3,1)&lt;=S37,IF(MROUND((V37-R40-S40)/3,1)&gt;=Q37,MROUND((V37-R40-S40)/3,1),Q37),S37)</f>
        <v>5</v>
      </c>
      <c r="U40" s="104">
        <f>IF(MROUND((V37-R40-S40-T40)/2,1)&lt;=S37,IF((V37-R40-S40-T40)/2&gt;=Q37,MROUND((V37-R40-S40-T40)/2,1),V37-R40-S40-T40),S37)</f>
        <v>5</v>
      </c>
      <c r="V40" s="105">
        <f>IF((V37-(R40+S40+T40+U40))&gt;0,(V37-(R40+S40+T40+U40)),0)</f>
        <v>5</v>
      </c>
      <c r="W40" s="106">
        <f>SUM(R40:V40)</f>
        <v>25</v>
      </c>
      <c r="X40" s="88" t="s">
        <v>30</v>
      </c>
      <c r="Y40" s="89">
        <f>Y39+Y36+O40-O36</f>
        <v>450</v>
      </c>
      <c r="Z40" s="90">
        <f>ROUNDDOWN((Y36-O36+D40+L40)*$Z$4,0)</f>
        <v>4</v>
      </c>
      <c r="AA40" s="90">
        <f>ROUNDDOWN((Y36+L40-O36+D40)*$AA$4,0)</f>
        <v>29</v>
      </c>
    </row>
    <row r="41" spans="1:27" ht="18" customHeight="1" thickTop="1" thickBot="1" x14ac:dyDescent="0.3">
      <c r="A41" s="205">
        <f>A37+1</f>
        <v>10</v>
      </c>
      <c r="B41" s="193" t="str">
        <f t="shared" ref="B41" ca="1" si="35">IF((L44+Y40)&lt;IF(B$3="하",$AE$8,$AE$6),0,IF((L44+Y40)&gt;IF(B$3="하",$AE$7,$AE$5),"",MAX(B37,M37)+1))</f>
        <v/>
      </c>
      <c r="C41" s="141" t="str">
        <f>"MAX to "&amp;MROUND(IF(IF(AA42-O40&gt;5,5,AA42-O40)&lt;2,J37,J37*(37-IF(AA42-O40&gt;5,5,AA42-O40))/36),E44)</f>
        <v>MAX to 177.5</v>
      </c>
      <c r="D41" s="90" t="str">
        <f>IF(AA42&lt;=O40,"X",IF(Z42&gt;O40,"must ME","can ME"))</f>
        <v>must ME</v>
      </c>
      <c r="E41" s="75" t="s">
        <v>31</v>
      </c>
      <c r="F41" s="23">
        <v>4</v>
      </c>
      <c r="G41" s="2">
        <v>1</v>
      </c>
      <c r="H41" s="23">
        <f>IF(G42&gt;=90%,2,IF(G42&gt;=80%,4,IF(G42&gt;=70%,6,6)))</f>
        <v>6</v>
      </c>
      <c r="I41" s="3" t="s">
        <v>2</v>
      </c>
      <c r="J41" s="91">
        <f>L42/(100%-IF($B$3="하",$AB$8,$AB$6)*L44)/L44</f>
        <v>200.69204152249139</v>
      </c>
      <c r="K41" s="92">
        <f>IF("하"=$B$3,$AC$7,$AC$5)</f>
        <v>25</v>
      </c>
      <c r="L41" s="107" t="s">
        <v>33</v>
      </c>
      <c r="M41" s="193" t="str">
        <f t="shared" ref="M41" ca="1" si="36">IF($Y44&lt;IF(M$3="하",$AE$8,$AE$6),0,IF($Y44&gt;IF(M$3="하",$AE$7,$AE$5),"",MAX(B41,M37)+1))</f>
        <v/>
      </c>
      <c r="N41" s="141" t="str">
        <f>"MAX to "&amp;MROUND(IF(IF(AA44-D44&gt;5,5,AA44-D44)&lt;2,U37,U37*(37-IF(AA44-D44&gt;5,5,AA44-D44))/36),P44)</f>
        <v>MAX to 177.5</v>
      </c>
      <c r="O41" s="90" t="str">
        <f>IF(AA44&lt;=D44,"X",IF(Z44&gt;D44,"must ME","can ME"))</f>
        <v>must ME</v>
      </c>
      <c r="P41" s="75" t="s">
        <v>31</v>
      </c>
      <c r="Q41" s="23">
        <v>4</v>
      </c>
      <c r="R41" s="2" t="s">
        <v>32</v>
      </c>
      <c r="S41" s="23">
        <v>6</v>
      </c>
      <c r="T41" s="3" t="s">
        <v>2</v>
      </c>
      <c r="U41" s="91">
        <f>W42/(100%-IF($B$3="하",$AB$8,$AB$6)*W44)/W44</f>
        <v>200.69204152249139</v>
      </c>
      <c r="V41" s="92">
        <f>IF("하"=$B$3,$AC$8,$AC$6)</f>
        <v>25</v>
      </c>
      <c r="W41" s="108" t="s">
        <v>33</v>
      </c>
      <c r="X41" s="75" t="s">
        <v>25</v>
      </c>
      <c r="Y41" s="76">
        <f>L42+W42</f>
        <v>7250</v>
      </c>
      <c r="Z41" s="93" t="s">
        <v>34</v>
      </c>
      <c r="AA41" s="93" t="s">
        <v>35</v>
      </c>
    </row>
    <row r="42" spans="1:27" ht="18" customHeight="1" thickTop="1" thickBot="1" x14ac:dyDescent="0.3">
      <c r="A42" s="206"/>
      <c r="B42" s="194"/>
      <c r="C42" s="143"/>
      <c r="D42" s="142" t="str">
        <f>IF(C44="","",IF(C42*36/(37-C44)=0,"",C42*36/(37-C44)))</f>
        <v/>
      </c>
      <c r="E42" s="109" t="str">
        <f>E38</f>
        <v>exercise1</v>
      </c>
      <c r="F42" s="18">
        <f>IF(D42="",J37,D42)</f>
        <v>200.69204152249139</v>
      </c>
      <c r="G42" s="94">
        <f>100%-K41*IF($B$3="하",$AB$8,$AB$6)</f>
        <v>0.72249999999999992</v>
      </c>
      <c r="H42" s="7">
        <f t="shared" ref="H42:J43" si="37">G42</f>
        <v>0.72249999999999992</v>
      </c>
      <c r="I42" s="7">
        <f t="shared" si="37"/>
        <v>0.72249999999999992</v>
      </c>
      <c r="J42" s="7">
        <f t="shared" si="37"/>
        <v>0.72249999999999992</v>
      </c>
      <c r="K42" s="8">
        <f>J42</f>
        <v>0.72249999999999992</v>
      </c>
      <c r="L42" s="95">
        <f>G43*G44+H43*H44+I43*I44+J43*J44+K43*K44</f>
        <v>3625</v>
      </c>
      <c r="M42" s="194"/>
      <c r="N42" s="143"/>
      <c r="O42" s="142" t="str">
        <f>IF(N44="","",IF(N42*36/(37-N44)=0,"",N42*36/(37-N44)))</f>
        <v/>
      </c>
      <c r="P42" s="109" t="str">
        <f>P38</f>
        <v>exercise2</v>
      </c>
      <c r="Q42" s="18">
        <f>IF(O42="",U37,O42)</f>
        <v>200.69204152249139</v>
      </c>
      <c r="R42" s="94">
        <f>100%-V41*IF($B$3="하",$AB$8,$AB$6)</f>
        <v>0.72249999999999992</v>
      </c>
      <c r="S42" s="7">
        <f t="shared" ref="S42:V43" si="38">R42</f>
        <v>0.72249999999999992</v>
      </c>
      <c r="T42" s="7">
        <f t="shared" si="38"/>
        <v>0.72249999999999992</v>
      </c>
      <c r="U42" s="7">
        <f t="shared" si="38"/>
        <v>0.72249999999999992</v>
      </c>
      <c r="V42" s="8">
        <f t="shared" si="38"/>
        <v>0.72249999999999992</v>
      </c>
      <c r="W42" s="96">
        <f>R43*R44+S43*S44+T43*T44+U43*U44+V43*V44</f>
        <v>3625</v>
      </c>
      <c r="X42" s="86" t="s">
        <v>27</v>
      </c>
      <c r="Y42" s="81">
        <f>Y41+Y38</f>
        <v>72500</v>
      </c>
      <c r="Z42" s="90">
        <f>ROUNDDOWN(Y40*$Z$4,0)</f>
        <v>4</v>
      </c>
      <c r="AA42" s="90">
        <f>ROUNDDOWN(Y40*$AA$4,0)</f>
        <v>31</v>
      </c>
    </row>
    <row r="43" spans="1:27" ht="18" customHeight="1" thickTop="1" thickBot="1" x14ac:dyDescent="0.3">
      <c r="A43" s="206"/>
      <c r="B43" s="194"/>
      <c r="C43" s="141" t="str">
        <f>"MAX to "&amp;IF(AA42-O40&gt;5,5,AA42-O40)&amp;"rep"</f>
        <v>MAX to 5rep</v>
      </c>
      <c r="D43" s="97" t="s">
        <v>37</v>
      </c>
      <c r="E43" s="98" t="s">
        <v>5</v>
      </c>
      <c r="F43" s="5" t="s">
        <v>3</v>
      </c>
      <c r="G43" s="18">
        <f>MROUND(G42*F42,E44)</f>
        <v>145</v>
      </c>
      <c r="H43" s="18">
        <f t="shared" si="37"/>
        <v>145</v>
      </c>
      <c r="I43" s="18">
        <f t="shared" si="37"/>
        <v>145</v>
      </c>
      <c r="J43" s="18">
        <f t="shared" si="37"/>
        <v>145</v>
      </c>
      <c r="K43" s="19">
        <f>J43</f>
        <v>145</v>
      </c>
      <c r="L43" s="74" t="s">
        <v>10</v>
      </c>
      <c r="M43" s="194"/>
      <c r="N43" s="141" t="str">
        <f>"MAX to "&amp;IF(AA44-D44&gt;5,5,AA44-D44)&amp;" rep"</f>
        <v>MAX to 5 rep</v>
      </c>
      <c r="O43" s="97" t="s">
        <v>37</v>
      </c>
      <c r="P43" s="86" t="s">
        <v>5</v>
      </c>
      <c r="Q43" s="5" t="s">
        <v>3</v>
      </c>
      <c r="R43" s="18">
        <f>MROUND(R42*Q42,P44)</f>
        <v>145</v>
      </c>
      <c r="S43" s="18">
        <f t="shared" si="38"/>
        <v>145</v>
      </c>
      <c r="T43" s="18">
        <f t="shared" si="38"/>
        <v>145</v>
      </c>
      <c r="U43" s="18">
        <f t="shared" si="38"/>
        <v>145</v>
      </c>
      <c r="V43" s="19">
        <f t="shared" si="38"/>
        <v>145</v>
      </c>
      <c r="W43" s="99" t="s">
        <v>10</v>
      </c>
      <c r="X43" s="86" t="s">
        <v>28</v>
      </c>
      <c r="Y43" s="87">
        <f>L44+W44</f>
        <v>50</v>
      </c>
      <c r="Z43" s="93" t="s">
        <v>34</v>
      </c>
      <c r="AA43" s="93" t="s">
        <v>35</v>
      </c>
    </row>
    <row r="44" spans="1:27" ht="18" customHeight="1" thickTop="1" thickBot="1" x14ac:dyDescent="0.3">
      <c r="A44" s="207"/>
      <c r="B44" s="195"/>
      <c r="C44" s="144"/>
      <c r="D44" s="90">
        <f>IF(C42="",O40,IF(D42&lt;=0,O40,O40+C44))</f>
        <v>0</v>
      </c>
      <c r="E44" s="100">
        <f>P40</f>
        <v>2.5</v>
      </c>
      <c r="F44" s="13" t="s">
        <v>7</v>
      </c>
      <c r="G44" s="103">
        <f xml:space="preserve"> IF($B$3="하",0,IF(MROUND(K41/5,1)&lt;=H41,IF(MROUND(K41/5,1)&gt;=F41,MROUND(K41/5,1),F41),H41))</f>
        <v>5</v>
      </c>
      <c r="H44" s="104">
        <f>IF(MROUND((K41-G44)/4,1)&lt;=H41,IF(MROUND((K41-G44)/4,1)&gt;=F41,MROUND((K41-G44)/4,1),F41),H41)</f>
        <v>5</v>
      </c>
      <c r="I44" s="104">
        <f>IF(MROUND((K41-G44-H44)/3,1)&lt;=H41,IF(MROUND((K41-G44-H44)/3,1)&gt;=F41,MROUND((K41-G44-H44)/3,1),F41),H41)</f>
        <v>5</v>
      </c>
      <c r="J44" s="104">
        <f>IF(MROUND((K41-G44-H44-I44)/2,1)&lt;=H41,IF((K41-G44-H44-I44)/2&gt;=F41,MROUND((K41-G44-H44-I44)/2,1),K41-G44-H44-I44),H41)</f>
        <v>5</v>
      </c>
      <c r="K44" s="105">
        <f>IF((K41-(G44+H44+I44+J44))&gt;0,(K41-(G44+H44+I44+J44)),0)</f>
        <v>5</v>
      </c>
      <c r="L44" s="101">
        <f>SUM(G44:K44)</f>
        <v>25</v>
      </c>
      <c r="M44" s="195"/>
      <c r="N44" s="144"/>
      <c r="O44" s="90">
        <f>IF(""=N42,D44,IF(O42&lt;=0,D44,D44+N44))</f>
        <v>0</v>
      </c>
      <c r="P44" s="102">
        <f>E40</f>
        <v>2.5</v>
      </c>
      <c r="Q44" s="13" t="s">
        <v>7</v>
      </c>
      <c r="R44" s="103">
        <f xml:space="preserve"> IF($B$3="하",0,IF(MROUND(V41/5,1)&lt;=S41,IF(MROUND(V41/5,1)&gt;=Q41,MROUND(V41/5,1),Q41),S41))</f>
        <v>5</v>
      </c>
      <c r="S44" s="104">
        <f>IF(MROUND((V41-R44)/4,1)&lt;=S41,IF(MROUND((V41-R44)/4,1)&gt;=Q41,MROUND((V41-R44)/4,1),Q41),S41)</f>
        <v>5</v>
      </c>
      <c r="T44" s="104">
        <f>IF(MROUND((V41-R44-S44)/3,1)&lt;=S41,IF(MROUND((V41-R44-S44)/3,1)&gt;=Q41,MROUND((V41-R44-S44)/3,1),Q41),S41)</f>
        <v>5</v>
      </c>
      <c r="U44" s="104">
        <f>IF(MROUND((V41-R44-S44-T44)/2,1)&lt;=S41,IF((V41-R44-S44-T44)/2&gt;=Q41,MROUND((V41-R44-S44-T44)/2,1),V41-R44-S44-T44),S41)</f>
        <v>5</v>
      </c>
      <c r="V44" s="105">
        <f>IF((V41-(R44+S44+T44+U44))&gt;0,(V41-(R44+S44+T44+U44)),0)</f>
        <v>5</v>
      </c>
      <c r="W44" s="106">
        <f>SUM(R44:V44)</f>
        <v>25</v>
      </c>
      <c r="X44" s="88" t="s">
        <v>30</v>
      </c>
      <c r="Y44" s="89">
        <f>Y43+Y40+O44-O40</f>
        <v>500</v>
      </c>
      <c r="Z44" s="90">
        <f>ROUNDDOWN((Y40-O40+D44+L44)*$Z$4,0)</f>
        <v>4</v>
      </c>
      <c r="AA44" s="90">
        <f>ROUNDDOWN((Y40+L44-O40+D44)*$AA$4,0)</f>
        <v>33</v>
      </c>
    </row>
    <row r="45" spans="1:27" ht="18" customHeight="1" thickTop="1" thickBot="1" x14ac:dyDescent="0.3">
      <c r="A45" s="193">
        <f>A41+1</f>
        <v>11</v>
      </c>
      <c r="B45" s="193" t="str">
        <f t="shared" ref="B45" ca="1" si="39">IF((L48+Y44)&lt;IF(B$3="하",$AE$8,$AE$6),0,IF((L48+Y44)&gt;IF(B$3="하",$AE$7,$AE$5),"",MAX(B41,M41)+1))</f>
        <v/>
      </c>
      <c r="C45" s="141" t="str">
        <f>"MAX to "&amp;MROUND(IF(IF(AA46-O44&gt;5,5,AA46-O44)&lt;2,J41,J41*(37-IF(AA46-O44&gt;5,5,AA46-O44))/36),E48)</f>
        <v>MAX to 177.5</v>
      </c>
      <c r="D45" s="90" t="str">
        <f>IF(AA46&lt;=O44,"X",IF(Z46&gt;O44,"must ME","can ME"))</f>
        <v>must ME</v>
      </c>
      <c r="E45" s="75" t="s">
        <v>31</v>
      </c>
      <c r="F45" s="23">
        <v>4</v>
      </c>
      <c r="G45" s="2">
        <v>1</v>
      </c>
      <c r="H45" s="23">
        <f>IF(G46&gt;=90%,2,IF(G46&gt;=80%,4,IF(G46&gt;=70%,6,6)))</f>
        <v>6</v>
      </c>
      <c r="I45" s="3" t="s">
        <v>2</v>
      </c>
      <c r="J45" s="91">
        <f>L46/(100%-IF($B$3="하",$AB$8,$AB$6)*L48)/L48</f>
        <v>200.69204152249139</v>
      </c>
      <c r="K45" s="92">
        <f>IF("하"=$B$3,$AC$7,$AC$5)</f>
        <v>25</v>
      </c>
      <c r="L45" s="107" t="s">
        <v>33</v>
      </c>
      <c r="M45" s="193" t="str">
        <f t="shared" ref="M45" ca="1" si="40">IF($Y48&lt;IF(M$3="하",$AE$8,$AE$6),0,IF($Y48&gt;IF(M$3="하",$AE$7,$AE$5),"",MAX(B45,M41)+1))</f>
        <v/>
      </c>
      <c r="N45" s="141" t="str">
        <f>"MAX to "&amp;MROUND(IF(IF(AA48-D48&gt;5,5,AA48-D48)&lt;2,U41,U41*(37-IF(AA48-D48&gt;5,5,AA48-D48))/36),P48)</f>
        <v>MAX to 177.5</v>
      </c>
      <c r="O45" s="90" t="str">
        <f>IF(AA48&lt;=D48,"X",IF(Z48&gt;D48,"must ME","can ME"))</f>
        <v>must ME</v>
      </c>
      <c r="P45" s="75" t="s">
        <v>31</v>
      </c>
      <c r="Q45" s="23">
        <v>4</v>
      </c>
      <c r="R45" s="2" t="s">
        <v>32</v>
      </c>
      <c r="S45" s="23">
        <v>6</v>
      </c>
      <c r="T45" s="3" t="s">
        <v>2</v>
      </c>
      <c r="U45" s="91">
        <f>W46/(100%-IF($B$3="하",$AB$8,$AB$6)*W48)/W48</f>
        <v>200.69204152249139</v>
      </c>
      <c r="V45" s="92">
        <f>IF("하"=$B$3,$AC$8,$AC$6)</f>
        <v>25</v>
      </c>
      <c r="W45" s="108" t="s">
        <v>33</v>
      </c>
      <c r="X45" s="75" t="s">
        <v>25</v>
      </c>
      <c r="Y45" s="76">
        <f>L46+W46</f>
        <v>7250</v>
      </c>
      <c r="Z45" s="93" t="s">
        <v>34</v>
      </c>
      <c r="AA45" s="93" t="s">
        <v>35</v>
      </c>
    </row>
    <row r="46" spans="1:27" ht="18" customHeight="1" thickTop="1" thickBot="1" x14ac:dyDescent="0.3">
      <c r="A46" s="194"/>
      <c r="B46" s="194"/>
      <c r="C46" s="143"/>
      <c r="D46" s="142" t="str">
        <f>IF(C48="","",IF(C46*36/(37-C48)=0,"",C46*36/(37-C48)))</f>
        <v/>
      </c>
      <c r="E46" s="109" t="str">
        <f>E42</f>
        <v>exercise1</v>
      </c>
      <c r="F46" s="18">
        <f>IF(D46="",J41,D46)</f>
        <v>200.69204152249139</v>
      </c>
      <c r="G46" s="94">
        <f>100%-K45*IF($B$3="하",$AB$8,$AB$6)</f>
        <v>0.72249999999999992</v>
      </c>
      <c r="H46" s="7">
        <f t="shared" ref="H46:J47" si="41">G46</f>
        <v>0.72249999999999992</v>
      </c>
      <c r="I46" s="7">
        <f t="shared" si="41"/>
        <v>0.72249999999999992</v>
      </c>
      <c r="J46" s="7">
        <f t="shared" si="41"/>
        <v>0.72249999999999992</v>
      </c>
      <c r="K46" s="8">
        <f>J46</f>
        <v>0.72249999999999992</v>
      </c>
      <c r="L46" s="95">
        <f>G47*G48+H47*H48+I47*I48+J47*J48+K47*K48</f>
        <v>3625</v>
      </c>
      <c r="M46" s="194"/>
      <c r="N46" s="143"/>
      <c r="O46" s="142" t="str">
        <f>IF(N48="","",IF(N46*36/(37-N48)=0,"",N46*36/(37-N48)))</f>
        <v/>
      </c>
      <c r="P46" s="109" t="str">
        <f>P42</f>
        <v>exercise2</v>
      </c>
      <c r="Q46" s="18">
        <f>IF(O46="",U41,O46)</f>
        <v>200.69204152249139</v>
      </c>
      <c r="R46" s="94">
        <f>100%-V45*IF($B$3="하",$AB$8,$AB$6)</f>
        <v>0.72249999999999992</v>
      </c>
      <c r="S46" s="7">
        <f t="shared" ref="S46:V47" si="42">R46</f>
        <v>0.72249999999999992</v>
      </c>
      <c r="T46" s="7">
        <f t="shared" si="42"/>
        <v>0.72249999999999992</v>
      </c>
      <c r="U46" s="7">
        <f t="shared" si="42"/>
        <v>0.72249999999999992</v>
      </c>
      <c r="V46" s="8">
        <f t="shared" si="42"/>
        <v>0.72249999999999992</v>
      </c>
      <c r="W46" s="96">
        <f>R47*R48+S47*S48+T47*T48+U47*U48+V47*V48</f>
        <v>3625</v>
      </c>
      <c r="X46" s="86" t="s">
        <v>27</v>
      </c>
      <c r="Y46" s="81">
        <f>Y45+Y42</f>
        <v>79750</v>
      </c>
      <c r="Z46" s="90">
        <f>ROUNDDOWN(Y44*$Z$4,0)</f>
        <v>5</v>
      </c>
      <c r="AA46" s="90">
        <f>ROUNDDOWN(Y44*$AA$4,0)</f>
        <v>35</v>
      </c>
    </row>
    <row r="47" spans="1:27" ht="18" customHeight="1" thickTop="1" thickBot="1" x14ac:dyDescent="0.3">
      <c r="A47" s="194"/>
      <c r="B47" s="194"/>
      <c r="C47" s="141" t="str">
        <f>"MAX to "&amp;IF(AA46-O44&gt;5,5,AA46-O44)&amp;"rep"</f>
        <v>MAX to 5rep</v>
      </c>
      <c r="D47" s="97" t="s">
        <v>37</v>
      </c>
      <c r="E47" s="98" t="s">
        <v>5</v>
      </c>
      <c r="F47" s="5" t="s">
        <v>3</v>
      </c>
      <c r="G47" s="18">
        <f>MROUND(G46*F46,E48)</f>
        <v>145</v>
      </c>
      <c r="H47" s="18">
        <f t="shared" si="41"/>
        <v>145</v>
      </c>
      <c r="I47" s="18">
        <f t="shared" si="41"/>
        <v>145</v>
      </c>
      <c r="J47" s="18">
        <f t="shared" si="41"/>
        <v>145</v>
      </c>
      <c r="K47" s="19">
        <f>J47</f>
        <v>145</v>
      </c>
      <c r="L47" s="74" t="s">
        <v>10</v>
      </c>
      <c r="M47" s="194"/>
      <c r="N47" s="141" t="str">
        <f>"MAX to "&amp;IF(AA48-D48&gt;5,5,AA48-D48)&amp;" rep"</f>
        <v>MAX to 5 rep</v>
      </c>
      <c r="O47" s="97" t="s">
        <v>37</v>
      </c>
      <c r="P47" s="86" t="s">
        <v>5</v>
      </c>
      <c r="Q47" s="5" t="s">
        <v>3</v>
      </c>
      <c r="R47" s="18">
        <f>MROUND(R46*Q46,P48)</f>
        <v>145</v>
      </c>
      <c r="S47" s="18">
        <f t="shared" si="42"/>
        <v>145</v>
      </c>
      <c r="T47" s="18">
        <f t="shared" si="42"/>
        <v>145</v>
      </c>
      <c r="U47" s="18">
        <f t="shared" si="42"/>
        <v>145</v>
      </c>
      <c r="V47" s="19">
        <f t="shared" si="42"/>
        <v>145</v>
      </c>
      <c r="W47" s="99" t="s">
        <v>10</v>
      </c>
      <c r="X47" s="86" t="s">
        <v>28</v>
      </c>
      <c r="Y47" s="87">
        <f>L48+W48</f>
        <v>50</v>
      </c>
      <c r="Z47" s="93" t="s">
        <v>34</v>
      </c>
      <c r="AA47" s="93" t="s">
        <v>35</v>
      </c>
    </row>
    <row r="48" spans="1:27" ht="18" customHeight="1" thickTop="1" thickBot="1" x14ac:dyDescent="0.3">
      <c r="A48" s="195"/>
      <c r="B48" s="195"/>
      <c r="C48" s="144"/>
      <c r="D48" s="90">
        <f>IF(C46="",O44,IF(D46&lt;=0,O44,O44+C48))</f>
        <v>0</v>
      </c>
      <c r="E48" s="100">
        <f>P44</f>
        <v>2.5</v>
      </c>
      <c r="F48" s="13" t="s">
        <v>7</v>
      </c>
      <c r="G48" s="103">
        <f xml:space="preserve"> IF($B$3="하",0,IF(MROUND(K45/5,1)&lt;=H45,IF(MROUND(K45/5,1)&gt;=F45,MROUND(K45/5,1),F45),H45))</f>
        <v>5</v>
      </c>
      <c r="H48" s="104">
        <f>IF(MROUND((K45-G48)/4,1)&lt;=H45,IF(MROUND((K45-G48)/4,1)&gt;=F45,MROUND((K45-G48)/4,1),F45),H45)</f>
        <v>5</v>
      </c>
      <c r="I48" s="104">
        <f>IF(MROUND((K45-G48-H48)/3,1)&lt;=H45,IF(MROUND((K45-G48-H48)/3,1)&gt;=F45,MROUND((K45-G48-H48)/3,1),F45),H45)</f>
        <v>5</v>
      </c>
      <c r="J48" s="104">
        <f>IF(MROUND((K45-G48-H48-I48)/2,1)&lt;=H45,IF((K45-G48-H48-I48)/2&gt;=F45,MROUND((K45-G48-H48-I48)/2,1),K45-G48-H48-I48),H45)</f>
        <v>5</v>
      </c>
      <c r="K48" s="105">
        <f>IF((K45-(G48+H48+I48+J48))&gt;0,(K45-(G48+H48+I48+J48)),0)</f>
        <v>5</v>
      </c>
      <c r="L48" s="101">
        <f>SUM(G48:K48)</f>
        <v>25</v>
      </c>
      <c r="M48" s="195"/>
      <c r="N48" s="144"/>
      <c r="O48" s="90">
        <f>IF(""=N46,D48,IF(O46&lt;=0,D48,D48+N48))</f>
        <v>0</v>
      </c>
      <c r="P48" s="102">
        <f>E44</f>
        <v>2.5</v>
      </c>
      <c r="Q48" s="13" t="s">
        <v>7</v>
      </c>
      <c r="R48" s="103">
        <f xml:space="preserve"> IF($B$3="하",0,IF(MROUND(V45/5,1)&lt;=S45,IF(MROUND(V45/5,1)&gt;=Q45,MROUND(V45/5,1),Q45),S45))</f>
        <v>5</v>
      </c>
      <c r="S48" s="104">
        <f>IF(MROUND((V45-R48)/4,1)&lt;=S45,IF(MROUND((V45-R48)/4,1)&gt;=Q45,MROUND((V45-R48)/4,1),Q45),S45)</f>
        <v>5</v>
      </c>
      <c r="T48" s="104">
        <f>IF(MROUND((V45-R48-S48)/3,1)&lt;=S45,IF(MROUND((V45-R48-S48)/3,1)&gt;=Q45,MROUND((V45-R48-S48)/3,1),Q45),S45)</f>
        <v>5</v>
      </c>
      <c r="U48" s="104">
        <f>IF(MROUND((V45-R48-S48-T48)/2,1)&lt;=S45,IF((V45-R48-S48-T48)/2&gt;=Q45,MROUND((V45-R48-S48-T48)/2,1),V45-R48-S48-T48),S45)</f>
        <v>5</v>
      </c>
      <c r="V48" s="105">
        <f>IF((V45-(R48+S48+T48+U48))&gt;0,(V45-(R48+S48+T48+U48)),0)</f>
        <v>5</v>
      </c>
      <c r="W48" s="106">
        <f>SUM(R48:V48)</f>
        <v>25</v>
      </c>
      <c r="X48" s="88" t="s">
        <v>30</v>
      </c>
      <c r="Y48" s="89">
        <f>Y47+Y44+O48-O44</f>
        <v>550</v>
      </c>
      <c r="Z48" s="90">
        <f>ROUNDDOWN((Y44-O44+D48+L48)*$Z$4,0)</f>
        <v>5</v>
      </c>
      <c r="AA48" s="90">
        <f>ROUNDDOWN((Y44+L48-O44+D48)*$AA$4,0)</f>
        <v>36</v>
      </c>
    </row>
    <row r="49" spans="1:27" ht="18" customHeight="1" thickTop="1" thickBot="1" x14ac:dyDescent="0.3">
      <c r="A49" s="193">
        <f>A45+1</f>
        <v>12</v>
      </c>
      <c r="B49" s="193" t="str">
        <f t="shared" ref="B49" ca="1" si="43">IF((L52+Y48)&lt;IF(B$3="하",$AE$8,$AE$6),0,IF((L52+Y48)&gt;IF(B$3="하",$AE$7,$AE$5),"",MAX(B45,M45)+1))</f>
        <v/>
      </c>
      <c r="C49" s="141" t="str">
        <f>"MAX to "&amp;MROUND(IF(IF(AA50-O48&gt;5,5,AA50-O48)&lt;2,J45,J45*(37-IF(AA50-O48&gt;5,5,AA50-O48))/36),E52)</f>
        <v>MAX to 177.5</v>
      </c>
      <c r="D49" s="90" t="str">
        <f>IF(AA50&lt;=O48,"X",IF(Z50&gt;O48,"must ME","can ME"))</f>
        <v>must ME</v>
      </c>
      <c r="E49" s="75" t="s">
        <v>31</v>
      </c>
      <c r="F49" s="23">
        <v>4</v>
      </c>
      <c r="G49" s="2">
        <v>1</v>
      </c>
      <c r="H49" s="23">
        <f>IF(G50&gt;=90%,2,IF(G50&gt;=80%,4,IF(G50&gt;=70%,6,6)))</f>
        <v>6</v>
      </c>
      <c r="I49" s="3" t="s">
        <v>2</v>
      </c>
      <c r="J49" s="91">
        <f>L50/(100%-IF($B$3="하",$AB$8,$AB$6)*L52)/L52</f>
        <v>200.69204152249139</v>
      </c>
      <c r="K49" s="92">
        <f>IF("하"=$B$3,$AC$7,$AC$5)</f>
        <v>25</v>
      </c>
      <c r="L49" s="107" t="s">
        <v>33</v>
      </c>
      <c r="M49" s="193" t="str">
        <f t="shared" ref="M49" ca="1" si="44">IF($Y52&lt;IF(M$3="하",$AE$8,$AE$6),0,IF($Y52&gt;IF(M$3="하",$AE$7,$AE$5),"",MAX(B49,M45)+1))</f>
        <v/>
      </c>
      <c r="N49" s="141" t="str">
        <f>"MAX to "&amp;MROUND(IF(IF(AA52-D52&gt;5,5,AA52-D52)&lt;2,U45,U45*(37-IF(AA52-D52&gt;5,5,AA52-D52))/36),P52)</f>
        <v>MAX to 177.5</v>
      </c>
      <c r="O49" s="90" t="str">
        <f>IF(AA52&lt;=D52,"X",IF(Z52&gt;D52,"must ME","can ME"))</f>
        <v>must ME</v>
      </c>
      <c r="P49" s="75" t="s">
        <v>31</v>
      </c>
      <c r="Q49" s="23">
        <v>4</v>
      </c>
      <c r="R49" s="2" t="s">
        <v>32</v>
      </c>
      <c r="S49" s="23">
        <v>6</v>
      </c>
      <c r="T49" s="3" t="s">
        <v>2</v>
      </c>
      <c r="U49" s="91">
        <f>W50/(100%-IF($B$3="하",$AB$8,$AB$6)*W52)/W52</f>
        <v>200.69204152249139</v>
      </c>
      <c r="V49" s="92">
        <f>IF("하"=$B$3,$AC$8,$AC$6)</f>
        <v>25</v>
      </c>
      <c r="W49" s="108" t="s">
        <v>33</v>
      </c>
      <c r="X49" s="75" t="s">
        <v>25</v>
      </c>
      <c r="Y49" s="76">
        <f>L50+W50</f>
        <v>7250</v>
      </c>
      <c r="Z49" s="93" t="s">
        <v>34</v>
      </c>
      <c r="AA49" s="93" t="s">
        <v>35</v>
      </c>
    </row>
    <row r="50" spans="1:27" ht="18" customHeight="1" thickTop="1" thickBot="1" x14ac:dyDescent="0.3">
      <c r="A50" s="194"/>
      <c r="B50" s="194"/>
      <c r="C50" s="143"/>
      <c r="D50" s="142" t="str">
        <f>IF(C52="","",IF(C50*36/(37-C52)=0,"",C50*36/(37-C52)))</f>
        <v/>
      </c>
      <c r="E50" s="109" t="str">
        <f>E46</f>
        <v>exercise1</v>
      </c>
      <c r="F50" s="18">
        <f>IF(D50="",J45,D50)</f>
        <v>200.69204152249139</v>
      </c>
      <c r="G50" s="94">
        <f>100%-K49*IF($B$3="하",$AB$8,$AB$6)</f>
        <v>0.72249999999999992</v>
      </c>
      <c r="H50" s="7">
        <f t="shared" ref="H50:H51" si="45">G50</f>
        <v>0.72249999999999992</v>
      </c>
      <c r="I50" s="7">
        <f t="shared" ref="I50:I51" si="46">H50</f>
        <v>0.72249999999999992</v>
      </c>
      <c r="J50" s="7">
        <f t="shared" ref="J50:J51" si="47">I50</f>
        <v>0.72249999999999992</v>
      </c>
      <c r="K50" s="8">
        <f>J50</f>
        <v>0.72249999999999992</v>
      </c>
      <c r="L50" s="95">
        <f>G51*G52+H51*H52+I51*I52+J51*J52+K51*K52</f>
        <v>3625</v>
      </c>
      <c r="M50" s="194"/>
      <c r="N50" s="143"/>
      <c r="O50" s="142" t="str">
        <f>IF(N52="","",IF(N50*36/(37-N52)=0,"",N50*36/(37-N52)))</f>
        <v/>
      </c>
      <c r="P50" s="109" t="str">
        <f>P46</f>
        <v>exercise2</v>
      </c>
      <c r="Q50" s="18">
        <f>IF(O50="",U45,O50)</f>
        <v>200.69204152249139</v>
      </c>
      <c r="R50" s="94">
        <f>100%-V49*IF($B$3="하",$AB$8,$AB$6)</f>
        <v>0.72249999999999992</v>
      </c>
      <c r="S50" s="7">
        <f t="shared" ref="S50:S51" si="48">R50</f>
        <v>0.72249999999999992</v>
      </c>
      <c r="T50" s="7">
        <f t="shared" ref="T50:T51" si="49">S50</f>
        <v>0.72249999999999992</v>
      </c>
      <c r="U50" s="7">
        <f t="shared" ref="U50:U51" si="50">T50</f>
        <v>0.72249999999999992</v>
      </c>
      <c r="V50" s="8">
        <f t="shared" ref="V50:V51" si="51">U50</f>
        <v>0.72249999999999992</v>
      </c>
      <c r="W50" s="96">
        <f>R51*R52+S51*S52+T51*T52+U51*U52+V51*V52</f>
        <v>3625</v>
      </c>
      <c r="X50" s="86" t="s">
        <v>27</v>
      </c>
      <c r="Y50" s="81">
        <f>Y49+Y46</f>
        <v>87000</v>
      </c>
      <c r="Z50" s="90">
        <f>ROUNDDOWN(Y48*$Z$4,0)</f>
        <v>5</v>
      </c>
      <c r="AA50" s="90">
        <f>ROUNDDOWN(Y48*$AA$4,0)</f>
        <v>38</v>
      </c>
    </row>
    <row r="51" spans="1:27" ht="18" customHeight="1" thickTop="1" thickBot="1" x14ac:dyDescent="0.3">
      <c r="A51" s="194"/>
      <c r="B51" s="194"/>
      <c r="C51" s="141" t="str">
        <f>"MAX to "&amp;IF(AA50-O48&gt;5,5,AA50-O48)&amp;"rep"</f>
        <v>MAX to 5rep</v>
      </c>
      <c r="D51" s="97" t="s">
        <v>37</v>
      </c>
      <c r="E51" s="98" t="s">
        <v>5</v>
      </c>
      <c r="F51" s="5" t="s">
        <v>3</v>
      </c>
      <c r="G51" s="18">
        <f>MROUND(G50*F50,E52)</f>
        <v>145</v>
      </c>
      <c r="H51" s="18">
        <f t="shared" si="45"/>
        <v>145</v>
      </c>
      <c r="I51" s="18">
        <f t="shared" si="46"/>
        <v>145</v>
      </c>
      <c r="J51" s="18">
        <f t="shared" si="47"/>
        <v>145</v>
      </c>
      <c r="K51" s="19">
        <f>J51</f>
        <v>145</v>
      </c>
      <c r="L51" s="74" t="s">
        <v>10</v>
      </c>
      <c r="M51" s="194"/>
      <c r="N51" s="141" t="str">
        <f>"MAX to "&amp;IF(AA52-D52&gt;5,5,AA52-D52)&amp;" rep"</f>
        <v>MAX to 5 rep</v>
      </c>
      <c r="O51" s="97" t="s">
        <v>37</v>
      </c>
      <c r="P51" s="86" t="s">
        <v>5</v>
      </c>
      <c r="Q51" s="5" t="s">
        <v>3</v>
      </c>
      <c r="R51" s="18">
        <f>MROUND(R50*Q50,P52)</f>
        <v>145</v>
      </c>
      <c r="S51" s="18">
        <f t="shared" si="48"/>
        <v>145</v>
      </c>
      <c r="T51" s="18">
        <f t="shared" si="49"/>
        <v>145</v>
      </c>
      <c r="U51" s="18">
        <f t="shared" si="50"/>
        <v>145</v>
      </c>
      <c r="V51" s="19">
        <f t="shared" si="51"/>
        <v>145</v>
      </c>
      <c r="W51" s="99" t="s">
        <v>10</v>
      </c>
      <c r="X51" s="86" t="s">
        <v>28</v>
      </c>
      <c r="Y51" s="87">
        <f>L52+W52</f>
        <v>50</v>
      </c>
      <c r="Z51" s="93" t="s">
        <v>34</v>
      </c>
      <c r="AA51" s="93" t="s">
        <v>35</v>
      </c>
    </row>
    <row r="52" spans="1:27" ht="18" customHeight="1" thickTop="1" thickBot="1" x14ac:dyDescent="0.3">
      <c r="A52" s="195"/>
      <c r="B52" s="195"/>
      <c r="C52" s="144"/>
      <c r="D52" s="90">
        <f>IF(C50="",O48,IF(D50&lt;=0,O48,O48+C52))</f>
        <v>0</v>
      </c>
      <c r="E52" s="100">
        <f>P48</f>
        <v>2.5</v>
      </c>
      <c r="F52" s="13" t="s">
        <v>7</v>
      </c>
      <c r="G52" s="103">
        <f xml:space="preserve"> IF($B$3="하",0,IF(MROUND(K49/5,1)&lt;=H49,IF(MROUND(K49/5,1)&gt;=F49,MROUND(K49/5,1),F49),H49))</f>
        <v>5</v>
      </c>
      <c r="H52" s="104">
        <f>IF(MROUND((K49-G52)/4,1)&lt;=H49,IF(MROUND((K49-G52)/4,1)&gt;=F49,MROUND((K49-G52)/4,1),F49),H49)</f>
        <v>5</v>
      </c>
      <c r="I52" s="104">
        <f>IF(MROUND((K49-G52-H52)/3,1)&lt;=H49,IF(MROUND((K49-G52-H52)/3,1)&gt;=F49,MROUND((K49-G52-H52)/3,1),F49),H49)</f>
        <v>5</v>
      </c>
      <c r="J52" s="104">
        <f>IF(MROUND((K49-G52-H52-I52)/2,1)&lt;=H49,IF((K49-G52-H52-I52)/2&gt;=F49,MROUND((K49-G52-H52-I52)/2,1),K49-G52-H52-I52),H49)</f>
        <v>5</v>
      </c>
      <c r="K52" s="105">
        <f>IF((K49-(G52+H52+I52+J52))&gt;0,(K49-(G52+H52+I52+J52)),0)</f>
        <v>5</v>
      </c>
      <c r="L52" s="101">
        <f>SUM(G52:K52)</f>
        <v>25</v>
      </c>
      <c r="M52" s="195"/>
      <c r="N52" s="144"/>
      <c r="O52" s="90">
        <f>IF(""=N50,D52,IF(O50&lt;=0,D52,D52+N52))</f>
        <v>0</v>
      </c>
      <c r="P52" s="102">
        <f>E48</f>
        <v>2.5</v>
      </c>
      <c r="Q52" s="13" t="s">
        <v>7</v>
      </c>
      <c r="R52" s="103">
        <f xml:space="preserve"> IF($B$3="하",0,IF(MROUND(V49/5,1)&lt;=S49,IF(MROUND(V49/5,1)&gt;=Q49,MROUND(V49/5,1),Q49),S49))</f>
        <v>5</v>
      </c>
      <c r="S52" s="104">
        <f>IF(MROUND((V49-R52)/4,1)&lt;=S49,IF(MROUND((V49-R52)/4,1)&gt;=Q49,MROUND((V49-R52)/4,1),Q49),S49)</f>
        <v>5</v>
      </c>
      <c r="T52" s="104">
        <f>IF(MROUND((V49-R52-S52)/3,1)&lt;=S49,IF(MROUND((V49-R52-S52)/3,1)&gt;=Q49,MROUND((V49-R52-S52)/3,1),Q49),S49)</f>
        <v>5</v>
      </c>
      <c r="U52" s="104">
        <f>IF(MROUND((V49-R52-S52-T52)/2,1)&lt;=S49,IF((V49-R52-S52-T52)/2&gt;=Q49,MROUND((V49-R52-S52-T52)/2,1),V49-R52-S52-T52),S49)</f>
        <v>5</v>
      </c>
      <c r="V52" s="105">
        <f>IF((V49-(R52+S52+T52+U52))&gt;0,(V49-(R52+S52+T52+U52)),0)</f>
        <v>5</v>
      </c>
      <c r="W52" s="106">
        <f>SUM(R52:V52)</f>
        <v>25</v>
      </c>
      <c r="X52" s="88" t="s">
        <v>30</v>
      </c>
      <c r="Y52" s="89">
        <f>Y51+Y48+O52-O48</f>
        <v>600</v>
      </c>
      <c r="Z52" s="90">
        <f>ROUNDDOWN((Y48-O48+D52+L52)*$Z$4,0)</f>
        <v>5</v>
      </c>
      <c r="AA52" s="90">
        <f>ROUNDDOWN((Y48+L52-O48+D52)*$AA$4,0)</f>
        <v>40</v>
      </c>
    </row>
    <row r="53" spans="1:27" ht="18" customHeight="1" thickTop="1" thickBot="1" x14ac:dyDescent="0.3">
      <c r="A53" s="193">
        <f>A49+1</f>
        <v>13</v>
      </c>
      <c r="B53" s="193" t="str">
        <f t="shared" ref="B53" ca="1" si="52">IF((L56+Y52)&lt;IF(B$3="하",$AE$8,$AE$6),0,IF((L56+Y52)&gt;IF(B$3="하",$AE$7,$AE$5),"",MAX(B49,M49)+1))</f>
        <v/>
      </c>
      <c r="C53" s="141" t="str">
        <f>"MAX to "&amp;MROUND(IF(IF(AA54-O52&gt;5,5,AA54-O52)&lt;2,J49,J49*(37-IF(AA54-O52&gt;5,5,AA54-O52))/36),E56)</f>
        <v>MAX to 177.5</v>
      </c>
      <c r="D53" s="90" t="str">
        <f>IF(AA54&lt;=O52,"X",IF(Z54&gt;O52,"must ME","can ME"))</f>
        <v>must ME</v>
      </c>
      <c r="E53" s="75" t="s">
        <v>31</v>
      </c>
      <c r="F53" s="23">
        <v>4</v>
      </c>
      <c r="G53" s="2">
        <v>1</v>
      </c>
      <c r="H53" s="23">
        <f>IF(G54&gt;=90%,2,IF(G54&gt;=80%,4,IF(G54&gt;=70%,6,6)))</f>
        <v>6</v>
      </c>
      <c r="I53" s="3" t="s">
        <v>2</v>
      </c>
      <c r="J53" s="91">
        <f>L54/(100%-IF($B$3="하",$AB$8,$AB$6)*L56)/L56</f>
        <v>200.69204152249139</v>
      </c>
      <c r="K53" s="92">
        <f>IF("하"=$B$3,$AC$7,$AC$5)</f>
        <v>25</v>
      </c>
      <c r="L53" s="107" t="s">
        <v>33</v>
      </c>
      <c r="M53" s="193" t="str">
        <f t="shared" ref="M53" ca="1" si="53">IF($Y56&lt;IF(M$3="하",$AE$8,$AE$6),0,IF($Y56&gt;IF(M$3="하",$AE$7,$AE$5),"",MAX(B53,M49)+1))</f>
        <v/>
      </c>
      <c r="N53" s="141" t="str">
        <f>"MAX to "&amp;MROUND(IF(IF(AA56-D56&gt;5,5,AA56-D56)&lt;2,U49,U49*(37-IF(AA56-D56&gt;5,5,AA56-D56))/36),P56)</f>
        <v>MAX to 177.5</v>
      </c>
      <c r="O53" s="90" t="str">
        <f>IF(AA56&lt;=D56,"X",IF(Z56&gt;D56,"must ME","can ME"))</f>
        <v>must ME</v>
      </c>
      <c r="P53" s="75" t="s">
        <v>31</v>
      </c>
      <c r="Q53" s="23">
        <v>4</v>
      </c>
      <c r="R53" s="2" t="s">
        <v>32</v>
      </c>
      <c r="S53" s="23">
        <v>6</v>
      </c>
      <c r="T53" s="3" t="s">
        <v>2</v>
      </c>
      <c r="U53" s="91">
        <f>W54/(100%-IF($B$3="하",$AB$8,$AB$6)*W56)/W56</f>
        <v>200.69204152249139</v>
      </c>
      <c r="V53" s="92">
        <f>IF("하"=$B$3,$AC$8,$AC$6)</f>
        <v>25</v>
      </c>
      <c r="W53" s="108" t="s">
        <v>33</v>
      </c>
      <c r="X53" s="75" t="s">
        <v>25</v>
      </c>
      <c r="Y53" s="76">
        <f>L54+W54</f>
        <v>7250</v>
      </c>
      <c r="Z53" s="93" t="s">
        <v>34</v>
      </c>
      <c r="AA53" s="93" t="s">
        <v>35</v>
      </c>
    </row>
    <row r="54" spans="1:27" ht="18" customHeight="1" thickTop="1" thickBot="1" x14ac:dyDescent="0.3">
      <c r="A54" s="194"/>
      <c r="B54" s="194"/>
      <c r="C54" s="143"/>
      <c r="D54" s="142" t="str">
        <f>IF(C56="","",IF(C54*36/(37-C56)=0,"",C54*36/(37-C56)))</f>
        <v/>
      </c>
      <c r="E54" s="109" t="str">
        <f>E50</f>
        <v>exercise1</v>
      </c>
      <c r="F54" s="18">
        <f>IF(D54="",J49,D54)</f>
        <v>200.69204152249139</v>
      </c>
      <c r="G54" s="94">
        <f>100%-K53*IF($B$3="하",$AB$8,$AB$6)</f>
        <v>0.72249999999999992</v>
      </c>
      <c r="H54" s="7">
        <f t="shared" ref="H54:H55" si="54">G54</f>
        <v>0.72249999999999992</v>
      </c>
      <c r="I54" s="7">
        <f t="shared" ref="I54:I55" si="55">H54</f>
        <v>0.72249999999999992</v>
      </c>
      <c r="J54" s="7">
        <f t="shared" ref="J54:J55" si="56">I54</f>
        <v>0.72249999999999992</v>
      </c>
      <c r="K54" s="8">
        <f>J54</f>
        <v>0.72249999999999992</v>
      </c>
      <c r="L54" s="95">
        <f>G55*G56+H55*H56+I55*I56+J55*J56+K55*K56</f>
        <v>3625</v>
      </c>
      <c r="M54" s="194"/>
      <c r="N54" s="143"/>
      <c r="O54" s="142" t="str">
        <f>IF(N56="","",IF(N54*36/(37-N56)=0,"",N54*36/(37-N56)))</f>
        <v/>
      </c>
      <c r="P54" s="109" t="str">
        <f>P50</f>
        <v>exercise2</v>
      </c>
      <c r="Q54" s="18">
        <f>IF(O54="",U49,O54)</f>
        <v>200.69204152249139</v>
      </c>
      <c r="R54" s="94">
        <f>100%-V53*IF($B$3="하",$AB$8,$AB$6)</f>
        <v>0.72249999999999992</v>
      </c>
      <c r="S54" s="7">
        <f t="shared" ref="S54:S55" si="57">R54</f>
        <v>0.72249999999999992</v>
      </c>
      <c r="T54" s="7">
        <f t="shared" ref="T54:T55" si="58">S54</f>
        <v>0.72249999999999992</v>
      </c>
      <c r="U54" s="7">
        <f t="shared" ref="U54:U55" si="59">T54</f>
        <v>0.72249999999999992</v>
      </c>
      <c r="V54" s="8">
        <f t="shared" ref="V54:V55" si="60">U54</f>
        <v>0.72249999999999992</v>
      </c>
      <c r="W54" s="96">
        <f>R55*R56+S55*S56+T55*T56+U55*U56+V55*V56</f>
        <v>3625</v>
      </c>
      <c r="X54" s="86" t="s">
        <v>27</v>
      </c>
      <c r="Y54" s="81">
        <f>Y53+Y50</f>
        <v>94250</v>
      </c>
      <c r="Z54" s="90">
        <f>ROUNDDOWN(Y52*$Z$4,0)</f>
        <v>6</v>
      </c>
      <c r="AA54" s="90">
        <f>ROUNDDOWN(Y52*$AA$4,0)</f>
        <v>42</v>
      </c>
    </row>
    <row r="55" spans="1:27" ht="18" customHeight="1" thickTop="1" thickBot="1" x14ac:dyDescent="0.3">
      <c r="A55" s="194"/>
      <c r="B55" s="194"/>
      <c r="C55" s="141" t="str">
        <f>"MAX to "&amp;IF(AA54-O52&gt;5,5,AA54-O52)&amp;"rep"</f>
        <v>MAX to 5rep</v>
      </c>
      <c r="D55" s="97" t="s">
        <v>37</v>
      </c>
      <c r="E55" s="98" t="s">
        <v>5</v>
      </c>
      <c r="F55" s="5" t="s">
        <v>3</v>
      </c>
      <c r="G55" s="18">
        <f>MROUND(G54*F54,E56)</f>
        <v>145</v>
      </c>
      <c r="H55" s="18">
        <f t="shared" si="54"/>
        <v>145</v>
      </c>
      <c r="I55" s="18">
        <f t="shared" si="55"/>
        <v>145</v>
      </c>
      <c r="J55" s="18">
        <f t="shared" si="56"/>
        <v>145</v>
      </c>
      <c r="K55" s="19">
        <f>J55</f>
        <v>145</v>
      </c>
      <c r="L55" s="74" t="s">
        <v>10</v>
      </c>
      <c r="M55" s="194"/>
      <c r="N55" s="141" t="str">
        <f>"MAX to "&amp;IF(AA56-D56&gt;5,5,AA56-D56)&amp;" rep"</f>
        <v>MAX to 5 rep</v>
      </c>
      <c r="O55" s="97" t="s">
        <v>37</v>
      </c>
      <c r="P55" s="86" t="s">
        <v>5</v>
      </c>
      <c r="Q55" s="5" t="s">
        <v>3</v>
      </c>
      <c r="R55" s="18">
        <f>MROUND(R54*Q54,P56)</f>
        <v>145</v>
      </c>
      <c r="S55" s="18">
        <f t="shared" si="57"/>
        <v>145</v>
      </c>
      <c r="T55" s="18">
        <f t="shared" si="58"/>
        <v>145</v>
      </c>
      <c r="U55" s="18">
        <f t="shared" si="59"/>
        <v>145</v>
      </c>
      <c r="V55" s="19">
        <f t="shared" si="60"/>
        <v>145</v>
      </c>
      <c r="W55" s="99" t="s">
        <v>10</v>
      </c>
      <c r="X55" s="86" t="s">
        <v>28</v>
      </c>
      <c r="Y55" s="87">
        <f>L56+W56</f>
        <v>50</v>
      </c>
      <c r="Z55" s="93" t="s">
        <v>34</v>
      </c>
      <c r="AA55" s="93" t="s">
        <v>35</v>
      </c>
    </row>
    <row r="56" spans="1:27" ht="18" customHeight="1" thickTop="1" thickBot="1" x14ac:dyDescent="0.3">
      <c r="A56" s="195"/>
      <c r="B56" s="195"/>
      <c r="C56" s="144"/>
      <c r="D56" s="90">
        <f>IF(C54="",O52,IF(D54&lt;=0,O52,O52+C56))</f>
        <v>0</v>
      </c>
      <c r="E56" s="100">
        <f>P52</f>
        <v>2.5</v>
      </c>
      <c r="F56" s="13" t="s">
        <v>7</v>
      </c>
      <c r="G56" s="103">
        <f xml:space="preserve"> IF($B$3="하",0,IF(MROUND(K53/5,1)&lt;=H53,IF(MROUND(K53/5,1)&gt;=F53,MROUND(K53/5,1),F53),H53))</f>
        <v>5</v>
      </c>
      <c r="H56" s="104">
        <f>IF(MROUND((K53-G56)/4,1)&lt;=H53,IF(MROUND((K53-G56)/4,1)&gt;=F53,MROUND((K53-G56)/4,1),F53),H53)</f>
        <v>5</v>
      </c>
      <c r="I56" s="104">
        <f>IF(MROUND((K53-G56-H56)/3,1)&lt;=H53,IF(MROUND((K53-G56-H56)/3,1)&gt;=F53,MROUND((K53-G56-H56)/3,1),F53),H53)</f>
        <v>5</v>
      </c>
      <c r="J56" s="104">
        <f>IF(MROUND((K53-G56-H56-I56)/2,1)&lt;=H53,IF((K53-G56-H56-I56)/2&gt;=F53,MROUND((K53-G56-H56-I56)/2,1),K53-G56-H56-I56),H53)</f>
        <v>5</v>
      </c>
      <c r="K56" s="105">
        <f>IF((K53-(G56+H56+I56+J56))&gt;0,(K53-(G56+H56+I56+J56)),0)</f>
        <v>5</v>
      </c>
      <c r="L56" s="101">
        <f>SUM(G56:K56)</f>
        <v>25</v>
      </c>
      <c r="M56" s="195"/>
      <c r="N56" s="144"/>
      <c r="O56" s="90">
        <f>IF(""=N54,D56,IF(O54&lt;=0,D56,D56+N56))</f>
        <v>0</v>
      </c>
      <c r="P56" s="102">
        <f>E52</f>
        <v>2.5</v>
      </c>
      <c r="Q56" s="13" t="s">
        <v>7</v>
      </c>
      <c r="R56" s="103">
        <f xml:space="preserve"> IF($B$3="하",0,IF(MROUND(V53/5,1)&lt;=S53,IF(MROUND(V53/5,1)&gt;=Q53,MROUND(V53/5,1),Q53),S53))</f>
        <v>5</v>
      </c>
      <c r="S56" s="104">
        <f>IF(MROUND((V53-R56)/4,1)&lt;=S53,IF(MROUND((V53-R56)/4,1)&gt;=Q53,MROUND((V53-R56)/4,1),Q53),S53)</f>
        <v>5</v>
      </c>
      <c r="T56" s="104">
        <f>IF(MROUND((V53-R56-S56)/3,1)&lt;=S53,IF(MROUND((V53-R56-S56)/3,1)&gt;=Q53,MROUND((V53-R56-S56)/3,1),Q53),S53)</f>
        <v>5</v>
      </c>
      <c r="U56" s="104">
        <f>IF(MROUND((V53-R56-S56-T56)/2,1)&lt;=S53,IF((V53-R56-S56-T56)/2&gt;=Q53,MROUND((V53-R56-S56-T56)/2,1),V53-R56-S56-T56),S53)</f>
        <v>5</v>
      </c>
      <c r="V56" s="105">
        <f>IF((V53-(R56+S56+T56+U56))&gt;0,(V53-(R56+S56+T56+U56)),0)</f>
        <v>5</v>
      </c>
      <c r="W56" s="106">
        <f>SUM(R56:V56)</f>
        <v>25</v>
      </c>
      <c r="X56" s="88" t="s">
        <v>30</v>
      </c>
      <c r="Y56" s="89">
        <f>Y55+Y52+O56-O52</f>
        <v>650</v>
      </c>
      <c r="Z56" s="90">
        <f>ROUNDDOWN((Y52-O52+D56+L56)*$Z$4,0)</f>
        <v>6</v>
      </c>
      <c r="AA56" s="90">
        <f>ROUNDDOWN((Y52+L56-O52+D56)*$AA$4,0)</f>
        <v>43</v>
      </c>
    </row>
    <row r="57" spans="1:27" ht="18" customHeight="1" thickTop="1" thickBot="1" x14ac:dyDescent="0.3">
      <c r="A57" s="205">
        <f>A53+1</f>
        <v>14</v>
      </c>
      <c r="B57" s="193" t="str">
        <f t="shared" ref="B57" ca="1" si="61">IF((L60+Y56)&lt;IF(B$3="하",$AE$8,$AE$6),0,IF((L60+Y56)&gt;IF(B$3="하",$AE$7,$AE$5),"",MAX(B53,M53)+1))</f>
        <v/>
      </c>
      <c r="C57" s="141" t="str">
        <f>"MAX to "&amp;MROUND(IF(IF(AA58-O56&gt;5,5,AA58-O56)&lt;2,J53,J53*(37-IF(AA58-O56&gt;5,5,AA58-O56))/36),E60)</f>
        <v>MAX to 177.5</v>
      </c>
      <c r="D57" s="90" t="str">
        <f>IF(AA58&lt;=O56,"X",IF(Z58&gt;O56,"must ME","can ME"))</f>
        <v>must ME</v>
      </c>
      <c r="E57" s="75" t="s">
        <v>31</v>
      </c>
      <c r="F57" s="23">
        <v>4</v>
      </c>
      <c r="G57" s="2">
        <v>1</v>
      </c>
      <c r="H57" s="23">
        <f>IF(G58&gt;=90%,2,IF(G58&gt;=80%,4,IF(G58&gt;=70%,6,6)))</f>
        <v>6</v>
      </c>
      <c r="I57" s="3" t="s">
        <v>2</v>
      </c>
      <c r="J57" s="91">
        <f>L58/(100%-IF($B$3="하",$AB$8,$AB$6)*L60)/L60</f>
        <v>200.69204152249139</v>
      </c>
      <c r="K57" s="92">
        <f>IF("하"=$B$3,$AC$7,$AC$5)</f>
        <v>25</v>
      </c>
      <c r="L57" s="107" t="s">
        <v>33</v>
      </c>
      <c r="M57" s="193" t="str">
        <f t="shared" ref="M57" ca="1" si="62">IF($Y60&lt;IF(M$3="하",$AE$8,$AE$6),0,IF($Y60&gt;IF(M$3="하",$AE$7,$AE$5),"",MAX(B57,M53)+1))</f>
        <v/>
      </c>
      <c r="N57" s="141" t="str">
        <f>"MAX to "&amp;MROUND(IF(IF(AA60-D60&gt;5,5,AA60-D60)&lt;2,U53,U53*(37-IF(AA60-D60&gt;5,5,AA60-D60))/36),P60)</f>
        <v>MAX to 177.5</v>
      </c>
      <c r="O57" s="90" t="str">
        <f>IF(AA60&lt;=D60,"X",IF(Z60&gt;D60,"must ME","can ME"))</f>
        <v>must ME</v>
      </c>
      <c r="P57" s="75" t="s">
        <v>31</v>
      </c>
      <c r="Q57" s="23">
        <v>4</v>
      </c>
      <c r="R57" s="2" t="s">
        <v>32</v>
      </c>
      <c r="S57" s="23">
        <v>6</v>
      </c>
      <c r="T57" s="3" t="s">
        <v>2</v>
      </c>
      <c r="U57" s="91">
        <f>W58/(100%-IF($B$3="하",$AB$8,$AB$6)*W60)/W60</f>
        <v>200.69204152249139</v>
      </c>
      <c r="V57" s="92">
        <f>IF("하"=$B$3,$AC$8,$AC$6)</f>
        <v>25</v>
      </c>
      <c r="W57" s="108" t="s">
        <v>33</v>
      </c>
      <c r="X57" s="75" t="s">
        <v>25</v>
      </c>
      <c r="Y57" s="76">
        <f>L58+W58</f>
        <v>7250</v>
      </c>
      <c r="Z57" s="93" t="s">
        <v>34</v>
      </c>
      <c r="AA57" s="93" t="s">
        <v>35</v>
      </c>
    </row>
    <row r="58" spans="1:27" ht="18" customHeight="1" thickTop="1" thickBot="1" x14ac:dyDescent="0.3">
      <c r="A58" s="206"/>
      <c r="B58" s="194"/>
      <c r="C58" s="143"/>
      <c r="D58" s="142" t="str">
        <f>IF(C60="","",IF(C58*36/(37-C60)=0,"",C58*36/(37-C60)))</f>
        <v/>
      </c>
      <c r="E58" s="109" t="str">
        <f>E54</f>
        <v>exercise1</v>
      </c>
      <c r="F58" s="18">
        <f>IF(D58="",J53,D58)</f>
        <v>200.69204152249139</v>
      </c>
      <c r="G58" s="94">
        <f>100%-K57*IF($B$3="하",$AB$8,$AB$6)</f>
        <v>0.72249999999999992</v>
      </c>
      <c r="H58" s="7">
        <f t="shared" ref="H58:H59" si="63">G58</f>
        <v>0.72249999999999992</v>
      </c>
      <c r="I58" s="7">
        <f t="shared" ref="I58:I59" si="64">H58</f>
        <v>0.72249999999999992</v>
      </c>
      <c r="J58" s="7">
        <f t="shared" ref="J58:J59" si="65">I58</f>
        <v>0.72249999999999992</v>
      </c>
      <c r="K58" s="8">
        <f>J58</f>
        <v>0.72249999999999992</v>
      </c>
      <c r="L58" s="95">
        <f>G59*G60+H59*H60+I59*I60+J59*J60+K59*K60</f>
        <v>3625</v>
      </c>
      <c r="M58" s="194"/>
      <c r="N58" s="143"/>
      <c r="O58" s="142" t="str">
        <f>IF(N60="","",IF(N58*36/(37-N60)=0,"",N58*36/(37-N60)))</f>
        <v/>
      </c>
      <c r="P58" s="109" t="str">
        <f>P54</f>
        <v>exercise2</v>
      </c>
      <c r="Q58" s="18">
        <f>IF(O58="",U53,O58)</f>
        <v>200.69204152249139</v>
      </c>
      <c r="R58" s="94">
        <f>100%-V57*IF($B$3="하",$AB$8,$AB$6)</f>
        <v>0.72249999999999992</v>
      </c>
      <c r="S58" s="7">
        <f t="shared" ref="S58:S59" si="66">R58</f>
        <v>0.72249999999999992</v>
      </c>
      <c r="T58" s="7">
        <f t="shared" ref="T58:T59" si="67">S58</f>
        <v>0.72249999999999992</v>
      </c>
      <c r="U58" s="7">
        <f t="shared" ref="U58:U59" si="68">T58</f>
        <v>0.72249999999999992</v>
      </c>
      <c r="V58" s="8">
        <f t="shared" ref="V58:V59" si="69">U58</f>
        <v>0.72249999999999992</v>
      </c>
      <c r="W58" s="96">
        <f>R59*R60+S59*S60+T59*T60+U59*U60+V59*V60</f>
        <v>3625</v>
      </c>
      <c r="X58" s="86" t="s">
        <v>27</v>
      </c>
      <c r="Y58" s="81">
        <f>Y57+Y54</f>
        <v>101500</v>
      </c>
      <c r="Z58" s="90">
        <f>ROUNDDOWN(Y56*$Z$4,0)</f>
        <v>6</v>
      </c>
      <c r="AA58" s="90">
        <f>ROUNDDOWN(Y56*$AA$4,0)</f>
        <v>45</v>
      </c>
    </row>
    <row r="59" spans="1:27" ht="18" customHeight="1" thickTop="1" thickBot="1" x14ac:dyDescent="0.3">
      <c r="A59" s="206"/>
      <c r="B59" s="194"/>
      <c r="C59" s="141" t="str">
        <f>"MAX to "&amp;IF(AA58-O56&gt;5,5,AA58-O56)&amp;"rep"</f>
        <v>MAX to 5rep</v>
      </c>
      <c r="D59" s="97" t="s">
        <v>37</v>
      </c>
      <c r="E59" s="98" t="s">
        <v>5</v>
      </c>
      <c r="F59" s="5" t="s">
        <v>3</v>
      </c>
      <c r="G59" s="18">
        <f>MROUND(G58*F58,E60)</f>
        <v>145</v>
      </c>
      <c r="H59" s="18">
        <f t="shared" si="63"/>
        <v>145</v>
      </c>
      <c r="I59" s="18">
        <f t="shared" si="64"/>
        <v>145</v>
      </c>
      <c r="J59" s="18">
        <f t="shared" si="65"/>
        <v>145</v>
      </c>
      <c r="K59" s="19">
        <f>J59</f>
        <v>145</v>
      </c>
      <c r="L59" s="74" t="s">
        <v>10</v>
      </c>
      <c r="M59" s="194"/>
      <c r="N59" s="141" t="str">
        <f>"MAX to "&amp;IF(AA60-D60&gt;5,5,AA60-D60)&amp;" rep"</f>
        <v>MAX to 5 rep</v>
      </c>
      <c r="O59" s="97" t="s">
        <v>37</v>
      </c>
      <c r="P59" s="86" t="s">
        <v>5</v>
      </c>
      <c r="Q59" s="5" t="s">
        <v>3</v>
      </c>
      <c r="R59" s="18">
        <f>MROUND(R58*Q58,P60)</f>
        <v>145</v>
      </c>
      <c r="S59" s="18">
        <f t="shared" si="66"/>
        <v>145</v>
      </c>
      <c r="T59" s="18">
        <f t="shared" si="67"/>
        <v>145</v>
      </c>
      <c r="U59" s="18">
        <f t="shared" si="68"/>
        <v>145</v>
      </c>
      <c r="V59" s="19">
        <f t="shared" si="69"/>
        <v>145</v>
      </c>
      <c r="W59" s="99" t="s">
        <v>10</v>
      </c>
      <c r="X59" s="86" t="s">
        <v>28</v>
      </c>
      <c r="Y59" s="87">
        <f>L60+W60</f>
        <v>50</v>
      </c>
      <c r="Z59" s="93" t="s">
        <v>34</v>
      </c>
      <c r="AA59" s="93" t="s">
        <v>35</v>
      </c>
    </row>
    <row r="60" spans="1:27" ht="18" customHeight="1" thickTop="1" thickBot="1" x14ac:dyDescent="0.3">
      <c r="A60" s="207"/>
      <c r="B60" s="195"/>
      <c r="C60" s="144"/>
      <c r="D60" s="90">
        <f>IF(C58="",O56,IF(D58&lt;=0,O56,O56+C60))</f>
        <v>0</v>
      </c>
      <c r="E60" s="100">
        <f>P56</f>
        <v>2.5</v>
      </c>
      <c r="F60" s="13" t="s">
        <v>7</v>
      </c>
      <c r="G60" s="103">
        <f xml:space="preserve"> IF($B$3="하",0,IF(MROUND(K57/5,1)&lt;=H57,IF(MROUND(K57/5,1)&gt;=F57,MROUND(K57/5,1),F57),H57))</f>
        <v>5</v>
      </c>
      <c r="H60" s="104">
        <f>IF(MROUND((K57-G60)/4,1)&lt;=H57,IF(MROUND((K57-G60)/4,1)&gt;=F57,MROUND((K57-G60)/4,1),F57),H57)</f>
        <v>5</v>
      </c>
      <c r="I60" s="104">
        <f>IF(MROUND((K57-G60-H60)/3,1)&lt;=H57,IF(MROUND((K57-G60-H60)/3,1)&gt;=F57,MROUND((K57-G60-H60)/3,1),F57),H57)</f>
        <v>5</v>
      </c>
      <c r="J60" s="104">
        <f>IF(MROUND((K57-G60-H60-I60)/2,1)&lt;=H57,IF((K57-G60-H60-I60)/2&gt;=F57,MROUND((K57-G60-H60-I60)/2,1),K57-G60-H60-I60),H57)</f>
        <v>5</v>
      </c>
      <c r="K60" s="105">
        <f>IF((K57-(G60+H60+I60+J60))&gt;0,(K57-(G60+H60+I60+J60)),0)</f>
        <v>5</v>
      </c>
      <c r="L60" s="101">
        <f>SUM(G60:K60)</f>
        <v>25</v>
      </c>
      <c r="M60" s="195"/>
      <c r="N60" s="144"/>
      <c r="O60" s="90">
        <f>IF(""=N58,D60,IF(O58&lt;=0,D60,D60+N60))</f>
        <v>0</v>
      </c>
      <c r="P60" s="102">
        <f>E56</f>
        <v>2.5</v>
      </c>
      <c r="Q60" s="13" t="s">
        <v>7</v>
      </c>
      <c r="R60" s="103">
        <f xml:space="preserve"> IF($B$3="하",0,IF(MROUND(V57/5,1)&lt;=S57,IF(MROUND(V57/5,1)&gt;=Q57,MROUND(V57/5,1),Q57),S57))</f>
        <v>5</v>
      </c>
      <c r="S60" s="104">
        <f>IF(MROUND((V57-R60)/4,1)&lt;=S57,IF(MROUND((V57-R60)/4,1)&gt;=Q57,MROUND((V57-R60)/4,1),Q57),S57)</f>
        <v>5</v>
      </c>
      <c r="T60" s="104">
        <f>IF(MROUND((V57-R60-S60)/3,1)&lt;=S57,IF(MROUND((V57-R60-S60)/3,1)&gt;=Q57,MROUND((V57-R60-S60)/3,1),Q57),S57)</f>
        <v>5</v>
      </c>
      <c r="U60" s="104">
        <f>IF(MROUND((V57-R60-S60-T60)/2,1)&lt;=S57,IF((V57-R60-S60-T60)/2&gt;=Q57,MROUND((V57-R60-S60-T60)/2,1),V57-R60-S60-T60),S57)</f>
        <v>5</v>
      </c>
      <c r="V60" s="105">
        <f>IF((V57-(R60+S60+T60+U60))&gt;0,(V57-(R60+S60+T60+U60)),0)</f>
        <v>5</v>
      </c>
      <c r="W60" s="106">
        <f>SUM(R60:V60)</f>
        <v>25</v>
      </c>
      <c r="X60" s="88" t="s">
        <v>30</v>
      </c>
      <c r="Y60" s="89">
        <f>Y59+Y56+O60-O56</f>
        <v>700</v>
      </c>
      <c r="Z60" s="90">
        <f>ROUNDDOWN((Y56-O56+D60+L60)*$Z$4,0)</f>
        <v>6</v>
      </c>
      <c r="AA60" s="90">
        <f>ROUNDDOWN((Y56+L60-O56+D60)*$AA$4,0)</f>
        <v>47</v>
      </c>
    </row>
    <row r="61" spans="1:27" ht="18" customHeight="1" thickTop="1" thickBot="1" x14ac:dyDescent="0.3">
      <c r="A61" s="193">
        <f>A57+1</f>
        <v>15</v>
      </c>
      <c r="B61" s="193" t="str">
        <f t="shared" ref="B61" ca="1" si="70">IF((L64+Y60)&lt;IF(B$3="하",$AE$8,$AE$6),0,IF((L64+Y60)&gt;IF(B$3="하",$AE$7,$AE$5),"",MAX(B57,M57)+1))</f>
        <v/>
      </c>
      <c r="C61" s="141" t="str">
        <f>"MAX to "&amp;MROUND(IF(IF(AA62-O60&gt;5,5,AA62-O60)&lt;2,J57,J57*(37-IF(AA62-O60&gt;5,5,AA62-O60))/36),E64)</f>
        <v>MAX to 177.5</v>
      </c>
      <c r="D61" s="90" t="str">
        <f>IF(AA62&lt;=O60,"X",IF(Z62&gt;O60,"must ME","can ME"))</f>
        <v>must ME</v>
      </c>
      <c r="E61" s="75" t="s">
        <v>31</v>
      </c>
      <c r="F61" s="23">
        <v>4</v>
      </c>
      <c r="G61" s="2">
        <v>1</v>
      </c>
      <c r="H61" s="23">
        <f>IF(G62&gt;=90%,2,IF(G62&gt;=80%,4,IF(G62&gt;=70%,6,6)))</f>
        <v>6</v>
      </c>
      <c r="I61" s="3" t="s">
        <v>2</v>
      </c>
      <c r="J61" s="91">
        <f>L62/(100%-IF($B$3="하",$AB$8,$AB$6)*L64)/L64</f>
        <v>200.69204152249139</v>
      </c>
      <c r="K61" s="92">
        <f>IF("하"=$B$3,$AC$7,$AC$5)</f>
        <v>25</v>
      </c>
      <c r="L61" s="107" t="s">
        <v>33</v>
      </c>
      <c r="M61" s="193" t="str">
        <f t="shared" ref="M61" ca="1" si="71">IF($Y64&lt;IF(M$3="하",$AE$8,$AE$6),0,IF($Y64&gt;IF(M$3="하",$AE$7,$AE$5),"",MAX(B61,M57)+1))</f>
        <v/>
      </c>
      <c r="N61" s="141" t="str">
        <f>"MAX to "&amp;MROUND(IF(IF(AA64-D64&gt;5,5,AA64-D64)&lt;2,U57,U57*(37-IF(AA64-D64&gt;5,5,AA64-D64))/36),P64)</f>
        <v>MAX to 177.5</v>
      </c>
      <c r="O61" s="90" t="str">
        <f>IF(AA64&lt;=D64,"X",IF(Z64&gt;D64,"must ME","can ME"))</f>
        <v>must ME</v>
      </c>
      <c r="P61" s="75" t="s">
        <v>31</v>
      </c>
      <c r="Q61" s="23">
        <v>4</v>
      </c>
      <c r="R61" s="2" t="s">
        <v>32</v>
      </c>
      <c r="S61" s="23">
        <v>6</v>
      </c>
      <c r="T61" s="3" t="s">
        <v>2</v>
      </c>
      <c r="U61" s="91">
        <f>W62/(100%-IF($B$3="하",$AB$8,$AB$6)*W64)/W64</f>
        <v>200.69204152249139</v>
      </c>
      <c r="V61" s="92">
        <f>IF("하"=$B$3,$AC$8,$AC$6)</f>
        <v>25</v>
      </c>
      <c r="W61" s="108" t="s">
        <v>33</v>
      </c>
      <c r="X61" s="75" t="s">
        <v>25</v>
      </c>
      <c r="Y61" s="76">
        <f>L62+W62</f>
        <v>7250</v>
      </c>
      <c r="Z61" s="93" t="s">
        <v>34</v>
      </c>
      <c r="AA61" s="93" t="s">
        <v>35</v>
      </c>
    </row>
    <row r="62" spans="1:27" ht="18" customHeight="1" thickTop="1" thickBot="1" x14ac:dyDescent="0.3">
      <c r="A62" s="194"/>
      <c r="B62" s="194"/>
      <c r="C62" s="143"/>
      <c r="D62" s="142" t="str">
        <f>IF(C64="","",IF(C62*36/(37-C64)=0,"",C62*36/(37-C64)))</f>
        <v/>
      </c>
      <c r="E62" s="109" t="str">
        <f>E58</f>
        <v>exercise1</v>
      </c>
      <c r="F62" s="18">
        <f>IF(D62="",J57,D62)</f>
        <v>200.69204152249139</v>
      </c>
      <c r="G62" s="94">
        <f>100%-K61*IF($B$3="하",$AB$8,$AB$6)</f>
        <v>0.72249999999999992</v>
      </c>
      <c r="H62" s="7">
        <f t="shared" ref="H62:H63" si="72">G62</f>
        <v>0.72249999999999992</v>
      </c>
      <c r="I62" s="7">
        <f t="shared" ref="I62:I63" si="73">H62</f>
        <v>0.72249999999999992</v>
      </c>
      <c r="J62" s="7">
        <f t="shared" ref="J62:J63" si="74">I62</f>
        <v>0.72249999999999992</v>
      </c>
      <c r="K62" s="8">
        <f>J62</f>
        <v>0.72249999999999992</v>
      </c>
      <c r="L62" s="95">
        <f>G63*G64+H63*H64+I63*I64+J63*J64+K63*K64</f>
        <v>3625</v>
      </c>
      <c r="M62" s="194"/>
      <c r="N62" s="143"/>
      <c r="O62" s="142" t="str">
        <f>IF(N64="","",IF(N62*36/(37-N64)=0,"",N62*36/(37-N64)))</f>
        <v/>
      </c>
      <c r="P62" s="109" t="str">
        <f>P58</f>
        <v>exercise2</v>
      </c>
      <c r="Q62" s="18">
        <f>IF(O62="",U57,O62)</f>
        <v>200.69204152249139</v>
      </c>
      <c r="R62" s="94">
        <f>100%-V61*IF($B$3="하",$AB$8,$AB$6)</f>
        <v>0.72249999999999992</v>
      </c>
      <c r="S62" s="7">
        <f t="shared" ref="S62:S63" si="75">R62</f>
        <v>0.72249999999999992</v>
      </c>
      <c r="T62" s="7">
        <f t="shared" ref="T62:T63" si="76">S62</f>
        <v>0.72249999999999992</v>
      </c>
      <c r="U62" s="7">
        <f t="shared" ref="U62:U63" si="77">T62</f>
        <v>0.72249999999999992</v>
      </c>
      <c r="V62" s="8">
        <f t="shared" ref="V62:V63" si="78">U62</f>
        <v>0.72249999999999992</v>
      </c>
      <c r="W62" s="96">
        <f>R63*R64+S63*S64+T63*T64+U63*U64+V63*V64</f>
        <v>3625</v>
      </c>
      <c r="X62" s="86" t="s">
        <v>27</v>
      </c>
      <c r="Y62" s="81">
        <f>Y61+Y58</f>
        <v>108750</v>
      </c>
      <c r="Z62" s="90">
        <f>ROUNDDOWN(Y60*$Z$4,0)</f>
        <v>7</v>
      </c>
      <c r="AA62" s="90">
        <f>ROUNDDOWN(Y60*$AA$4,0)</f>
        <v>49</v>
      </c>
    </row>
    <row r="63" spans="1:27" ht="18" customHeight="1" thickTop="1" thickBot="1" x14ac:dyDescent="0.3">
      <c r="A63" s="194"/>
      <c r="B63" s="194"/>
      <c r="C63" s="141" t="str">
        <f>"MAX to "&amp;IF(AA62-O60&gt;5,5,AA62-O60)&amp;"rep"</f>
        <v>MAX to 5rep</v>
      </c>
      <c r="D63" s="97" t="s">
        <v>37</v>
      </c>
      <c r="E63" s="98" t="s">
        <v>5</v>
      </c>
      <c r="F63" s="5" t="s">
        <v>3</v>
      </c>
      <c r="G63" s="18">
        <f>MROUND(G62*F62,E64)</f>
        <v>145</v>
      </c>
      <c r="H63" s="18">
        <f t="shared" si="72"/>
        <v>145</v>
      </c>
      <c r="I63" s="18">
        <f t="shared" si="73"/>
        <v>145</v>
      </c>
      <c r="J63" s="18">
        <f t="shared" si="74"/>
        <v>145</v>
      </c>
      <c r="K63" s="19">
        <f>J63</f>
        <v>145</v>
      </c>
      <c r="L63" s="74" t="s">
        <v>10</v>
      </c>
      <c r="M63" s="194"/>
      <c r="N63" s="141" t="str">
        <f>"MAX to "&amp;IF(AA64-D64&gt;5,5,AA64-D64)&amp;" rep"</f>
        <v>MAX to 5 rep</v>
      </c>
      <c r="O63" s="97" t="s">
        <v>37</v>
      </c>
      <c r="P63" s="86" t="s">
        <v>5</v>
      </c>
      <c r="Q63" s="5" t="s">
        <v>3</v>
      </c>
      <c r="R63" s="18">
        <f>MROUND(R62*Q62,P64)</f>
        <v>145</v>
      </c>
      <c r="S63" s="18">
        <f t="shared" si="75"/>
        <v>145</v>
      </c>
      <c r="T63" s="18">
        <f t="shared" si="76"/>
        <v>145</v>
      </c>
      <c r="U63" s="18">
        <f t="shared" si="77"/>
        <v>145</v>
      </c>
      <c r="V63" s="19">
        <f t="shared" si="78"/>
        <v>145</v>
      </c>
      <c r="W63" s="99" t="s">
        <v>10</v>
      </c>
      <c r="X63" s="86" t="s">
        <v>28</v>
      </c>
      <c r="Y63" s="87">
        <f>L64+W64</f>
        <v>50</v>
      </c>
      <c r="Z63" s="93" t="s">
        <v>34</v>
      </c>
      <c r="AA63" s="93" t="s">
        <v>35</v>
      </c>
    </row>
    <row r="64" spans="1:27" ht="18" customHeight="1" thickTop="1" thickBot="1" x14ac:dyDescent="0.3">
      <c r="A64" s="195"/>
      <c r="B64" s="195"/>
      <c r="C64" s="144"/>
      <c r="D64" s="90">
        <f>IF(C62="",O60,IF(D62&lt;=0,O60,O60+C64))</f>
        <v>0</v>
      </c>
      <c r="E64" s="100">
        <f>P60</f>
        <v>2.5</v>
      </c>
      <c r="F64" s="13" t="s">
        <v>7</v>
      </c>
      <c r="G64" s="103">
        <f xml:space="preserve"> IF($B$3="하",0,IF(MROUND(K61/5,1)&lt;=H61,IF(MROUND(K61/5,1)&gt;=F61,MROUND(K61/5,1),F61),H61))</f>
        <v>5</v>
      </c>
      <c r="H64" s="104">
        <f>IF(MROUND((K61-G64)/4,1)&lt;=H61,IF(MROUND((K61-G64)/4,1)&gt;=F61,MROUND((K61-G64)/4,1),F61),H61)</f>
        <v>5</v>
      </c>
      <c r="I64" s="104">
        <f>IF(MROUND((K61-G64-H64)/3,1)&lt;=H61,IF(MROUND((K61-G64-H64)/3,1)&gt;=F61,MROUND((K61-G64-H64)/3,1),F61),H61)</f>
        <v>5</v>
      </c>
      <c r="J64" s="104">
        <f>IF(MROUND((K61-G64-H64-I64)/2,1)&lt;=H61,IF((K61-G64-H64-I64)/2&gt;=F61,MROUND((K61-G64-H64-I64)/2,1),K61-G64-H64-I64),H61)</f>
        <v>5</v>
      </c>
      <c r="K64" s="105">
        <f>IF((K61-(G64+H64+I64+J64))&gt;0,(K61-(G64+H64+I64+J64)),0)</f>
        <v>5</v>
      </c>
      <c r="L64" s="101">
        <f>SUM(G64:K64)</f>
        <v>25</v>
      </c>
      <c r="M64" s="195"/>
      <c r="N64" s="144"/>
      <c r="O64" s="90">
        <f>IF(""=N62,D64,IF(O62&lt;=0,D64,D64+N64))</f>
        <v>0</v>
      </c>
      <c r="P64" s="102">
        <f>E60</f>
        <v>2.5</v>
      </c>
      <c r="Q64" s="13" t="s">
        <v>7</v>
      </c>
      <c r="R64" s="103">
        <f xml:space="preserve"> IF($B$3="하",0,IF(MROUND(V61/5,1)&lt;=S61,IF(MROUND(V61/5,1)&gt;=Q61,MROUND(V61/5,1),Q61),S61))</f>
        <v>5</v>
      </c>
      <c r="S64" s="104">
        <f>IF(MROUND((V61-R64)/4,1)&lt;=S61,IF(MROUND((V61-R64)/4,1)&gt;=Q61,MROUND((V61-R64)/4,1),Q61),S61)</f>
        <v>5</v>
      </c>
      <c r="T64" s="104">
        <f>IF(MROUND((V61-R64-S64)/3,1)&lt;=S61,IF(MROUND((V61-R64-S64)/3,1)&gt;=Q61,MROUND((V61-R64-S64)/3,1),Q61),S61)</f>
        <v>5</v>
      </c>
      <c r="U64" s="104">
        <f>IF(MROUND((V61-R64-S64-T64)/2,1)&lt;=S61,IF((V61-R64-S64-T64)/2&gt;=Q61,MROUND((V61-R64-S64-T64)/2,1),V61-R64-S64-T64),S61)</f>
        <v>5</v>
      </c>
      <c r="V64" s="105">
        <f>IF((V61-(R64+S64+T64+U64))&gt;0,(V61-(R64+S64+T64+U64)),0)</f>
        <v>5</v>
      </c>
      <c r="W64" s="106">
        <f>SUM(R64:V64)</f>
        <v>25</v>
      </c>
      <c r="X64" s="88" t="s">
        <v>30</v>
      </c>
      <c r="Y64" s="89">
        <f>Y63+Y60+O64-O60</f>
        <v>750</v>
      </c>
      <c r="Z64" s="90">
        <f>ROUNDDOWN((Y60-O60+D64+L64)*$Z$4,0)</f>
        <v>7</v>
      </c>
      <c r="AA64" s="90">
        <f>ROUNDDOWN((Y60+L64-O60+D64)*$AA$4,0)</f>
        <v>50</v>
      </c>
    </row>
    <row r="65" ht="17.25" thickTop="1" x14ac:dyDescent="0.25"/>
  </sheetData>
  <mergeCells count="50">
    <mergeCell ref="A57:A60"/>
    <mergeCell ref="B57:B60"/>
    <mergeCell ref="M57:M60"/>
    <mergeCell ref="A61:A64"/>
    <mergeCell ref="B61:B64"/>
    <mergeCell ref="M61:M64"/>
    <mergeCell ref="A49:A52"/>
    <mergeCell ref="B49:B52"/>
    <mergeCell ref="M49:M52"/>
    <mergeCell ref="A53:A56"/>
    <mergeCell ref="B53:B56"/>
    <mergeCell ref="M53:M56"/>
    <mergeCell ref="A25:A28"/>
    <mergeCell ref="A29:A32"/>
    <mergeCell ref="B4:L4"/>
    <mergeCell ref="M4:W4"/>
    <mergeCell ref="A5:A8"/>
    <mergeCell ref="A9:A12"/>
    <mergeCell ref="A13:A16"/>
    <mergeCell ref="A17:A20"/>
    <mergeCell ref="A21:A24"/>
    <mergeCell ref="B29:B32"/>
    <mergeCell ref="M29:M32"/>
    <mergeCell ref="B25:B28"/>
    <mergeCell ref="M5:M8"/>
    <mergeCell ref="M9:M12"/>
    <mergeCell ref="M13:M16"/>
    <mergeCell ref="M17:M20"/>
    <mergeCell ref="C1:E1"/>
    <mergeCell ref="M21:M24"/>
    <mergeCell ref="M25:M28"/>
    <mergeCell ref="B21:B24"/>
    <mergeCell ref="B5:B8"/>
    <mergeCell ref="B9:B12"/>
    <mergeCell ref="B13:B16"/>
    <mergeCell ref="B17:B20"/>
    <mergeCell ref="F1:G1"/>
    <mergeCell ref="H1:I1"/>
    <mergeCell ref="A33:A36"/>
    <mergeCell ref="B33:B36"/>
    <mergeCell ref="M33:M36"/>
    <mergeCell ref="A37:A40"/>
    <mergeCell ref="B37:B40"/>
    <mergeCell ref="M37:M40"/>
    <mergeCell ref="A41:A44"/>
    <mergeCell ref="B41:B44"/>
    <mergeCell ref="M41:M44"/>
    <mergeCell ref="A45:A48"/>
    <mergeCell ref="B45:B48"/>
    <mergeCell ref="M45:M48"/>
  </mergeCells>
  <phoneticPr fontId="1" type="noConversion"/>
  <conditionalFormatting sqref="A5:B40 A45:A48">
    <cfRule type="containsText" dxfId="299" priority="43" operator="containsText" text="0">
      <formula>NOT(ISERROR(SEARCH("0",A5)))</formula>
    </cfRule>
  </conditionalFormatting>
  <conditionalFormatting sqref="A49:B56 A61:A64">
    <cfRule type="containsText" dxfId="298" priority="5" operator="containsText" text="0">
      <formula>NOT(ISERROR(SEARCH("0",A49)))</formula>
    </cfRule>
  </conditionalFormatting>
  <conditionalFormatting sqref="B41:B48">
    <cfRule type="containsText" dxfId="297" priority="42" operator="containsText" text="0">
      <formula>NOT(ISERROR(SEARCH("0",B41)))</formula>
    </cfRule>
  </conditionalFormatting>
  <conditionalFormatting sqref="B57:B64">
    <cfRule type="containsText" dxfId="296" priority="4" operator="containsText" text="0">
      <formula>NOT(ISERROR(SEARCH("0",B57)))</formula>
    </cfRule>
  </conditionalFormatting>
  <conditionalFormatting sqref="D2:D3">
    <cfRule type="cellIs" dxfId="295" priority="748" operator="equal">
      <formula>"ME"</formula>
    </cfRule>
  </conditionalFormatting>
  <conditionalFormatting sqref="D5">
    <cfRule type="containsText" dxfId="294" priority="640" operator="containsText" text="must">
      <formula>NOT(ISERROR(SEARCH("must",D5)))</formula>
    </cfRule>
    <cfRule type="containsText" dxfId="293" priority="639" operator="containsText" text="can">
      <formula>NOT(ISERROR(SEARCH("can",D5)))</formula>
    </cfRule>
  </conditionalFormatting>
  <conditionalFormatting sqref="D6:D8">
    <cfRule type="containsText" dxfId="292" priority="736" operator="containsText" text="ME">
      <formula>NOT(ISERROR(SEARCH("ME",D6)))</formula>
    </cfRule>
  </conditionalFormatting>
  <conditionalFormatting sqref="D9">
    <cfRule type="containsText" dxfId="291" priority="206" operator="containsText" text="must">
      <formula>NOT(ISERROR(SEARCH("must",D9)))</formula>
    </cfRule>
    <cfRule type="containsText" dxfId="290" priority="205" operator="containsText" text="can">
      <formula>NOT(ISERROR(SEARCH("can",D9)))</formula>
    </cfRule>
  </conditionalFormatting>
  <conditionalFormatting sqref="D10:D12">
    <cfRule type="containsText" dxfId="289" priority="203" operator="containsText" text="ME">
      <formula>NOT(ISERROR(SEARCH("ME",D10)))</formula>
    </cfRule>
  </conditionalFormatting>
  <conditionalFormatting sqref="D13">
    <cfRule type="containsText" dxfId="288" priority="197" operator="containsText" text="must">
      <formula>NOT(ISERROR(SEARCH("must",D13)))</formula>
    </cfRule>
    <cfRule type="containsText" dxfId="287" priority="196" operator="containsText" text="can">
      <formula>NOT(ISERROR(SEARCH("can",D13)))</formula>
    </cfRule>
  </conditionalFormatting>
  <conditionalFormatting sqref="D14:D16">
    <cfRule type="containsText" dxfId="286" priority="194" operator="containsText" text="ME">
      <formula>NOT(ISERROR(SEARCH("ME",D14)))</formula>
    </cfRule>
  </conditionalFormatting>
  <conditionalFormatting sqref="D17">
    <cfRule type="containsText" dxfId="285" priority="188" operator="containsText" text="must">
      <formula>NOT(ISERROR(SEARCH("must",D17)))</formula>
    </cfRule>
    <cfRule type="containsText" dxfId="284" priority="187" operator="containsText" text="can">
      <formula>NOT(ISERROR(SEARCH("can",D17)))</formula>
    </cfRule>
  </conditionalFormatting>
  <conditionalFormatting sqref="D18:D20">
    <cfRule type="containsText" dxfId="283" priority="185" operator="containsText" text="ME">
      <formula>NOT(ISERROR(SEARCH("ME",D18)))</formula>
    </cfRule>
  </conditionalFormatting>
  <conditionalFormatting sqref="D21">
    <cfRule type="containsText" dxfId="282" priority="176" operator="containsText" text="can">
      <formula>NOT(ISERROR(SEARCH("can",D21)))</formula>
    </cfRule>
    <cfRule type="containsText" dxfId="281" priority="177" operator="containsText" text="must">
      <formula>NOT(ISERROR(SEARCH("must",D21)))</formula>
    </cfRule>
  </conditionalFormatting>
  <conditionalFormatting sqref="D22:D24">
    <cfRule type="containsText" dxfId="280" priority="174" operator="containsText" text="ME">
      <formula>NOT(ISERROR(SEARCH("ME",D22)))</formula>
    </cfRule>
  </conditionalFormatting>
  <conditionalFormatting sqref="D25">
    <cfRule type="containsText" dxfId="279" priority="90" operator="containsText" text="can">
      <formula>NOT(ISERROR(SEARCH("can",D25)))</formula>
    </cfRule>
    <cfRule type="containsText" dxfId="278" priority="91" operator="containsText" text="must">
      <formula>NOT(ISERROR(SEARCH("must",D25)))</formula>
    </cfRule>
  </conditionalFormatting>
  <conditionalFormatting sqref="D26:D28">
    <cfRule type="containsText" dxfId="277" priority="88" operator="containsText" text="ME">
      <formula>NOT(ISERROR(SEARCH("ME",D26)))</formula>
    </cfRule>
  </conditionalFormatting>
  <conditionalFormatting sqref="D29">
    <cfRule type="containsText" dxfId="276" priority="81" operator="containsText" text="can">
      <formula>NOT(ISERROR(SEARCH("can",D29)))</formula>
    </cfRule>
    <cfRule type="containsText" dxfId="275" priority="82" operator="containsText" text="must">
      <formula>NOT(ISERROR(SEARCH("must",D29)))</formula>
    </cfRule>
  </conditionalFormatting>
  <conditionalFormatting sqref="D30:D32">
    <cfRule type="containsText" dxfId="274" priority="79" operator="containsText" text="ME">
      <formula>NOT(ISERROR(SEARCH("ME",D30)))</formula>
    </cfRule>
  </conditionalFormatting>
  <conditionalFormatting sqref="D33">
    <cfRule type="containsText" dxfId="273" priority="71" operator="containsText" text="can">
      <formula>NOT(ISERROR(SEARCH("can",D33)))</formula>
    </cfRule>
    <cfRule type="containsText" dxfId="272" priority="72" operator="containsText" text="must">
      <formula>NOT(ISERROR(SEARCH("must",D33)))</formula>
    </cfRule>
  </conditionalFormatting>
  <conditionalFormatting sqref="D34:D36">
    <cfRule type="containsText" dxfId="271" priority="69" operator="containsText" text="ME">
      <formula>NOT(ISERROR(SEARCH("ME",D34)))</formula>
    </cfRule>
  </conditionalFormatting>
  <conditionalFormatting sqref="D37">
    <cfRule type="containsText" dxfId="270" priority="63" operator="containsText" text="must">
      <formula>NOT(ISERROR(SEARCH("must",D37)))</formula>
    </cfRule>
    <cfRule type="containsText" dxfId="269" priority="62" operator="containsText" text="can">
      <formula>NOT(ISERROR(SEARCH("can",D37)))</formula>
    </cfRule>
  </conditionalFormatting>
  <conditionalFormatting sqref="D38:D40">
    <cfRule type="containsText" dxfId="268" priority="60" operator="containsText" text="ME">
      <formula>NOT(ISERROR(SEARCH("ME",D38)))</formula>
    </cfRule>
  </conditionalFormatting>
  <conditionalFormatting sqref="D41">
    <cfRule type="containsText" dxfId="267" priority="53" operator="containsText" text="can">
      <formula>NOT(ISERROR(SEARCH("can",D41)))</formula>
    </cfRule>
    <cfRule type="containsText" dxfId="266" priority="54" operator="containsText" text="must">
      <formula>NOT(ISERROR(SEARCH("must",D41)))</formula>
    </cfRule>
  </conditionalFormatting>
  <conditionalFormatting sqref="D42:D44">
    <cfRule type="containsText" dxfId="265" priority="51" operator="containsText" text="ME">
      <formula>NOT(ISERROR(SEARCH("ME",D42)))</formula>
    </cfRule>
  </conditionalFormatting>
  <conditionalFormatting sqref="D45">
    <cfRule type="containsText" dxfId="264" priority="40" operator="containsText" text="can">
      <formula>NOT(ISERROR(SEARCH("can",D45)))</formula>
    </cfRule>
    <cfRule type="containsText" dxfId="263" priority="41" operator="containsText" text="must">
      <formula>NOT(ISERROR(SEARCH("must",D45)))</formula>
    </cfRule>
  </conditionalFormatting>
  <conditionalFormatting sqref="D46:D48">
    <cfRule type="containsText" dxfId="262" priority="39" operator="containsText" text="ME">
      <formula>NOT(ISERROR(SEARCH("ME",D46)))</formula>
    </cfRule>
  </conditionalFormatting>
  <conditionalFormatting sqref="D49">
    <cfRule type="containsText" dxfId="261" priority="34" operator="containsText" text="must">
      <formula>NOT(ISERROR(SEARCH("must",D49)))</formula>
    </cfRule>
    <cfRule type="containsText" dxfId="260" priority="33" operator="containsText" text="can">
      <formula>NOT(ISERROR(SEARCH("can",D49)))</formula>
    </cfRule>
  </conditionalFormatting>
  <conditionalFormatting sqref="D50:D52">
    <cfRule type="containsText" dxfId="259" priority="31" operator="containsText" text="ME">
      <formula>NOT(ISERROR(SEARCH("ME",D50)))</formula>
    </cfRule>
  </conditionalFormatting>
  <conditionalFormatting sqref="D53">
    <cfRule type="containsText" dxfId="258" priority="24" operator="containsText" text="can">
      <formula>NOT(ISERROR(SEARCH("can",D53)))</formula>
    </cfRule>
    <cfRule type="containsText" dxfId="257" priority="25" operator="containsText" text="must">
      <formula>NOT(ISERROR(SEARCH("must",D53)))</formula>
    </cfRule>
  </conditionalFormatting>
  <conditionalFormatting sqref="D54:D56">
    <cfRule type="containsText" dxfId="256" priority="22" operator="containsText" text="ME">
      <formula>NOT(ISERROR(SEARCH("ME",D54)))</formula>
    </cfRule>
  </conditionalFormatting>
  <conditionalFormatting sqref="D57">
    <cfRule type="containsText" dxfId="255" priority="16" operator="containsText" text="must">
      <formula>NOT(ISERROR(SEARCH("must",D57)))</formula>
    </cfRule>
    <cfRule type="containsText" dxfId="254" priority="15" operator="containsText" text="can">
      <formula>NOT(ISERROR(SEARCH("can",D57)))</formula>
    </cfRule>
  </conditionalFormatting>
  <conditionalFormatting sqref="D58:D60">
    <cfRule type="containsText" dxfId="253" priority="13" operator="containsText" text="ME">
      <formula>NOT(ISERROR(SEARCH("ME",D58)))</formula>
    </cfRule>
  </conditionalFormatting>
  <conditionalFormatting sqref="D61">
    <cfRule type="containsText" dxfId="252" priority="2" operator="containsText" text="can">
      <formula>NOT(ISERROR(SEARCH("can",D61)))</formula>
    </cfRule>
    <cfRule type="containsText" dxfId="251" priority="3" operator="containsText" text="must">
      <formula>NOT(ISERROR(SEARCH("must",D61)))</formula>
    </cfRule>
  </conditionalFormatting>
  <conditionalFormatting sqref="D62:D64">
    <cfRule type="containsText" dxfId="250" priority="1" operator="containsText" text="ME">
      <formula>NOT(ISERROR(SEARCH("ME",D62)))</formula>
    </cfRule>
  </conditionalFormatting>
  <conditionalFormatting sqref="K5">
    <cfRule type="cellIs" dxfId="249" priority="753" operator="equal">
      <formula>"ME"</formula>
    </cfRule>
  </conditionalFormatting>
  <conditionalFormatting sqref="K9">
    <cfRule type="cellIs" dxfId="248" priority="210" operator="equal">
      <formula>"ME"</formula>
    </cfRule>
  </conditionalFormatting>
  <conditionalFormatting sqref="K13">
    <cfRule type="cellIs" dxfId="247" priority="201" operator="equal">
      <formula>"ME"</formula>
    </cfRule>
  </conditionalFormatting>
  <conditionalFormatting sqref="K17">
    <cfRule type="cellIs" dxfId="246" priority="192" operator="equal">
      <formula>"ME"</formula>
    </cfRule>
  </conditionalFormatting>
  <conditionalFormatting sqref="K21">
    <cfRule type="cellIs" dxfId="245" priority="181" operator="equal">
      <formula>"ME"</formula>
    </cfRule>
  </conditionalFormatting>
  <conditionalFormatting sqref="K25">
    <cfRule type="cellIs" dxfId="244" priority="95" operator="equal">
      <formula>"ME"</formula>
    </cfRule>
  </conditionalFormatting>
  <conditionalFormatting sqref="K29">
    <cfRule type="cellIs" dxfId="243" priority="86" operator="equal">
      <formula>"ME"</formula>
    </cfRule>
  </conditionalFormatting>
  <conditionalFormatting sqref="K33">
    <cfRule type="cellIs" dxfId="242" priority="76" operator="equal">
      <formula>"ME"</formula>
    </cfRule>
  </conditionalFormatting>
  <conditionalFormatting sqref="K37">
    <cfRule type="cellIs" dxfId="241" priority="67" operator="equal">
      <formula>"ME"</formula>
    </cfRule>
  </conditionalFormatting>
  <conditionalFormatting sqref="K41">
    <cfRule type="cellIs" dxfId="240" priority="58" operator="equal">
      <formula>"ME"</formula>
    </cfRule>
  </conditionalFormatting>
  <conditionalFormatting sqref="K45">
    <cfRule type="cellIs" dxfId="239" priority="49" operator="equal">
      <formula>"ME"</formula>
    </cfRule>
  </conditionalFormatting>
  <conditionalFormatting sqref="K49">
    <cfRule type="cellIs" dxfId="238" priority="38" operator="equal">
      <formula>"ME"</formula>
    </cfRule>
  </conditionalFormatting>
  <conditionalFormatting sqref="K53">
    <cfRule type="cellIs" dxfId="237" priority="29" operator="equal">
      <formula>"ME"</formula>
    </cfRule>
  </conditionalFormatting>
  <conditionalFormatting sqref="K57">
    <cfRule type="cellIs" dxfId="236" priority="20" operator="equal">
      <formula>"ME"</formula>
    </cfRule>
  </conditionalFormatting>
  <conditionalFormatting sqref="K61">
    <cfRule type="cellIs" dxfId="235" priority="11" operator="equal">
      <formula>"ME"</formula>
    </cfRule>
  </conditionalFormatting>
  <conditionalFormatting sqref="M5:M64">
    <cfRule type="containsText" dxfId="234" priority="77" operator="containsText" text="0">
      <formula>NOT(ISERROR(SEARCH("0",M5)))</formula>
    </cfRule>
  </conditionalFormatting>
  <conditionalFormatting sqref="O2:O3">
    <cfRule type="cellIs" dxfId="233" priority="747" operator="equal">
      <formula>"ME"</formula>
    </cfRule>
  </conditionalFormatting>
  <conditionalFormatting sqref="O5">
    <cfRule type="containsText" dxfId="232" priority="749" operator="containsText" text="can">
      <formula>NOT(ISERROR(SEARCH("can",O5)))</formula>
    </cfRule>
    <cfRule type="containsText" dxfId="231" priority="750" operator="containsText" text="must">
      <formula>NOT(ISERROR(SEARCH("must",O5)))</formula>
    </cfRule>
  </conditionalFormatting>
  <conditionalFormatting sqref="O6:O7">
    <cfRule type="containsText" dxfId="230" priority="521" operator="containsText" text="ME">
      <formula>NOT(ISERROR(SEARCH("ME",O6)))</formula>
    </cfRule>
  </conditionalFormatting>
  <conditionalFormatting sqref="O7:O8">
    <cfRule type="containsText" dxfId="229" priority="751" operator="containsText" text="ME">
      <formula>NOT(ISERROR(SEARCH("ME",O7)))</formula>
    </cfRule>
  </conditionalFormatting>
  <conditionalFormatting sqref="O9">
    <cfRule type="containsText" dxfId="228" priority="208" operator="containsText" text="must">
      <formula>NOT(ISERROR(SEARCH("must",O9)))</formula>
    </cfRule>
    <cfRule type="containsText" dxfId="227" priority="207" operator="containsText" text="can">
      <formula>NOT(ISERROR(SEARCH("can",O9)))</formula>
    </cfRule>
  </conditionalFormatting>
  <conditionalFormatting sqref="O10:O11">
    <cfRule type="containsText" dxfId="226" priority="202" operator="containsText" text="ME">
      <formula>NOT(ISERROR(SEARCH("ME",O10)))</formula>
    </cfRule>
  </conditionalFormatting>
  <conditionalFormatting sqref="O11:O12">
    <cfRule type="containsText" dxfId="225" priority="204" operator="containsText" text="ME">
      <formula>NOT(ISERROR(SEARCH("ME",O11)))</formula>
    </cfRule>
  </conditionalFormatting>
  <conditionalFormatting sqref="O13">
    <cfRule type="containsText" dxfId="224" priority="198" operator="containsText" text="can">
      <formula>NOT(ISERROR(SEARCH("can",O13)))</formula>
    </cfRule>
    <cfRule type="containsText" dxfId="223" priority="199" operator="containsText" text="must">
      <formula>NOT(ISERROR(SEARCH("must",O13)))</formula>
    </cfRule>
  </conditionalFormatting>
  <conditionalFormatting sqref="O14:O15">
    <cfRule type="containsText" dxfId="222" priority="193" operator="containsText" text="ME">
      <formula>NOT(ISERROR(SEARCH("ME",O14)))</formula>
    </cfRule>
  </conditionalFormatting>
  <conditionalFormatting sqref="O15:O16">
    <cfRule type="containsText" dxfId="221" priority="195" operator="containsText" text="ME">
      <formula>NOT(ISERROR(SEARCH("ME",O15)))</formula>
    </cfRule>
  </conditionalFormatting>
  <conditionalFormatting sqref="O17">
    <cfRule type="containsText" dxfId="220" priority="190" operator="containsText" text="must">
      <formula>NOT(ISERROR(SEARCH("must",O17)))</formula>
    </cfRule>
    <cfRule type="containsText" dxfId="219" priority="189" operator="containsText" text="can">
      <formula>NOT(ISERROR(SEARCH("can",O17)))</formula>
    </cfRule>
  </conditionalFormatting>
  <conditionalFormatting sqref="O18:O19">
    <cfRule type="containsText" dxfId="218" priority="184" operator="containsText" text="ME">
      <formula>NOT(ISERROR(SEARCH("ME",O18)))</formula>
    </cfRule>
  </conditionalFormatting>
  <conditionalFormatting sqref="O19:O20">
    <cfRule type="containsText" dxfId="217" priority="186" operator="containsText" text="ME">
      <formula>NOT(ISERROR(SEARCH("ME",O19)))</formula>
    </cfRule>
  </conditionalFormatting>
  <conditionalFormatting sqref="O21">
    <cfRule type="containsText" dxfId="216" priority="178" operator="containsText" text="can">
      <formula>NOT(ISERROR(SEARCH("can",O21)))</formula>
    </cfRule>
    <cfRule type="containsText" dxfId="215" priority="179" operator="containsText" text="must">
      <formula>NOT(ISERROR(SEARCH("must",O21)))</formula>
    </cfRule>
  </conditionalFormatting>
  <conditionalFormatting sqref="O22:O23">
    <cfRule type="containsText" dxfId="214" priority="173" operator="containsText" text="ME">
      <formula>NOT(ISERROR(SEARCH("ME",O22)))</formula>
    </cfRule>
  </conditionalFormatting>
  <conditionalFormatting sqref="O23:O24">
    <cfRule type="containsText" dxfId="213" priority="175" operator="containsText" text="ME">
      <formula>NOT(ISERROR(SEARCH("ME",O23)))</formula>
    </cfRule>
  </conditionalFormatting>
  <conditionalFormatting sqref="O25">
    <cfRule type="containsText" dxfId="212" priority="92" operator="containsText" text="can">
      <formula>NOT(ISERROR(SEARCH("can",O25)))</formula>
    </cfRule>
    <cfRule type="containsText" dxfId="211" priority="93" operator="containsText" text="must">
      <formula>NOT(ISERROR(SEARCH("must",O25)))</formula>
    </cfRule>
  </conditionalFormatting>
  <conditionalFormatting sqref="O26:O27">
    <cfRule type="containsText" dxfId="210" priority="87" operator="containsText" text="ME">
      <formula>NOT(ISERROR(SEARCH("ME",O26)))</formula>
    </cfRule>
  </conditionalFormatting>
  <conditionalFormatting sqref="O27:O28">
    <cfRule type="containsText" dxfId="209" priority="89" operator="containsText" text="ME">
      <formula>NOT(ISERROR(SEARCH("ME",O27)))</formula>
    </cfRule>
  </conditionalFormatting>
  <conditionalFormatting sqref="O29">
    <cfRule type="containsText" dxfId="208" priority="84" operator="containsText" text="must">
      <formula>NOT(ISERROR(SEARCH("must",O29)))</formula>
    </cfRule>
    <cfRule type="containsText" dxfId="207" priority="83" operator="containsText" text="can">
      <formula>NOT(ISERROR(SEARCH("can",O29)))</formula>
    </cfRule>
  </conditionalFormatting>
  <conditionalFormatting sqref="O30:O31">
    <cfRule type="containsText" dxfId="206" priority="78" operator="containsText" text="ME">
      <formula>NOT(ISERROR(SEARCH("ME",O30)))</formula>
    </cfRule>
  </conditionalFormatting>
  <conditionalFormatting sqref="O31:O32">
    <cfRule type="containsText" dxfId="205" priority="80" operator="containsText" text="ME">
      <formula>NOT(ISERROR(SEARCH("ME",O31)))</formula>
    </cfRule>
  </conditionalFormatting>
  <conditionalFormatting sqref="O33">
    <cfRule type="containsText" dxfId="204" priority="74" operator="containsText" text="must">
      <formula>NOT(ISERROR(SEARCH("must",O33)))</formula>
    </cfRule>
    <cfRule type="containsText" dxfId="203" priority="73" operator="containsText" text="can">
      <formula>NOT(ISERROR(SEARCH("can",O33)))</formula>
    </cfRule>
  </conditionalFormatting>
  <conditionalFormatting sqref="O34:O35">
    <cfRule type="containsText" dxfId="202" priority="68" operator="containsText" text="ME">
      <formula>NOT(ISERROR(SEARCH("ME",O34)))</formula>
    </cfRule>
  </conditionalFormatting>
  <conditionalFormatting sqref="O35:O36">
    <cfRule type="containsText" dxfId="201" priority="70" operator="containsText" text="ME">
      <formula>NOT(ISERROR(SEARCH("ME",O35)))</formula>
    </cfRule>
  </conditionalFormatting>
  <conditionalFormatting sqref="O37">
    <cfRule type="containsText" dxfId="200" priority="65" operator="containsText" text="must">
      <formula>NOT(ISERROR(SEARCH("must",O37)))</formula>
    </cfRule>
    <cfRule type="containsText" dxfId="199" priority="64" operator="containsText" text="can">
      <formula>NOT(ISERROR(SEARCH("can",O37)))</formula>
    </cfRule>
  </conditionalFormatting>
  <conditionalFormatting sqref="O38:O39">
    <cfRule type="containsText" dxfId="198" priority="59" operator="containsText" text="ME">
      <formula>NOT(ISERROR(SEARCH("ME",O38)))</formula>
    </cfRule>
  </conditionalFormatting>
  <conditionalFormatting sqref="O39:O40">
    <cfRule type="containsText" dxfId="197" priority="61" operator="containsText" text="ME">
      <formula>NOT(ISERROR(SEARCH("ME",O39)))</formula>
    </cfRule>
  </conditionalFormatting>
  <conditionalFormatting sqref="O41">
    <cfRule type="containsText" dxfId="196" priority="56" operator="containsText" text="must">
      <formula>NOT(ISERROR(SEARCH("must",O41)))</formula>
    </cfRule>
    <cfRule type="containsText" dxfId="195" priority="55" operator="containsText" text="can">
      <formula>NOT(ISERROR(SEARCH("can",O41)))</formula>
    </cfRule>
  </conditionalFormatting>
  <conditionalFormatting sqref="O42:O43">
    <cfRule type="containsText" dxfId="194" priority="50" operator="containsText" text="ME">
      <formula>NOT(ISERROR(SEARCH("ME",O42)))</formula>
    </cfRule>
  </conditionalFormatting>
  <conditionalFormatting sqref="O43:O44">
    <cfRule type="containsText" dxfId="193" priority="52" operator="containsText" text="ME">
      <formula>NOT(ISERROR(SEARCH("ME",O43)))</formula>
    </cfRule>
  </conditionalFormatting>
  <conditionalFormatting sqref="O45">
    <cfRule type="containsText" dxfId="192" priority="47" operator="containsText" text="must">
      <formula>NOT(ISERROR(SEARCH("must",O45)))</formula>
    </cfRule>
    <cfRule type="containsText" dxfId="191" priority="46" operator="containsText" text="can">
      <formula>NOT(ISERROR(SEARCH("can",O45)))</formula>
    </cfRule>
  </conditionalFormatting>
  <conditionalFormatting sqref="O46:O47">
    <cfRule type="containsText" dxfId="190" priority="44" operator="containsText" text="ME">
      <formula>NOT(ISERROR(SEARCH("ME",O46)))</formula>
    </cfRule>
  </conditionalFormatting>
  <conditionalFormatting sqref="O47:O48">
    <cfRule type="containsText" dxfId="189" priority="45" operator="containsText" text="ME">
      <formula>NOT(ISERROR(SEARCH("ME",O47)))</formula>
    </cfRule>
  </conditionalFormatting>
  <conditionalFormatting sqref="O49">
    <cfRule type="containsText" dxfId="188" priority="36" operator="containsText" text="must">
      <formula>NOT(ISERROR(SEARCH("must",O49)))</formula>
    </cfRule>
    <cfRule type="containsText" dxfId="187" priority="35" operator="containsText" text="can">
      <formula>NOT(ISERROR(SEARCH("can",O49)))</formula>
    </cfRule>
  </conditionalFormatting>
  <conditionalFormatting sqref="O50:O51">
    <cfRule type="containsText" dxfId="186" priority="30" operator="containsText" text="ME">
      <formula>NOT(ISERROR(SEARCH("ME",O50)))</formula>
    </cfRule>
  </conditionalFormatting>
  <conditionalFormatting sqref="O51:O52">
    <cfRule type="containsText" dxfId="185" priority="32" operator="containsText" text="ME">
      <formula>NOT(ISERROR(SEARCH("ME",O51)))</formula>
    </cfRule>
  </conditionalFormatting>
  <conditionalFormatting sqref="O53">
    <cfRule type="containsText" dxfId="184" priority="26" operator="containsText" text="can">
      <formula>NOT(ISERROR(SEARCH("can",O53)))</formula>
    </cfRule>
    <cfRule type="containsText" dxfId="183" priority="27" operator="containsText" text="must">
      <formula>NOT(ISERROR(SEARCH("must",O53)))</formula>
    </cfRule>
  </conditionalFormatting>
  <conditionalFormatting sqref="O54:O55">
    <cfRule type="containsText" dxfId="182" priority="21" operator="containsText" text="ME">
      <formula>NOT(ISERROR(SEARCH("ME",O54)))</formula>
    </cfRule>
  </conditionalFormatting>
  <conditionalFormatting sqref="O55:O56">
    <cfRule type="containsText" dxfId="181" priority="23" operator="containsText" text="ME">
      <formula>NOT(ISERROR(SEARCH("ME",O55)))</formula>
    </cfRule>
  </conditionalFormatting>
  <conditionalFormatting sqref="O57">
    <cfRule type="containsText" dxfId="180" priority="17" operator="containsText" text="can">
      <formula>NOT(ISERROR(SEARCH("can",O57)))</formula>
    </cfRule>
    <cfRule type="containsText" dxfId="179" priority="18" operator="containsText" text="must">
      <formula>NOT(ISERROR(SEARCH("must",O57)))</formula>
    </cfRule>
  </conditionalFormatting>
  <conditionalFormatting sqref="O58:O59">
    <cfRule type="containsText" dxfId="178" priority="12" operator="containsText" text="ME">
      <formula>NOT(ISERROR(SEARCH("ME",O58)))</formula>
    </cfRule>
  </conditionalFormatting>
  <conditionalFormatting sqref="O59:O60">
    <cfRule type="containsText" dxfId="177" priority="14" operator="containsText" text="ME">
      <formula>NOT(ISERROR(SEARCH("ME",O59)))</formula>
    </cfRule>
  </conditionalFormatting>
  <conditionalFormatting sqref="O61">
    <cfRule type="containsText" dxfId="176" priority="8" operator="containsText" text="can">
      <formula>NOT(ISERROR(SEARCH("can",O61)))</formula>
    </cfRule>
    <cfRule type="containsText" dxfId="175" priority="9" operator="containsText" text="must">
      <formula>NOT(ISERROR(SEARCH("must",O61)))</formula>
    </cfRule>
  </conditionalFormatting>
  <conditionalFormatting sqref="O62:O63">
    <cfRule type="containsText" dxfId="174" priority="6" operator="containsText" text="ME">
      <formula>NOT(ISERROR(SEARCH("ME",O62)))</formula>
    </cfRule>
  </conditionalFormatting>
  <conditionalFormatting sqref="O63:O64">
    <cfRule type="containsText" dxfId="173" priority="7" operator="containsText" text="ME">
      <formula>NOT(ISERROR(SEARCH("ME",O63)))</formula>
    </cfRule>
  </conditionalFormatting>
  <conditionalFormatting sqref="V5">
    <cfRule type="cellIs" dxfId="172" priority="752" operator="equal">
      <formula>"ME"</formula>
    </cfRule>
  </conditionalFormatting>
  <conditionalFormatting sqref="V9">
    <cfRule type="cellIs" dxfId="171" priority="209" operator="equal">
      <formula>"ME"</formula>
    </cfRule>
  </conditionalFormatting>
  <conditionalFormatting sqref="V13">
    <cfRule type="cellIs" dxfId="170" priority="200" operator="equal">
      <formula>"ME"</formula>
    </cfRule>
  </conditionalFormatting>
  <conditionalFormatting sqref="V17">
    <cfRule type="cellIs" dxfId="169" priority="191" operator="equal">
      <formula>"ME"</formula>
    </cfRule>
  </conditionalFormatting>
  <conditionalFormatting sqref="V21">
    <cfRule type="cellIs" dxfId="168" priority="180" operator="equal">
      <formula>"ME"</formula>
    </cfRule>
  </conditionalFormatting>
  <conditionalFormatting sqref="V25">
    <cfRule type="cellIs" dxfId="167" priority="94" operator="equal">
      <formula>"ME"</formula>
    </cfRule>
  </conditionalFormatting>
  <conditionalFormatting sqref="V29">
    <cfRule type="cellIs" dxfId="166" priority="85" operator="equal">
      <formula>"ME"</formula>
    </cfRule>
  </conditionalFormatting>
  <conditionalFormatting sqref="V33">
    <cfRule type="cellIs" dxfId="165" priority="75" operator="equal">
      <formula>"ME"</formula>
    </cfRule>
  </conditionalFormatting>
  <conditionalFormatting sqref="V37">
    <cfRule type="cellIs" dxfId="164" priority="66" operator="equal">
      <formula>"ME"</formula>
    </cfRule>
  </conditionalFormatting>
  <conditionalFormatting sqref="V41">
    <cfRule type="cellIs" dxfId="163" priority="57" operator="equal">
      <formula>"ME"</formula>
    </cfRule>
  </conditionalFormatting>
  <conditionalFormatting sqref="V45">
    <cfRule type="cellIs" dxfId="162" priority="48" operator="equal">
      <formula>"ME"</formula>
    </cfRule>
  </conditionalFormatting>
  <conditionalFormatting sqref="V49">
    <cfRule type="cellIs" dxfId="161" priority="37" operator="equal">
      <formula>"ME"</formula>
    </cfRule>
  </conditionalFormatting>
  <conditionalFormatting sqref="V53">
    <cfRule type="cellIs" dxfId="160" priority="28" operator="equal">
      <formula>"ME"</formula>
    </cfRule>
  </conditionalFormatting>
  <conditionalFormatting sqref="V57">
    <cfRule type="cellIs" dxfId="159" priority="19" operator="equal">
      <formula>"ME"</formula>
    </cfRule>
  </conditionalFormatting>
  <conditionalFormatting sqref="V61">
    <cfRule type="cellIs" dxfId="158" priority="10" operator="equal">
      <formula>"ME"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6"/>
  <sheetViews>
    <sheetView zoomScale="115" zoomScaleNormal="115" zoomScaleSheetLayoutView="100" workbookViewId="0">
      <pane ySplit="5" topLeftCell="A6" activePane="bottomLeft" state="frozen"/>
      <selection activeCell="E1" sqref="E1"/>
      <selection pane="bottomLeft" activeCell="E24" sqref="E24"/>
    </sheetView>
  </sheetViews>
  <sheetFormatPr defaultColWidth="8.91015625" defaultRowHeight="16.5" x14ac:dyDescent="0.25"/>
  <cols>
    <col min="1" max="1" width="9.16015625" bestFit="1" customWidth="1"/>
    <col min="2" max="2" width="3.8359375" hidden="1" customWidth="1"/>
    <col min="3" max="3" width="11.51171875" bestFit="1" customWidth="1"/>
    <col min="4" max="4" width="5.3203125" bestFit="1" customWidth="1"/>
    <col min="5" max="5" width="5.94140625" bestFit="1" customWidth="1"/>
    <col min="6" max="8" width="5.3203125" bestFit="1" customWidth="1"/>
    <col min="9" max="9" width="5.3203125" customWidth="1"/>
    <col min="10" max="10" width="4.453125" style="52" customWidth="1"/>
    <col min="11" max="11" width="6.55859375" hidden="1" customWidth="1"/>
    <col min="12" max="12" width="4.94921875" hidden="1" customWidth="1"/>
    <col min="13" max="13" width="1.98046875" style="34" hidden="1" customWidth="1"/>
    <col min="14" max="14" width="2.96875" style="1" hidden="1" customWidth="1"/>
    <col min="15" max="15" width="3.8359375" hidden="1" customWidth="1"/>
    <col min="16" max="16" width="9.90234375" bestFit="1" customWidth="1"/>
    <col min="17" max="17" width="5.3203125" bestFit="1" customWidth="1"/>
    <col min="18" max="18" width="5.94140625" bestFit="1" customWidth="1"/>
    <col min="19" max="21" width="5.3203125" bestFit="1" customWidth="1"/>
    <col min="22" max="22" width="5.3203125" style="27" bestFit="1" customWidth="1"/>
    <col min="23" max="23" width="4.453125" customWidth="1"/>
    <col min="24" max="24" width="6.9296875" hidden="1" customWidth="1"/>
    <col min="25" max="25" width="7.30078125" hidden="1" customWidth="1"/>
    <col min="26" max="26" width="8.4140625" style="1" bestFit="1" customWidth="1"/>
    <col min="27" max="27" width="6.55859375" bestFit="1" customWidth="1"/>
    <col min="28" max="29" width="8.4140625" bestFit="1" customWidth="1"/>
    <col min="30" max="31" width="6.0625" bestFit="1" customWidth="1"/>
    <col min="32" max="32" width="4.08203125" bestFit="1" customWidth="1"/>
    <col min="33" max="33" width="6.0625" bestFit="1" customWidth="1"/>
    <col min="34" max="37" width="5.4453125" bestFit="1" customWidth="1"/>
    <col min="38" max="38" width="6.0625" bestFit="1" customWidth="1"/>
    <col min="39" max="39" width="4.94921875" bestFit="1" customWidth="1"/>
    <col min="40" max="40" width="8.4140625" bestFit="1" customWidth="1"/>
    <col min="41" max="41" width="6.68359375" bestFit="1" customWidth="1"/>
    <col min="43" max="43" width="8.4140625" bestFit="1" customWidth="1"/>
    <col min="44" max="45" width="6.0625" bestFit="1" customWidth="1"/>
    <col min="46" max="46" width="4.08203125" bestFit="1" customWidth="1"/>
    <col min="47" max="47" width="6.0625" bestFit="1" customWidth="1"/>
    <col min="48" max="51" width="5.4453125" bestFit="1" customWidth="1"/>
    <col min="52" max="52" width="6.0625" bestFit="1" customWidth="1"/>
    <col min="53" max="53" width="5.4453125" bestFit="1" customWidth="1"/>
    <col min="54" max="54" width="8.4140625" bestFit="1" customWidth="1"/>
    <col min="55" max="55" width="6.68359375" bestFit="1" customWidth="1"/>
  </cols>
  <sheetData>
    <row r="1" spans="1:25" ht="17.25" hidden="1" customHeight="1" thickTop="1" thickBot="1" x14ac:dyDescent="0.3">
      <c r="A1" s="73">
        <f>IF($I$7="하",$J$2,$F$2)</f>
        <v>224</v>
      </c>
      <c r="C1" s="216" t="s">
        <v>16</v>
      </c>
      <c r="D1">
        <v>10</v>
      </c>
      <c r="E1">
        <v>25</v>
      </c>
      <c r="F1">
        <v>15</v>
      </c>
      <c r="G1" s="216" t="s">
        <v>8</v>
      </c>
      <c r="H1">
        <v>8</v>
      </c>
      <c r="I1">
        <v>20</v>
      </c>
      <c r="J1" s="52">
        <v>12</v>
      </c>
      <c r="V1"/>
    </row>
    <row r="2" spans="1:25" ht="17.25" hidden="1" customHeight="1" thickBot="1" x14ac:dyDescent="0.3">
      <c r="A2" s="58"/>
      <c r="C2" s="217"/>
      <c r="D2" s="57">
        <v>300</v>
      </c>
      <c r="E2" s="57">
        <v>200</v>
      </c>
      <c r="F2" s="57">
        <v>280</v>
      </c>
      <c r="G2" s="217"/>
      <c r="H2" s="57">
        <v>240</v>
      </c>
      <c r="I2" s="57">
        <v>160</v>
      </c>
      <c r="J2" s="59">
        <v>224</v>
      </c>
      <c r="K2" s="57"/>
      <c r="L2" s="57"/>
      <c r="M2" s="57"/>
      <c r="N2" s="57"/>
      <c r="P2" s="57"/>
      <c r="Q2" s="57"/>
      <c r="R2" s="57"/>
      <c r="S2" s="57"/>
      <c r="T2" s="57"/>
      <c r="U2" s="57"/>
      <c r="V2" s="57"/>
      <c r="W2" s="60"/>
    </row>
    <row r="3" spans="1:25" ht="90" customHeight="1" thickTop="1" thickBot="1" x14ac:dyDescent="0.3">
      <c r="A3" s="218" t="s">
        <v>24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20"/>
    </row>
    <row r="4" spans="1:25" ht="30" thickTop="1" x14ac:dyDescent="0.25">
      <c r="A4" s="39" t="s">
        <v>0</v>
      </c>
      <c r="B4" s="35"/>
      <c r="C4" s="63" t="s">
        <v>5</v>
      </c>
      <c r="D4" s="64" t="s">
        <v>11</v>
      </c>
      <c r="E4" s="64" t="s">
        <v>12</v>
      </c>
      <c r="F4" s="65" t="s">
        <v>13</v>
      </c>
      <c r="G4" s="66" t="s">
        <v>5</v>
      </c>
      <c r="H4" s="64" t="s">
        <v>11</v>
      </c>
      <c r="I4" s="64" t="s">
        <v>13</v>
      </c>
      <c r="J4" s="67" t="s">
        <v>14</v>
      </c>
      <c r="K4" s="35"/>
      <c r="L4" s="35"/>
      <c r="M4" s="74"/>
      <c r="N4" s="221"/>
      <c r="O4" s="35"/>
      <c r="P4" s="63" t="s">
        <v>5</v>
      </c>
      <c r="Q4" s="64" t="s">
        <v>11</v>
      </c>
      <c r="R4" s="64" t="s">
        <v>12</v>
      </c>
      <c r="S4" s="65" t="s">
        <v>13</v>
      </c>
      <c r="T4" s="66" t="s">
        <v>5</v>
      </c>
      <c r="U4" s="64" t="s">
        <v>11</v>
      </c>
      <c r="V4" s="64" t="s">
        <v>13</v>
      </c>
      <c r="W4" s="65" t="s">
        <v>14</v>
      </c>
      <c r="X4" s="30"/>
      <c r="Y4" s="25"/>
    </row>
    <row r="5" spans="1:25" ht="30" thickBot="1" x14ac:dyDescent="0.3">
      <c r="A5" s="37">
        <v>1</v>
      </c>
      <c r="B5" s="35"/>
      <c r="C5" s="68">
        <v>2.5</v>
      </c>
      <c r="D5" s="69">
        <v>100</v>
      </c>
      <c r="E5" s="69">
        <v>100</v>
      </c>
      <c r="F5" s="70">
        <f>MROUND(E5-D5*0.85,C5)</f>
        <v>15</v>
      </c>
      <c r="G5" s="71">
        <v>0.1</v>
      </c>
      <c r="H5" s="69">
        <v>100</v>
      </c>
      <c r="I5" s="69">
        <v>25</v>
      </c>
      <c r="J5" s="72">
        <f>MROUND(H5*0.85+I5,G5)</f>
        <v>110</v>
      </c>
      <c r="K5" s="35"/>
      <c r="L5" s="35"/>
      <c r="M5" s="74"/>
      <c r="N5" s="222"/>
      <c r="O5" s="35"/>
      <c r="P5" s="68">
        <v>2.5</v>
      </c>
      <c r="Q5" s="69">
        <v>100</v>
      </c>
      <c r="R5" s="69">
        <v>119.2</v>
      </c>
      <c r="S5" s="70">
        <f>MROUND(R5-Q5*0.85,P5)</f>
        <v>35</v>
      </c>
      <c r="T5" s="71">
        <v>0.1</v>
      </c>
      <c r="U5" s="69">
        <v>100</v>
      </c>
      <c r="V5" s="69">
        <v>25</v>
      </c>
      <c r="W5" s="70">
        <f>MROUND(U5*0.85+V5,T5)</f>
        <v>110</v>
      </c>
      <c r="X5" s="31"/>
      <c r="Y5" s="26"/>
    </row>
    <row r="6" spans="1:25" ht="30" thickBot="1" x14ac:dyDescent="0.3">
      <c r="A6" s="223" t="str">
        <f>TEXT(I$7&amp;A8&amp;"/ main lifting DE"&amp;" "&amp;" / Supplement RE",0)</f>
        <v>하1/ main lifting DE  / Supplement RE</v>
      </c>
      <c r="B6" s="224"/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61"/>
      <c r="Y6" s="62"/>
    </row>
    <row r="7" spans="1:25" ht="18" thickTop="1" thickBot="1" x14ac:dyDescent="0.3">
      <c r="A7" s="29">
        <f>L10</f>
        <v>8</v>
      </c>
      <c r="C7" s="23">
        <f>IF(E8&gt;=90%,1,IF(E8&gt;=80%,2,IF(E8&gt;=70%,3,3)))</f>
        <v>2</v>
      </c>
      <c r="D7" s="23">
        <f>IF(E8&gt;=90%,2,IF(E8&gt;=80%,4,IF(E8&gt;=70%,6,6)))</f>
        <v>4</v>
      </c>
      <c r="E7" s="2" t="s">
        <v>1</v>
      </c>
      <c r="F7" s="32">
        <f>IF(I7="하",1.39%,1.11%)</f>
        <v>1.3899999999999999E-2</v>
      </c>
      <c r="G7" s="3" t="s">
        <v>2</v>
      </c>
      <c r="H7" s="4">
        <f>L9/(100%-F7*L10)/L10</f>
        <v>101.26012601260126</v>
      </c>
      <c r="I7" s="36" t="s">
        <v>8</v>
      </c>
      <c r="J7" s="53">
        <f>IF($I$7="하",$H$1,$D$1)</f>
        <v>8</v>
      </c>
      <c r="K7" s="24" t="s">
        <v>9</v>
      </c>
      <c r="L7" s="24">
        <f>L10+Y10</f>
        <v>20</v>
      </c>
      <c r="M7" s="34">
        <f>ROUNDDOWN(L7/(B8/4),0)</f>
        <v>0</v>
      </c>
      <c r="N7" s="29">
        <f>Y10</f>
        <v>12</v>
      </c>
      <c r="P7" s="23">
        <f>IF(R8&gt;=90%,1,IF(R8&gt;=80%,2,IF(R8&gt;=70%,3,3)))</f>
        <v>2</v>
      </c>
      <c r="Q7" s="23">
        <f>IF(R8&gt;=90%,2,IF(R8&gt;=80%,4,IF(R8&gt;=70%,6,6)))</f>
        <v>4</v>
      </c>
      <c r="R7" s="2" t="s">
        <v>1</v>
      </c>
      <c r="S7" s="32">
        <f>IF(V7="하",1.39%,1.11%)</f>
        <v>1.3899999999999999E-2</v>
      </c>
      <c r="T7" s="3" t="s">
        <v>2</v>
      </c>
      <c r="U7" s="4">
        <f>Y9/(100%-S7*Y10)/Y10</f>
        <v>99.015842534805572</v>
      </c>
      <c r="V7" s="28" t="str">
        <f>I7</f>
        <v>하</v>
      </c>
      <c r="W7" s="53">
        <f>IF($I$7="하",$J$1,$F$1)</f>
        <v>12</v>
      </c>
      <c r="X7" s="22" t="s">
        <v>9</v>
      </c>
      <c r="Y7" s="24">
        <f>Y10</f>
        <v>12</v>
      </c>
    </row>
    <row r="8" spans="1:25" x14ac:dyDescent="0.25">
      <c r="A8" s="208">
        <v>1</v>
      </c>
      <c r="B8" s="40">
        <f>IF(I7="하",$I$2,$E$2)</f>
        <v>160</v>
      </c>
      <c r="C8" s="38">
        <v>1</v>
      </c>
      <c r="D8" s="38">
        <v>100</v>
      </c>
      <c r="E8" s="6">
        <f>100%-J7*F7</f>
        <v>0.88880000000000003</v>
      </c>
      <c r="F8" s="7">
        <f t="shared" ref="F8:H9" si="0">E8</f>
        <v>0.88880000000000003</v>
      </c>
      <c r="G8" s="7">
        <f t="shared" si="0"/>
        <v>0.88880000000000003</v>
      </c>
      <c r="H8" s="7">
        <f t="shared" si="0"/>
        <v>0.88880000000000003</v>
      </c>
      <c r="I8" s="46">
        <f>H8</f>
        <v>0.88880000000000003</v>
      </c>
      <c r="J8" s="211" t="s">
        <v>17</v>
      </c>
      <c r="K8" s="9" t="s">
        <v>4</v>
      </c>
      <c r="L8" s="16">
        <f>(E8*E10+F8*F10+G8*G10+H8*H10+I8*I10)/L10</f>
        <v>0.88880000000000003</v>
      </c>
      <c r="N8" s="208">
        <v>1</v>
      </c>
      <c r="O8" s="43">
        <f>B8</f>
        <v>160</v>
      </c>
      <c r="P8" s="33">
        <v>1</v>
      </c>
      <c r="Q8" s="33">
        <v>100</v>
      </c>
      <c r="R8" s="6">
        <f>100%-W7*S7</f>
        <v>0.83319999999999994</v>
      </c>
      <c r="S8" s="7">
        <f t="shared" ref="S8:V9" si="1">R8</f>
        <v>0.83319999999999994</v>
      </c>
      <c r="T8" s="7">
        <f t="shared" si="1"/>
        <v>0.83319999999999994</v>
      </c>
      <c r="U8" s="7">
        <f t="shared" si="1"/>
        <v>0.83319999999999994</v>
      </c>
      <c r="V8" s="8">
        <f t="shared" si="1"/>
        <v>0.83319999999999994</v>
      </c>
      <c r="W8" s="214" t="s">
        <v>19</v>
      </c>
      <c r="X8" s="9" t="s">
        <v>4</v>
      </c>
      <c r="Y8" s="16">
        <f>(R8*R10+S8*S10+T8*T10+U8*U10+V8*V10)/Y10</f>
        <v>0.83320000000000005</v>
      </c>
    </row>
    <row r="9" spans="1:25" x14ac:dyDescent="0.25">
      <c r="A9" s="209"/>
      <c r="B9" s="41">
        <f>IF(I7="하",$H$2,$D$2)</f>
        <v>240</v>
      </c>
      <c r="C9" s="5" t="s">
        <v>5</v>
      </c>
      <c r="D9" s="5" t="s">
        <v>3</v>
      </c>
      <c r="E9" s="18">
        <f>MROUND(E8*D8,C10)</f>
        <v>90</v>
      </c>
      <c r="F9" s="18">
        <f t="shared" si="0"/>
        <v>90</v>
      </c>
      <c r="G9" s="18">
        <f t="shared" si="0"/>
        <v>90</v>
      </c>
      <c r="H9" s="18">
        <f t="shared" si="0"/>
        <v>90</v>
      </c>
      <c r="I9" s="47">
        <f>H9</f>
        <v>90</v>
      </c>
      <c r="J9" s="212"/>
      <c r="K9" s="10" t="s">
        <v>6</v>
      </c>
      <c r="L9" s="17">
        <f>E9*E10+F9*F10+G9*G10+H9*H10+I9*I10</f>
        <v>720</v>
      </c>
      <c r="N9" s="209"/>
      <c r="O9" s="43">
        <f>B9</f>
        <v>240</v>
      </c>
      <c r="P9" s="5" t="s">
        <v>5</v>
      </c>
      <c r="Q9" s="5" t="s">
        <v>3</v>
      </c>
      <c r="R9" s="18">
        <f>MROUND(R8*Q8,P10)</f>
        <v>82.5</v>
      </c>
      <c r="S9" s="18">
        <f t="shared" si="1"/>
        <v>82.5</v>
      </c>
      <c r="T9" s="18">
        <f t="shared" si="1"/>
        <v>82.5</v>
      </c>
      <c r="U9" s="18">
        <f t="shared" si="1"/>
        <v>82.5</v>
      </c>
      <c r="V9" s="19">
        <f t="shared" si="1"/>
        <v>82.5</v>
      </c>
      <c r="W9" s="215"/>
      <c r="X9" s="10" t="s">
        <v>6</v>
      </c>
      <c r="Y9" s="17">
        <f>R9*R10+S9*S10+T9*T10+U9*U10+V9*V10</f>
        <v>990</v>
      </c>
    </row>
    <row r="10" spans="1:25" ht="17.25" thickBot="1" x14ac:dyDescent="0.3">
      <c r="A10" s="210"/>
      <c r="B10" s="13" t="s">
        <v>17</v>
      </c>
      <c r="C10" s="12">
        <v>2.5</v>
      </c>
      <c r="D10" s="13" t="s">
        <v>7</v>
      </c>
      <c r="E10" s="54">
        <f xml:space="preserve"> IF(I7="하",0,IF(MROUND(J7/5,1)&lt;=D7,IF(MROUND(J7/5,1)&gt;=C7,MROUND(J7/5,1),C7),D7))</f>
        <v>0</v>
      </c>
      <c r="F10" s="55">
        <f>IF(MROUND((J7-E10)/4,1)&lt;=D7,IF(MROUND((J7-E10)/4,1)&gt;=C7,MROUND((J7-E10)/4,1),C7),D7)</f>
        <v>2</v>
      </c>
      <c r="G10" s="55">
        <f>IF(MROUND((J7-E10-F10)/3,1)&lt;=D7,IF(MROUND((J7-E10-F10)/3,1)&gt;=C7,MROUND((J7-E10-F10)/3,1),C7),D7)</f>
        <v>2</v>
      </c>
      <c r="H10" s="55">
        <f>IF(MROUND((J7-E10-F10-G10)/2,1)&lt;=D7,IF((J7-E10-F10-G10)/2&gt;=C7,MROUND((J7-E10-F10-G10)/2,1),J7-E10-F10-G10),D7)</f>
        <v>2</v>
      </c>
      <c r="I10" s="56">
        <f>IF((J7-(E10+F10+G10+H10))&gt;0,(J7-(E10+F10+G10+H10)),0)</f>
        <v>2</v>
      </c>
      <c r="J10" s="213"/>
      <c r="K10" s="10" t="s">
        <v>10</v>
      </c>
      <c r="L10" s="17">
        <f>SUM(E10:I10)</f>
        <v>8</v>
      </c>
      <c r="N10" s="210"/>
      <c r="O10" s="44" t="str">
        <f>IF(R8&gt;0.9,"ME"," ")</f>
        <v xml:space="preserve"> </v>
      </c>
      <c r="P10" s="12">
        <v>2.5</v>
      </c>
      <c r="Q10" s="13" t="s">
        <v>7</v>
      </c>
      <c r="R10" s="11">
        <f xml:space="preserve"> IF(V7="하",0,IF(MROUND(W7/5,1)&lt;=Q7,IF(MROUND(W7/5,1)&gt;=P7,MROUND(W7/5,1),P7),Q7))</f>
        <v>0</v>
      </c>
      <c r="S10" s="20">
        <f>IF(MROUND((W7-R10)/4,1)&lt;=Q7,IF(MROUND((W7-R10)/4,1)&gt;=P7,MROUND((W7-R10)/4,1),P7),Q7)</f>
        <v>3</v>
      </c>
      <c r="T10" s="20">
        <f>IF(MROUND((W7-R10-S10)/3,1)&lt;=Q7,IF(MROUND((W7-R10-S10)/3,1)&gt;=P7,MROUND((W7-R10-S10)/3,1),P7),Q7)</f>
        <v>3</v>
      </c>
      <c r="U10" s="20">
        <f>IF(MROUND((W7-R10-S10-T10)/2,1)&lt;=Q7,IF((W7-R10-S10-T10)/2&gt;=P7,MROUND((W7-R10-S10-T10)/2,1),W7-R10-S10-T10),Q7)</f>
        <v>3</v>
      </c>
      <c r="V10" s="21">
        <f>IF((W7-(R10+S10+T10+U10))&gt;0,(W7-(R10+S10+T10+U10)),0)</f>
        <v>3</v>
      </c>
      <c r="W10" s="215"/>
      <c r="X10" s="10" t="s">
        <v>10</v>
      </c>
      <c r="Y10" s="17">
        <f>SUM(R10:V10)</f>
        <v>12</v>
      </c>
    </row>
    <row r="11" spans="1:25" ht="30.75" thickTop="1" thickBot="1" x14ac:dyDescent="0.3">
      <c r="A11" s="223" t="str">
        <f>TEXT(I$7&amp;A13&amp;"/ main lifting DE"&amp;" "&amp;" / Supplement RE",0)</f>
        <v>하2/ main lifting DE  / Supplement RE</v>
      </c>
      <c r="B11" s="224"/>
      <c r="C11" s="224"/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61"/>
      <c r="Y11" s="62"/>
    </row>
    <row r="12" spans="1:25" ht="18" thickTop="1" thickBot="1" x14ac:dyDescent="0.3">
      <c r="A12" s="29">
        <f>L7+L15</f>
        <v>40</v>
      </c>
      <c r="C12" s="23">
        <f>IF(E13&gt;=90%,1,IF(E13&gt;=80%,2,IF(E13&gt;=70%,3,3)))</f>
        <v>3</v>
      </c>
      <c r="D12" s="23">
        <f>IF(E13&gt;=90%,2,IF(E13&gt;=80%,4,IF(E13&gt;=70%,6,6)))</f>
        <v>6</v>
      </c>
      <c r="E12" s="14" t="str">
        <f>E7</f>
        <v>개당</v>
      </c>
      <c r="F12" s="32">
        <f>IF(I12="하",1.39%,1.11%)</f>
        <v>1.3899999999999999E-2</v>
      </c>
      <c r="G12" s="3" t="s">
        <v>2</v>
      </c>
      <c r="H12" s="4">
        <f>L14/(100%-F12*L15)/L15</f>
        <v>200.83102493074793</v>
      </c>
      <c r="I12" s="15" t="str">
        <f>I7</f>
        <v>하</v>
      </c>
      <c r="J12" s="53">
        <f>IF($I$7="하",$I$1,$E$1)</f>
        <v>20</v>
      </c>
      <c r="K12" s="35" t="s">
        <v>9</v>
      </c>
      <c r="L12" s="35">
        <f>(L7+L15+Y15)</f>
        <v>52</v>
      </c>
      <c r="M12" s="34">
        <f>ROUNDDOWN(L12/(B13/4),0)</f>
        <v>1</v>
      </c>
      <c r="N12" s="29">
        <f>IF(R8&lt;0.9,N7+Y15,Y15)</f>
        <v>24</v>
      </c>
      <c r="P12" s="23">
        <f>IF(R13&gt;=90%,1,IF(R13&gt;=80%,2,IF(R13&gt;=70%,3,3)))</f>
        <v>2</v>
      </c>
      <c r="Q12" s="23">
        <f>IF(R13&gt;=90%,2,IF(R13&gt;=80%,4,IF(R13&gt;=70%,6,6)))</f>
        <v>4</v>
      </c>
      <c r="R12" s="14" t="str">
        <f>R7</f>
        <v>개당</v>
      </c>
      <c r="S12" s="32">
        <f>IF(V12="하",1.39%,1.11%)</f>
        <v>1.3899999999999999E-2</v>
      </c>
      <c r="T12" s="3" t="s">
        <v>2</v>
      </c>
      <c r="U12" s="4">
        <f>Y14/(100%-S12*Y15)/Y15</f>
        <v>159.0254440710514</v>
      </c>
      <c r="V12" s="15" t="str">
        <f>V7</f>
        <v>하</v>
      </c>
      <c r="W12" s="53">
        <f>IF($I$7="하",$J$1,$F$1)</f>
        <v>12</v>
      </c>
      <c r="X12" s="35" t="s">
        <v>9</v>
      </c>
      <c r="Y12" s="35">
        <f>Y7+Y15</f>
        <v>24</v>
      </c>
    </row>
    <row r="13" spans="1:25" x14ac:dyDescent="0.25">
      <c r="A13" s="208">
        <f>A8+1</f>
        <v>2</v>
      </c>
      <c r="B13" s="42">
        <f>B8</f>
        <v>160</v>
      </c>
      <c r="C13" s="48" t="s">
        <v>21</v>
      </c>
      <c r="D13" s="49">
        <v>200</v>
      </c>
      <c r="E13" s="6">
        <f>IF(B15="ME",100%-ROUNDDOWN(L10*0.8,0)*F12,100%-J12*F12)</f>
        <v>0.72199999999999998</v>
      </c>
      <c r="F13" s="7">
        <f>E13</f>
        <v>0.72199999999999998</v>
      </c>
      <c r="G13" s="7">
        <f t="shared" ref="G13:H14" si="2">F13</f>
        <v>0.72199999999999998</v>
      </c>
      <c r="H13" s="7">
        <f t="shared" si="2"/>
        <v>0.72199999999999998</v>
      </c>
      <c r="I13" s="46">
        <f>H13</f>
        <v>0.72199999999999998</v>
      </c>
      <c r="J13" s="225" t="s">
        <v>20</v>
      </c>
      <c r="K13" s="9" t="s">
        <v>4</v>
      </c>
      <c r="L13" s="16">
        <f>(E13*E15+F13*F15+G13*G15+H13*H15+I13*I15)/L15</f>
        <v>0.72199999999999998</v>
      </c>
      <c r="N13" s="208">
        <f>N8+1</f>
        <v>2</v>
      </c>
      <c r="O13" s="43">
        <f>B13</f>
        <v>160</v>
      </c>
      <c r="P13" s="50" t="s">
        <v>22</v>
      </c>
      <c r="Q13" s="51">
        <v>160</v>
      </c>
      <c r="R13" s="6">
        <f>100%-W12*S12</f>
        <v>0.83319999999999994</v>
      </c>
      <c r="S13" s="7">
        <f t="shared" ref="S13:V14" si="3">R13</f>
        <v>0.83319999999999994</v>
      </c>
      <c r="T13" s="7">
        <f t="shared" si="3"/>
        <v>0.83319999999999994</v>
      </c>
      <c r="U13" s="7">
        <f t="shared" si="3"/>
        <v>0.83319999999999994</v>
      </c>
      <c r="V13" s="8">
        <f t="shared" si="3"/>
        <v>0.83319999999999994</v>
      </c>
      <c r="W13" s="214" t="s">
        <v>18</v>
      </c>
      <c r="X13" s="9" t="s">
        <v>4</v>
      </c>
      <c r="Y13" s="16">
        <f>(R13*R15+S13*S15+T13*T15+U13*U15+V13*V15)/Y15</f>
        <v>0.83320000000000005</v>
      </c>
    </row>
    <row r="14" spans="1:25" x14ac:dyDescent="0.25">
      <c r="A14" s="209"/>
      <c r="B14" s="42">
        <f>B9</f>
        <v>240</v>
      </c>
      <c r="C14" s="5" t="s">
        <v>5</v>
      </c>
      <c r="D14" s="5" t="s">
        <v>3</v>
      </c>
      <c r="E14" s="18">
        <f>MROUND(E13*D13,C15)</f>
        <v>145</v>
      </c>
      <c r="F14" s="18">
        <f t="shared" ref="F14" si="4">E14</f>
        <v>145</v>
      </c>
      <c r="G14" s="18">
        <f t="shared" si="2"/>
        <v>145</v>
      </c>
      <c r="H14" s="18">
        <f t="shared" si="2"/>
        <v>145</v>
      </c>
      <c r="I14" s="47">
        <f>H14</f>
        <v>145</v>
      </c>
      <c r="J14" s="226"/>
      <c r="K14" s="10" t="s">
        <v>6</v>
      </c>
      <c r="L14" s="17">
        <f>E14*E15+F14*F15+G14*G15+H14*H15+I14*I15</f>
        <v>2900</v>
      </c>
      <c r="N14" s="209"/>
      <c r="O14" s="43">
        <f>B14</f>
        <v>240</v>
      </c>
      <c r="P14" s="5" t="s">
        <v>5</v>
      </c>
      <c r="Q14" s="5" t="s">
        <v>3</v>
      </c>
      <c r="R14" s="18">
        <f>MROUND(R13*Q13,P15)</f>
        <v>132.5</v>
      </c>
      <c r="S14" s="18">
        <f t="shared" si="3"/>
        <v>132.5</v>
      </c>
      <c r="T14" s="18">
        <f t="shared" si="3"/>
        <v>132.5</v>
      </c>
      <c r="U14" s="18">
        <f t="shared" si="3"/>
        <v>132.5</v>
      </c>
      <c r="V14" s="19">
        <f t="shared" si="3"/>
        <v>132.5</v>
      </c>
      <c r="W14" s="215"/>
      <c r="X14" s="10" t="s">
        <v>6</v>
      </c>
      <c r="Y14" s="17">
        <f>R14*R15+S14*S15+T14*T15+U14*U15+V14*V15</f>
        <v>1590</v>
      </c>
    </row>
    <row r="15" spans="1:25" ht="17.25" thickBot="1" x14ac:dyDescent="0.3">
      <c r="A15" s="210"/>
      <c r="B15" s="13"/>
      <c r="C15" s="12">
        <f>C10</f>
        <v>2.5</v>
      </c>
      <c r="D15" s="13" t="s">
        <v>7</v>
      </c>
      <c r="E15" s="54">
        <f xml:space="preserve"> IF(I12="하",0,IF(MROUND(J12/5,1)&lt;=D12,IF(MROUND(J12/5,1)&gt;=C12,MROUND(J12/5,1),C12),D12))</f>
        <v>0</v>
      </c>
      <c r="F15" s="55">
        <f>IF(MROUND((J12-E15)/4,1)&lt;=D12,IF(MROUND((J12-E15)/4,1)&gt;=C12,MROUND((J12-E15)/4,1),C12),D12)</f>
        <v>5</v>
      </c>
      <c r="G15" s="55">
        <f>IF(MROUND((J12-E15-F15)/3,1)&lt;=D12,IF(MROUND((J12-E15-F15)/3,1)&gt;=C12,MROUND((J12-E15-F15)/3,1),C12),D12)</f>
        <v>5</v>
      </c>
      <c r="H15" s="55">
        <f>IF(MROUND((J12-E15-F15-G15)/2,1)&lt;=D12,IF((J12-E15-F15-G15)/2&gt;=C12,MROUND((J12-E15-F15-G15)/2,1),J12-E15-F15-G15),D12)</f>
        <v>5</v>
      </c>
      <c r="I15" s="56">
        <f>IF((J12-(E15+F15+G15+H15))&gt;0,(J12-(E15+F15+G15+H15)),0)</f>
        <v>5</v>
      </c>
      <c r="J15" s="227"/>
      <c r="K15" s="10" t="s">
        <v>10</v>
      </c>
      <c r="L15" s="17">
        <f>SUM(E15:I15)</f>
        <v>20</v>
      </c>
      <c r="N15" s="210"/>
      <c r="O15" s="45" t="str">
        <f>IF(R13&gt;0.9,"ME"," ")</f>
        <v xml:space="preserve"> </v>
      </c>
      <c r="P15" s="12">
        <f>P10</f>
        <v>2.5</v>
      </c>
      <c r="Q15" s="13" t="s">
        <v>7</v>
      </c>
      <c r="R15" s="11">
        <f xml:space="preserve"> IF(V12="하",0,IF(MROUND(W12/5,1)&lt;=Q12,IF(MROUND(W12/5,1)&gt;=P12,MROUND(W12/5,1),P12),Q12))</f>
        <v>0</v>
      </c>
      <c r="S15" s="20">
        <f>IF(MROUND((W12-R15)/4,1)&lt;=Q12,IF(MROUND((W12-R15)/4,1)&gt;=P12,MROUND((W12-R15)/4,1),P12),Q12)</f>
        <v>3</v>
      </c>
      <c r="T15" s="20">
        <f>IF(MROUND((W12-R15-S15)/3,1)&lt;=Q12,IF(MROUND((W12-R15-S15)/3,1)&gt;=P12,MROUND((W12-R15-S15)/3,1),P12),Q12)</f>
        <v>3</v>
      </c>
      <c r="U15" s="20">
        <f>IF(MROUND((W12-R15-S15-T15)/2,1)&lt;=Q12,IF((W12-R15-S15-T15)/2&gt;=P12,MROUND((W12-R15-S15-T15)/2,1),W12-R15-S15-T15),Q12)</f>
        <v>3</v>
      </c>
      <c r="V15" s="21">
        <f>IF((W12-(R15+S15+T15+U15))&gt;0,(W12-(R15+S15+T15+U15)),0)</f>
        <v>3</v>
      </c>
      <c r="W15" s="215"/>
      <c r="X15" s="10" t="s">
        <v>10</v>
      </c>
      <c r="Y15" s="17">
        <f>SUM(R15:V15)</f>
        <v>12</v>
      </c>
    </row>
    <row r="16" spans="1:25" ht="30.75" thickTop="1" thickBot="1" x14ac:dyDescent="0.3">
      <c r="A16" s="223" t="str">
        <f>TEXT(I$7&amp;A18&amp;"/ ME &amp; back off set"&amp;" "&amp;" / Supplement ",0)</f>
        <v xml:space="preserve">하3/ ME &amp; back off set  / Supplement </v>
      </c>
      <c r="B16" s="224"/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61"/>
      <c r="Y16" s="62"/>
    </row>
    <row r="17" spans="1:25" ht="18" thickTop="1" thickBot="1" x14ac:dyDescent="0.3">
      <c r="A17" s="29">
        <f>L12+L20</f>
        <v>60</v>
      </c>
      <c r="C17" s="23">
        <f>IF(E18&gt;=90%,1,IF(E18&gt;=80%,2,IF(E18&gt;=70%,3,3)))</f>
        <v>2</v>
      </c>
      <c r="D17" s="23">
        <f>IF(E18&gt;=90%,2,IF(E18&gt;=80%,4,IF(E18&gt;=70%,6,6)))</f>
        <v>4</v>
      </c>
      <c r="E17" s="14" t="str">
        <f>E12</f>
        <v>개당</v>
      </c>
      <c r="F17" s="32">
        <f>IF(I17="하",1.39%,1.11%)</f>
        <v>1.3899999999999999E-2</v>
      </c>
      <c r="G17" s="3" t="s">
        <v>2</v>
      </c>
      <c r="H17" s="4">
        <f>L19/(100%-F17*L20)/L20</f>
        <v>101.26012601260126</v>
      </c>
      <c r="I17" s="15" t="str">
        <f>I12</f>
        <v>하</v>
      </c>
      <c r="J17" s="53">
        <f>IF($I$7="하",$H$1,$D$1)</f>
        <v>8</v>
      </c>
      <c r="K17" s="35" t="s">
        <v>9</v>
      </c>
      <c r="L17" s="35">
        <f>(L12+L20+Y20)</f>
        <v>72</v>
      </c>
      <c r="M17" s="34">
        <f>ROUNDDOWN(L17/(B18/4),0)</f>
        <v>1</v>
      </c>
      <c r="N17" s="29">
        <f>IF(R13&lt;0.9,N12+Y20,Y20)</f>
        <v>36</v>
      </c>
      <c r="P17" s="23">
        <f>IF(R18&gt;=90%,1,IF(R18&gt;=80%,2,IF(R18&gt;=70%,3,3)))</f>
        <v>2</v>
      </c>
      <c r="Q17" s="23">
        <f>IF(R18&gt;=90%,2,IF(R18&gt;=80%,4,IF(R18&gt;=70%,6,6)))</f>
        <v>4</v>
      </c>
      <c r="R17" s="14" t="str">
        <f>R12</f>
        <v>개당</v>
      </c>
      <c r="S17" s="32">
        <f>IF(V17="하",1.39%,1.11%)</f>
        <v>1.3899999999999999E-2</v>
      </c>
      <c r="T17" s="3" t="s">
        <v>2</v>
      </c>
      <c r="U17" s="4">
        <f>Y19/(100%-S17*Y20)/Y20</f>
        <v>99.015842534805572</v>
      </c>
      <c r="V17" s="15" t="str">
        <f>V12</f>
        <v>하</v>
      </c>
      <c r="W17" s="53">
        <f>IF($I$7="하",$J$1,$F$1)</f>
        <v>12</v>
      </c>
      <c r="X17" s="35" t="s">
        <v>9</v>
      </c>
      <c r="Y17" s="35">
        <f>Y12+Y20</f>
        <v>36</v>
      </c>
    </row>
    <row r="18" spans="1:25" x14ac:dyDescent="0.25">
      <c r="A18" s="208">
        <f>A13+1</f>
        <v>3</v>
      </c>
      <c r="B18" s="42">
        <f>B13</f>
        <v>160</v>
      </c>
      <c r="C18" s="38">
        <v>1</v>
      </c>
      <c r="D18" s="38">
        <v>100</v>
      </c>
      <c r="E18" s="6">
        <f>IF(B20="ME",100%-ROUNDDOWN(L15*0.8,0)*F17,100%-J17*F17)</f>
        <v>0.88880000000000003</v>
      </c>
      <c r="F18" s="7">
        <f>E18</f>
        <v>0.88880000000000003</v>
      </c>
      <c r="G18" s="7">
        <f t="shared" ref="G18:H19" si="5">F18</f>
        <v>0.88880000000000003</v>
      </c>
      <c r="H18" s="7">
        <f t="shared" si="5"/>
        <v>0.88880000000000003</v>
      </c>
      <c r="I18" s="46">
        <f>H18</f>
        <v>0.88880000000000003</v>
      </c>
      <c r="J18" s="211" t="str">
        <f>J8</f>
        <v>ME</v>
      </c>
      <c r="K18" s="9" t="s">
        <v>4</v>
      </c>
      <c r="L18" s="16">
        <f>(E18*E20+F18*F20+G18*G20+H18*H20+I18*I20)/L20</f>
        <v>0.88880000000000003</v>
      </c>
      <c r="N18" s="208">
        <f>N13+1</f>
        <v>3</v>
      </c>
      <c r="O18" s="43">
        <f>B18</f>
        <v>160</v>
      </c>
      <c r="P18" s="33">
        <v>1</v>
      </c>
      <c r="Q18" s="33">
        <v>100</v>
      </c>
      <c r="R18" s="6">
        <f>100%-W17*S17</f>
        <v>0.83319999999999994</v>
      </c>
      <c r="S18" s="7">
        <f t="shared" ref="S18:V19" si="6">R18</f>
        <v>0.83319999999999994</v>
      </c>
      <c r="T18" s="7">
        <f t="shared" si="6"/>
        <v>0.83319999999999994</v>
      </c>
      <c r="U18" s="7">
        <f t="shared" si="6"/>
        <v>0.83319999999999994</v>
      </c>
      <c r="V18" s="8">
        <f t="shared" si="6"/>
        <v>0.83319999999999994</v>
      </c>
      <c r="W18" s="214" t="s">
        <v>19</v>
      </c>
      <c r="X18" s="9" t="s">
        <v>4</v>
      </c>
      <c r="Y18" s="16">
        <f>(R18*R20+S18*S20+T18*T20+U18*U20+V18*V20)/Y20</f>
        <v>0.83320000000000005</v>
      </c>
    </row>
    <row r="19" spans="1:25" x14ac:dyDescent="0.25">
      <c r="A19" s="209"/>
      <c r="B19" s="42">
        <f>B14</f>
        <v>240</v>
      </c>
      <c r="C19" s="5" t="s">
        <v>5</v>
      </c>
      <c r="D19" s="5" t="s">
        <v>3</v>
      </c>
      <c r="E19" s="18">
        <f>MROUND(E18*D18,C20)</f>
        <v>90</v>
      </c>
      <c r="F19" s="18">
        <f t="shared" ref="F19" si="7">E19</f>
        <v>90</v>
      </c>
      <c r="G19" s="18">
        <f t="shared" si="5"/>
        <v>90</v>
      </c>
      <c r="H19" s="18">
        <f t="shared" si="5"/>
        <v>90</v>
      </c>
      <c r="I19" s="47">
        <f>H19</f>
        <v>90</v>
      </c>
      <c r="J19" s="212"/>
      <c r="K19" s="10" t="s">
        <v>6</v>
      </c>
      <c r="L19" s="17">
        <f>E19*E20+F19*F20+G19*G20+H19*H20+I19*I20</f>
        <v>720</v>
      </c>
      <c r="N19" s="209"/>
      <c r="O19" s="43">
        <f>B19</f>
        <v>240</v>
      </c>
      <c r="P19" s="5" t="s">
        <v>5</v>
      </c>
      <c r="Q19" s="5" t="s">
        <v>3</v>
      </c>
      <c r="R19" s="18">
        <f>MROUND(R18*Q18,P20)</f>
        <v>82.5</v>
      </c>
      <c r="S19" s="18">
        <f t="shared" si="6"/>
        <v>82.5</v>
      </c>
      <c r="T19" s="18">
        <f t="shared" si="6"/>
        <v>82.5</v>
      </c>
      <c r="U19" s="18">
        <f t="shared" si="6"/>
        <v>82.5</v>
      </c>
      <c r="V19" s="19">
        <f t="shared" si="6"/>
        <v>82.5</v>
      </c>
      <c r="W19" s="215"/>
      <c r="X19" s="10" t="s">
        <v>6</v>
      </c>
      <c r="Y19" s="17">
        <f>R19*R20+S19*S20+T19*T20+U19*U20+V19*V20</f>
        <v>990</v>
      </c>
    </row>
    <row r="20" spans="1:25" ht="17.25" thickBot="1" x14ac:dyDescent="0.3">
      <c r="A20" s="210"/>
      <c r="B20" s="13"/>
      <c r="C20" s="12">
        <f>C10</f>
        <v>2.5</v>
      </c>
      <c r="D20" s="13" t="s">
        <v>7</v>
      </c>
      <c r="E20" s="54">
        <f xml:space="preserve"> IF(I17="하",0,IF(MROUND(J17/5,1)&lt;=D17,IF(MROUND(J17/5,1)&gt;=C17,MROUND(J17/5,1),C17),D17))</f>
        <v>0</v>
      </c>
      <c r="F20" s="55">
        <f>IF(MROUND((J17-E20)/4,1)&lt;=D17,IF(MROUND((J17-E20)/4,1)&gt;=C17,MROUND((J17-E20)/4,1),C17),D17)</f>
        <v>2</v>
      </c>
      <c r="G20" s="55">
        <f>IF(MROUND((J17-E20-F20)/3,1)&lt;=D17,IF(MROUND((J17-E20-F20)/3,1)&gt;=C17,MROUND((J17-E20-F20)/3,1),C17),D17)</f>
        <v>2</v>
      </c>
      <c r="H20" s="55">
        <f>IF(MROUND((J17-E20-F20-G20)/2,1)&lt;=D17,IF((J17-E20-F20-G20)/2&gt;=C17,MROUND((J17-E20-F20-G20)/2,1),J17-E20-F20-G20),D17)</f>
        <v>2</v>
      </c>
      <c r="I20" s="56">
        <f>IF((J17-(E20+F20+G20+H20))&gt;0,(J17-(E20+F20+G20+H20)),0)</f>
        <v>2</v>
      </c>
      <c r="J20" s="213"/>
      <c r="K20" s="10" t="s">
        <v>10</v>
      </c>
      <c r="L20" s="17">
        <f>SUM(E20:I20)</f>
        <v>8</v>
      </c>
      <c r="N20" s="210"/>
      <c r="O20" s="45" t="str">
        <f>IF(R18&gt;0.9,"ME"," ")</f>
        <v xml:space="preserve"> </v>
      </c>
      <c r="P20" s="12">
        <f>P10</f>
        <v>2.5</v>
      </c>
      <c r="Q20" s="13" t="s">
        <v>7</v>
      </c>
      <c r="R20" s="11">
        <f xml:space="preserve"> IF(V17="하",0,IF(MROUND(W17/5,1)&lt;=Q17,IF(MROUND(W17/5,1)&gt;=P17,MROUND(W17/5,1),P17),Q17))</f>
        <v>0</v>
      </c>
      <c r="S20" s="20">
        <f>IF(MROUND((W17-R20)/4,1)&lt;=Q17,IF(MROUND((W17-R20)/4,1)&gt;=P17,MROUND((W17-R20)/4,1),P17),Q17)</f>
        <v>3</v>
      </c>
      <c r="T20" s="20">
        <f>IF(MROUND((W17-R20-S20)/3,1)&lt;=Q17,IF(MROUND((W17-R20-S20)/3,1)&gt;=P17,MROUND((W17-R20-S20)/3,1),P17),Q17)</f>
        <v>3</v>
      </c>
      <c r="U20" s="20">
        <f>IF(MROUND((W17-R20-S20-T20)/2,1)&lt;=Q17,IF((W17-R20-S20-T20)/2&gt;=P17,MROUND((W17-R20-S20-T20)/2,1),W17-R20-S20-T20),Q17)</f>
        <v>3</v>
      </c>
      <c r="V20" s="21">
        <f>IF((W17-(R20+S20+T20+U20))&gt;0,(W17-(R20+S20+T20+U20)),0)</f>
        <v>3</v>
      </c>
      <c r="W20" s="215"/>
      <c r="X20" s="10" t="s">
        <v>10</v>
      </c>
      <c r="Y20" s="17">
        <f>SUM(R20:V20)</f>
        <v>12</v>
      </c>
    </row>
    <row r="21" spans="1:25" ht="30.75" thickTop="1" thickBot="1" x14ac:dyDescent="0.3">
      <c r="A21" s="223" t="str">
        <f>TEXT(I$7&amp;A23&amp;"/ main lifting DE"&amp;" "&amp;" / Supplement RE",0)</f>
        <v>하4/ main lifting DE  / Supplement RE</v>
      </c>
      <c r="B21" s="224"/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224"/>
      <c r="W21" s="224"/>
      <c r="X21" s="61"/>
      <c r="Y21" s="62"/>
    </row>
    <row r="22" spans="1:25" ht="18" thickTop="1" thickBot="1" x14ac:dyDescent="0.3">
      <c r="A22" s="29">
        <f>L17+L25</f>
        <v>92</v>
      </c>
      <c r="C22" s="23">
        <f>IF(E23&gt;=90%,1,IF(E23&gt;=80%,2,IF(E23&gt;=70%,3,3)))</f>
        <v>3</v>
      </c>
      <c r="D22" s="23">
        <f>IF(E23&gt;=90%,2,IF(E23&gt;=80%,4,IF(E23&gt;=70%,6,6)))</f>
        <v>6</v>
      </c>
      <c r="E22" s="14" t="str">
        <f>E17</f>
        <v>개당</v>
      </c>
      <c r="F22" s="32">
        <f>IF(I22="하",1.39%,1.11%)</f>
        <v>1.3899999999999999E-2</v>
      </c>
      <c r="G22" s="3" t="s">
        <v>2</v>
      </c>
      <c r="H22" s="4">
        <f>L24/(100%-F22*L25)/L25</f>
        <v>159.27977839335182</v>
      </c>
      <c r="I22" s="15" t="str">
        <f>I17</f>
        <v>하</v>
      </c>
      <c r="J22" s="53">
        <f>IF($I$7="하",$I$1,$E$1)</f>
        <v>20</v>
      </c>
      <c r="K22" s="35" t="s">
        <v>9</v>
      </c>
      <c r="L22" s="35">
        <f>(L17+L25+Y25)</f>
        <v>104</v>
      </c>
      <c r="M22" s="34">
        <f>ROUNDDOWN(L22/(B23/4),0)</f>
        <v>2</v>
      </c>
      <c r="N22" s="29">
        <f>IF(R18&lt;0.9,N17+Y25,Y25)</f>
        <v>48</v>
      </c>
      <c r="P22" s="23">
        <f>IF(R23&gt;=90%,1,IF(R23&gt;=80%,2,IF(R23&gt;=70%,3,3)))</f>
        <v>2</v>
      </c>
      <c r="Q22" s="23">
        <f>IF(R23&gt;=90%,2,IF(R23&gt;=80%,4,IF(R23&gt;=70%,6,6)))</f>
        <v>4</v>
      </c>
      <c r="R22" s="14" t="str">
        <f>R17</f>
        <v>개당</v>
      </c>
      <c r="S22" s="32">
        <f>IF(V22="하",1.39%,1.11%)</f>
        <v>1.3899999999999999E-2</v>
      </c>
      <c r="T22" s="3" t="s">
        <v>2</v>
      </c>
      <c r="U22" s="4">
        <f>Y24/(100%-S22*Y25)/Y25</f>
        <v>201.03216514642347</v>
      </c>
      <c r="V22" s="15" t="str">
        <f>V17</f>
        <v>하</v>
      </c>
      <c r="W22" s="53">
        <f>IF($I$7="하",$J$1,$F$1)</f>
        <v>12</v>
      </c>
      <c r="X22" s="35" t="s">
        <v>9</v>
      </c>
      <c r="Y22" s="35">
        <f>Y17+Y25</f>
        <v>48</v>
      </c>
    </row>
    <row r="23" spans="1:25" x14ac:dyDescent="0.25">
      <c r="A23" s="208">
        <f>A18+1</f>
        <v>4</v>
      </c>
      <c r="B23" s="42">
        <f>B18</f>
        <v>160</v>
      </c>
      <c r="C23" s="48" t="str">
        <f>P13</f>
        <v>PauseFSQ</v>
      </c>
      <c r="D23" s="49">
        <f>U12</f>
        <v>159.0254440710514</v>
      </c>
      <c r="E23" s="6">
        <f>IF(B25="ME",100%-ROUNDDOWN(L20*0.8,0)*F22,100%-J22*F22)</f>
        <v>0.72199999999999998</v>
      </c>
      <c r="F23" s="7">
        <f>E23</f>
        <v>0.72199999999999998</v>
      </c>
      <c r="G23" s="7">
        <f t="shared" ref="G23:H24" si="8">F23</f>
        <v>0.72199999999999998</v>
      </c>
      <c r="H23" s="7">
        <f t="shared" si="8"/>
        <v>0.72199999999999998</v>
      </c>
      <c r="I23" s="46">
        <f>H23</f>
        <v>0.72199999999999998</v>
      </c>
      <c r="J23" s="225" t="s">
        <v>20</v>
      </c>
      <c r="K23" s="9" t="s">
        <v>4</v>
      </c>
      <c r="L23" s="16">
        <f>(E23*E25+F23*F25+G23*G25+H23*H25+I23*I25)/L25</f>
        <v>0.72199999999999998</v>
      </c>
      <c r="N23" s="208">
        <f>N18+1</f>
        <v>4</v>
      </c>
      <c r="O23" s="43">
        <f>B23</f>
        <v>160</v>
      </c>
      <c r="P23" s="50" t="str">
        <f>C13</f>
        <v>SGDL</v>
      </c>
      <c r="Q23" s="51">
        <f>D13</f>
        <v>200</v>
      </c>
      <c r="R23" s="6">
        <f>100%-W22*S22</f>
        <v>0.83319999999999994</v>
      </c>
      <c r="S23" s="7">
        <f t="shared" ref="S23:V24" si="9">R23</f>
        <v>0.83319999999999994</v>
      </c>
      <c r="T23" s="7">
        <f t="shared" si="9"/>
        <v>0.83319999999999994</v>
      </c>
      <c r="U23" s="7">
        <f t="shared" si="9"/>
        <v>0.83319999999999994</v>
      </c>
      <c r="V23" s="8">
        <f t="shared" si="9"/>
        <v>0.83319999999999994</v>
      </c>
      <c r="W23" s="214" t="s">
        <v>18</v>
      </c>
      <c r="X23" s="9" t="s">
        <v>4</v>
      </c>
      <c r="Y23" s="16">
        <f>(R23*R25+S23*S25+T23*T25+U23*U25+V23*V25)/Y25</f>
        <v>0.83320000000000005</v>
      </c>
    </row>
    <row r="24" spans="1:25" x14ac:dyDescent="0.25">
      <c r="A24" s="209"/>
      <c r="B24" s="42">
        <f>B19</f>
        <v>240</v>
      </c>
      <c r="C24" s="5" t="s">
        <v>5</v>
      </c>
      <c r="D24" s="5" t="s">
        <v>3</v>
      </c>
      <c r="E24" s="18">
        <f>MROUND(E23*D23,C25)</f>
        <v>115</v>
      </c>
      <c r="F24" s="18">
        <f t="shared" ref="F24" si="10">E24</f>
        <v>115</v>
      </c>
      <c r="G24" s="18">
        <f t="shared" si="8"/>
        <v>115</v>
      </c>
      <c r="H24" s="18">
        <f t="shared" si="8"/>
        <v>115</v>
      </c>
      <c r="I24" s="47">
        <f>H24</f>
        <v>115</v>
      </c>
      <c r="J24" s="226"/>
      <c r="K24" s="10" t="s">
        <v>6</v>
      </c>
      <c r="L24" s="17">
        <f>E24*E25+F24*F25+G24*G25+H24*H25+I24*I25</f>
        <v>2300</v>
      </c>
      <c r="N24" s="209"/>
      <c r="O24" s="43">
        <f>B24</f>
        <v>240</v>
      </c>
      <c r="P24" s="5" t="s">
        <v>5</v>
      </c>
      <c r="Q24" s="5" t="s">
        <v>3</v>
      </c>
      <c r="R24" s="18">
        <f>MROUND(R23*Q23,P25)</f>
        <v>167.5</v>
      </c>
      <c r="S24" s="18">
        <f t="shared" si="9"/>
        <v>167.5</v>
      </c>
      <c r="T24" s="18">
        <f t="shared" si="9"/>
        <v>167.5</v>
      </c>
      <c r="U24" s="18">
        <f t="shared" si="9"/>
        <v>167.5</v>
      </c>
      <c r="V24" s="19">
        <f t="shared" si="9"/>
        <v>167.5</v>
      </c>
      <c r="W24" s="215"/>
      <c r="X24" s="10" t="s">
        <v>6</v>
      </c>
      <c r="Y24" s="17">
        <f>R24*R25+S24*S25+T24*T25+U24*U25+V24*V25</f>
        <v>2010</v>
      </c>
    </row>
    <row r="25" spans="1:25" ht="17.25" thickBot="1" x14ac:dyDescent="0.3">
      <c r="A25" s="210"/>
      <c r="B25" s="13"/>
      <c r="C25" s="12">
        <f>P15</f>
        <v>2.5</v>
      </c>
      <c r="D25" s="13" t="s">
        <v>7</v>
      </c>
      <c r="E25" s="54">
        <f xml:space="preserve"> IF(I22="하",0,IF(MROUND(J22/5,1)&lt;=D22,IF(MROUND(J22/5,1)&gt;=C22,MROUND(J22/5,1),C22),D22))</f>
        <v>0</v>
      </c>
      <c r="F25" s="55">
        <f>IF(MROUND((J22-E25)/4,1)&lt;=D22,IF(MROUND((J22-E25)/4,1)&gt;=C22,MROUND((J22-E25)/4,1),C22),D22)</f>
        <v>5</v>
      </c>
      <c r="G25" s="55">
        <f>IF(MROUND((J22-E25-F25)/3,1)&lt;=D22,IF(MROUND((J22-E25-F25)/3,1)&gt;=C22,MROUND((J22-E25-F25)/3,1),C22),D22)</f>
        <v>5</v>
      </c>
      <c r="H25" s="55">
        <f>IF(MROUND((J22-E25-F25-G25)/2,1)&lt;=D22,IF((J22-E25-F25-G25)/2&gt;=C22,MROUND((J22-E25-F25-G25)/2,1),J22-E25-F25-G25),D22)</f>
        <v>5</v>
      </c>
      <c r="I25" s="56">
        <f>IF((J22-(E25+F25+G25+H25))&gt;0,(J22-(E25+F25+G25+H25)),0)</f>
        <v>5</v>
      </c>
      <c r="J25" s="227"/>
      <c r="K25" s="10" t="s">
        <v>10</v>
      </c>
      <c r="L25" s="17">
        <f>SUM(E25:I25)</f>
        <v>20</v>
      </c>
      <c r="N25" s="210"/>
      <c r="O25" s="45" t="str">
        <f>IF(R23&gt;0.9,"ME"," ")</f>
        <v xml:space="preserve"> </v>
      </c>
      <c r="P25" s="12">
        <f>C15</f>
        <v>2.5</v>
      </c>
      <c r="Q25" s="13" t="s">
        <v>7</v>
      </c>
      <c r="R25" s="11">
        <f xml:space="preserve"> IF(V22="하",0,IF(MROUND(W22/5,1)&lt;=Q22,IF(MROUND(W22/5,1)&gt;=P22,MROUND(W22/5,1),P22),Q22))</f>
        <v>0</v>
      </c>
      <c r="S25" s="20">
        <f>IF(MROUND((W22-R25)/4,1)&lt;=Q22,IF(MROUND((W22-R25)/4,1)&gt;=P22,MROUND((W22-R25)/4,1),P22),Q22)</f>
        <v>3</v>
      </c>
      <c r="T25" s="20">
        <f>IF(MROUND((W22-R25-S25)/3,1)&lt;=Q22,IF(MROUND((W22-R25-S25)/3,1)&gt;=P22,MROUND((W22-R25-S25)/3,1),P22),Q22)</f>
        <v>3</v>
      </c>
      <c r="U25" s="20">
        <f>IF(MROUND((W22-R25-S25-T25)/2,1)&lt;=Q22,IF((W22-R25-S25-T25)/2&gt;=P22,MROUND((W22-R25-S25-T25)/2,1),W22-R25-S25-T25),Q22)</f>
        <v>3</v>
      </c>
      <c r="V25" s="21">
        <f>IF((W22-(R25+S25+T25+U25))&gt;0,(W22-(R25+S25+T25+U25)),0)</f>
        <v>3</v>
      </c>
      <c r="W25" s="215"/>
      <c r="X25" s="10" t="s">
        <v>10</v>
      </c>
      <c r="Y25" s="17">
        <f>SUM(R25:V25)</f>
        <v>12</v>
      </c>
    </row>
    <row r="26" spans="1:25" ht="30.75" thickTop="1" thickBot="1" x14ac:dyDescent="0.3">
      <c r="A26" s="223" t="str">
        <f>TEXT(I$7&amp;A28&amp;"/ ME &amp; back off set"&amp;" "&amp;" / Supplement ",0)</f>
        <v xml:space="preserve">하5/ ME &amp; back off set  / Supplement </v>
      </c>
      <c r="B26" s="224"/>
      <c r="C26" s="224"/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61"/>
      <c r="Y26" s="62"/>
    </row>
    <row r="27" spans="1:25" ht="18" thickTop="1" thickBot="1" x14ac:dyDescent="0.3">
      <c r="A27" s="29">
        <f>L22+L30</f>
        <v>112</v>
      </c>
      <c r="C27" s="23">
        <f>IF(E28&gt;=90%,1,IF(E28&gt;=80%,2,IF(E28&gt;=70%,3,3)))</f>
        <v>2</v>
      </c>
      <c r="D27" s="23">
        <f>IF(E28&gt;=90%,2,IF(E28&gt;=80%,4,IF(E28&gt;=70%,6,6)))</f>
        <v>4</v>
      </c>
      <c r="E27" s="14" t="str">
        <f>E22</f>
        <v>개당</v>
      </c>
      <c r="F27" s="32">
        <f>IF(I27="하",1.39%,1.11%)</f>
        <v>1.3899999999999999E-2</v>
      </c>
      <c r="G27" s="3" t="s">
        <v>2</v>
      </c>
      <c r="H27" s="4">
        <f>L29/(100%-F27*L30)/L30</f>
        <v>101.26012601260126</v>
      </c>
      <c r="I27" s="15" t="str">
        <f>I22</f>
        <v>하</v>
      </c>
      <c r="J27" s="53">
        <f>IF($I$7="하",$H$1,$D$1)</f>
        <v>8</v>
      </c>
      <c r="K27" s="35" t="s">
        <v>9</v>
      </c>
      <c r="L27" s="35">
        <f>(L22+L30+Y30)</f>
        <v>124</v>
      </c>
      <c r="M27" s="34">
        <f>ROUNDDOWN(L27/(B28/4),0)</f>
        <v>3</v>
      </c>
      <c r="N27" s="29">
        <f>IF(R23&lt;0.9,N22+Y30,Y30)</f>
        <v>60</v>
      </c>
      <c r="P27" s="23">
        <f>IF(R28&gt;=90%,1,IF(R28&gt;=80%,2,IF(R28&gt;=70%,3,3)))</f>
        <v>2</v>
      </c>
      <c r="Q27" s="23">
        <f>IF(R28&gt;=90%,2,IF(R28&gt;=80%,4,IF(R28&gt;=70%,6,6)))</f>
        <v>4</v>
      </c>
      <c r="R27" s="14" t="str">
        <f>R22</f>
        <v>개당</v>
      </c>
      <c r="S27" s="32">
        <f>IF(V27="하",1.39%,1.11%)</f>
        <v>1.3899999999999999E-2</v>
      </c>
      <c r="T27" s="3" t="s">
        <v>2</v>
      </c>
      <c r="U27" s="4">
        <f>Y29/(100%-S27*Y30)/Y30</f>
        <v>99.015842534805572</v>
      </c>
      <c r="V27" s="15" t="str">
        <f>V22</f>
        <v>하</v>
      </c>
      <c r="W27" s="53">
        <f>IF($I$7="하",$J$1,$F$1)</f>
        <v>12</v>
      </c>
      <c r="X27" s="35" t="s">
        <v>9</v>
      </c>
      <c r="Y27" s="35">
        <f>Y22+Y30</f>
        <v>60</v>
      </c>
    </row>
    <row r="28" spans="1:25" x14ac:dyDescent="0.25">
      <c r="A28" s="208">
        <f>A23+1</f>
        <v>5</v>
      </c>
      <c r="B28" s="42">
        <f>B23</f>
        <v>160</v>
      </c>
      <c r="C28" s="38">
        <v>1</v>
      </c>
      <c r="D28" s="38">
        <v>100</v>
      </c>
      <c r="E28" s="6">
        <f>IF(B30="ME",100%-ROUNDDOWN(L25*0.8,0)*F27,100%-J27*F27)</f>
        <v>0.88880000000000003</v>
      </c>
      <c r="F28" s="7">
        <f>E28</f>
        <v>0.88880000000000003</v>
      </c>
      <c r="G28" s="7">
        <f t="shared" ref="G28:H29" si="11">F28</f>
        <v>0.88880000000000003</v>
      </c>
      <c r="H28" s="7">
        <f t="shared" si="11"/>
        <v>0.88880000000000003</v>
      </c>
      <c r="I28" s="46">
        <f>H28</f>
        <v>0.88880000000000003</v>
      </c>
      <c r="J28" s="211" t="str">
        <f>J18</f>
        <v>ME</v>
      </c>
      <c r="K28" s="9" t="s">
        <v>4</v>
      </c>
      <c r="L28" s="16">
        <f>(E28*E30+F28*F30+G28*G30+H28*H30+I28*I30)/L30</f>
        <v>0.88880000000000003</v>
      </c>
      <c r="N28" s="208">
        <f>N23+1</f>
        <v>5</v>
      </c>
      <c r="O28" s="43">
        <f>B28</f>
        <v>160</v>
      </c>
      <c r="P28" s="33">
        <v>1</v>
      </c>
      <c r="Q28" s="33">
        <v>100</v>
      </c>
      <c r="R28" s="6">
        <f>100%-W27*S27</f>
        <v>0.83319999999999994</v>
      </c>
      <c r="S28" s="7">
        <f t="shared" ref="S28:V29" si="12">R28</f>
        <v>0.83319999999999994</v>
      </c>
      <c r="T28" s="7">
        <f t="shared" si="12"/>
        <v>0.83319999999999994</v>
      </c>
      <c r="U28" s="7">
        <f t="shared" si="12"/>
        <v>0.83319999999999994</v>
      </c>
      <c r="V28" s="8">
        <f t="shared" si="12"/>
        <v>0.83319999999999994</v>
      </c>
      <c r="W28" s="214" t="s">
        <v>19</v>
      </c>
      <c r="X28" s="9" t="s">
        <v>4</v>
      </c>
      <c r="Y28" s="16">
        <f>(R28*R30+S28*S30+T28*T30+U28*U30+V28*V30)/Y30</f>
        <v>0.83320000000000005</v>
      </c>
    </row>
    <row r="29" spans="1:25" x14ac:dyDescent="0.25">
      <c r="A29" s="209"/>
      <c r="B29" s="42">
        <f>B24</f>
        <v>240</v>
      </c>
      <c r="C29" s="5" t="s">
        <v>5</v>
      </c>
      <c r="D29" s="5" t="s">
        <v>3</v>
      </c>
      <c r="E29" s="18">
        <f>MROUND(E28*D28,C30)</f>
        <v>90</v>
      </c>
      <c r="F29" s="18">
        <f t="shared" ref="F29" si="13">E29</f>
        <v>90</v>
      </c>
      <c r="G29" s="18">
        <f t="shared" si="11"/>
        <v>90</v>
      </c>
      <c r="H29" s="18">
        <f t="shared" si="11"/>
        <v>90</v>
      </c>
      <c r="I29" s="47">
        <f>H29</f>
        <v>90</v>
      </c>
      <c r="J29" s="212"/>
      <c r="K29" s="10" t="s">
        <v>6</v>
      </c>
      <c r="L29" s="17">
        <f>E29*E30+F29*F30+G29*G30+H29*H30+I29*I30</f>
        <v>720</v>
      </c>
      <c r="N29" s="209"/>
      <c r="O29" s="43">
        <f>B29</f>
        <v>240</v>
      </c>
      <c r="P29" s="5" t="s">
        <v>5</v>
      </c>
      <c r="Q29" s="5" t="s">
        <v>3</v>
      </c>
      <c r="R29" s="18">
        <f>MROUND(R28*Q28,P30)</f>
        <v>82.5</v>
      </c>
      <c r="S29" s="18">
        <f t="shared" si="12"/>
        <v>82.5</v>
      </c>
      <c r="T29" s="18">
        <f t="shared" si="12"/>
        <v>82.5</v>
      </c>
      <c r="U29" s="18">
        <f t="shared" si="12"/>
        <v>82.5</v>
      </c>
      <c r="V29" s="19">
        <f t="shared" si="12"/>
        <v>82.5</v>
      </c>
      <c r="W29" s="215"/>
      <c r="X29" s="10" t="s">
        <v>6</v>
      </c>
      <c r="Y29" s="17">
        <f>R29*R30+S29*S30+T29*T30+U29*U30+V29*V30</f>
        <v>990</v>
      </c>
    </row>
    <row r="30" spans="1:25" ht="17.25" thickBot="1" x14ac:dyDescent="0.3">
      <c r="A30" s="210"/>
      <c r="B30" s="13"/>
      <c r="C30" s="12">
        <f>C20</f>
        <v>2.5</v>
      </c>
      <c r="D30" s="13" t="s">
        <v>7</v>
      </c>
      <c r="E30" s="54">
        <f xml:space="preserve"> IF(I27="하",0,IF(MROUND(J27/5,1)&lt;=D27,IF(MROUND(J27/5,1)&gt;=C27,MROUND(J27/5,1),C27),D27))</f>
        <v>0</v>
      </c>
      <c r="F30" s="55">
        <f>IF(MROUND((J27-E30)/4,1)&lt;=D27,IF(MROUND((J27-E30)/4,1)&gt;=C27,MROUND((J27-E30)/4,1),C27),D27)</f>
        <v>2</v>
      </c>
      <c r="G30" s="55">
        <f>IF(MROUND((J27-E30-F30)/3,1)&lt;=D27,IF(MROUND((J27-E30-F30)/3,1)&gt;=C27,MROUND((J27-E30-F30)/3,1),C27),D27)</f>
        <v>2</v>
      </c>
      <c r="H30" s="55">
        <f>IF(MROUND((J27-E30-F30-G30)/2,1)&lt;=D27,IF((J27-E30-F30-G30)/2&gt;=C27,MROUND((J27-E30-F30-G30)/2,1),J27-E30-F30-G30),D27)</f>
        <v>2</v>
      </c>
      <c r="I30" s="56">
        <f>IF((J27-(E30+F30+G30+H30))&gt;0,(J27-(E30+F30+G30+H30)),0)</f>
        <v>2</v>
      </c>
      <c r="J30" s="213"/>
      <c r="K30" s="10" t="s">
        <v>10</v>
      </c>
      <c r="L30" s="17">
        <f>SUM(E30:I30)</f>
        <v>8</v>
      </c>
      <c r="N30" s="210"/>
      <c r="O30" s="45" t="str">
        <f>IF(R28&gt;0.9,"ME"," ")</f>
        <v xml:space="preserve"> </v>
      </c>
      <c r="P30" s="12">
        <f>P20</f>
        <v>2.5</v>
      </c>
      <c r="Q30" s="13" t="s">
        <v>7</v>
      </c>
      <c r="R30" s="11">
        <f xml:space="preserve"> IF(V27="하",0,IF(MROUND(W27/5,1)&lt;=Q27,IF(MROUND(W27/5,1)&gt;=P27,MROUND(W27/5,1),P27),Q27))</f>
        <v>0</v>
      </c>
      <c r="S30" s="20">
        <f>IF(MROUND((W27-R30)/4,1)&lt;=Q27,IF(MROUND((W27-R30)/4,1)&gt;=P27,MROUND((W27-R30)/4,1),P27),Q27)</f>
        <v>3</v>
      </c>
      <c r="T30" s="20">
        <f>IF(MROUND((W27-R30-S30)/3,1)&lt;=Q27,IF(MROUND((W27-R30-S30)/3,1)&gt;=P27,MROUND((W27-R30-S30)/3,1),P27),Q27)</f>
        <v>3</v>
      </c>
      <c r="U30" s="20">
        <f>IF(MROUND((W27-R30-S30-T30)/2,1)&lt;=Q27,IF((W27-R30-S30-T30)/2&gt;=P27,MROUND((W27-R30-S30-T30)/2,1),W27-R30-S30-T30),Q27)</f>
        <v>3</v>
      </c>
      <c r="V30" s="21">
        <f>IF((W27-(R30+S30+T30+U30))&gt;0,(W27-(R30+S30+T30+U30)),0)</f>
        <v>3</v>
      </c>
      <c r="W30" s="215"/>
      <c r="X30" s="10" t="s">
        <v>10</v>
      </c>
      <c r="Y30" s="17">
        <f>SUM(R30:V30)</f>
        <v>12</v>
      </c>
    </row>
    <row r="31" spans="1:25" ht="30.75" thickTop="1" thickBot="1" x14ac:dyDescent="0.3">
      <c r="A31" s="223" t="str">
        <f>TEXT(I$7&amp;A33&amp;"/ main lifting DE"&amp;" "&amp;" / Supplement RE",0)</f>
        <v>하6/ main lifting DE  / Supplement RE</v>
      </c>
      <c r="B31" s="224"/>
      <c r="C31" s="224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61"/>
      <c r="Y31" s="62"/>
    </row>
    <row r="32" spans="1:25" ht="18" thickTop="1" thickBot="1" x14ac:dyDescent="0.3">
      <c r="A32" s="29">
        <f>L27+L35</f>
        <v>144</v>
      </c>
      <c r="C32" s="23">
        <f>IF(E33&gt;=90%,1,IF(E33&gt;=80%,2,IF(E33&gt;=70%,3,3)))</f>
        <v>3</v>
      </c>
      <c r="D32" s="23">
        <f>IF(E33&gt;=90%,2,IF(E33&gt;=80%,4,IF(E33&gt;=70%,6,6)))</f>
        <v>6</v>
      </c>
      <c r="E32" s="14" t="str">
        <f>E27</f>
        <v>개당</v>
      </c>
      <c r="F32" s="32">
        <f>IF(I32="하",1.39%,1.11%)</f>
        <v>1.3899999999999999E-2</v>
      </c>
      <c r="G32" s="3" t="s">
        <v>2</v>
      </c>
      <c r="H32" s="4">
        <f>L34/(100%-F32*L35)/L35</f>
        <v>200.83102493074793</v>
      </c>
      <c r="I32" s="15" t="str">
        <f>I27</f>
        <v>하</v>
      </c>
      <c r="J32" s="53">
        <f>IF($I$7="하",$I$1,$E$1)</f>
        <v>20</v>
      </c>
      <c r="K32" s="35" t="s">
        <v>9</v>
      </c>
      <c r="L32" s="35">
        <f>(L27+L35+Y35)</f>
        <v>156</v>
      </c>
      <c r="M32" s="34">
        <f>ROUNDDOWN(L32/(B33/4),0)</f>
        <v>3</v>
      </c>
      <c r="N32" s="29">
        <f>IF(R28&lt;0.9,N27+Y35,Y35)</f>
        <v>72</v>
      </c>
      <c r="P32" s="23">
        <f>IF(R33&gt;=90%,1,IF(R33&gt;=80%,2,IF(R33&gt;=70%,3,3)))</f>
        <v>2</v>
      </c>
      <c r="Q32" s="23">
        <f>IF(R33&gt;=90%,2,IF(R33&gt;=80%,4,IF(R33&gt;=70%,6,6)))</f>
        <v>4</v>
      </c>
      <c r="R32" s="14" t="str">
        <f>R27</f>
        <v>개당</v>
      </c>
      <c r="S32" s="32">
        <f>IF(V32="하",1.39%,1.11%)</f>
        <v>1.3899999999999999E-2</v>
      </c>
      <c r="T32" s="3" t="s">
        <v>2</v>
      </c>
      <c r="U32" s="4">
        <f>Y34/(100%-S32*Y35)/Y35</f>
        <v>159.0254440710514</v>
      </c>
      <c r="V32" s="15" t="str">
        <f>V27</f>
        <v>하</v>
      </c>
      <c r="W32" s="53">
        <f>IF($I$7="하",$J$1,$F$1)</f>
        <v>12</v>
      </c>
      <c r="X32" s="35" t="s">
        <v>9</v>
      </c>
      <c r="Y32" s="35">
        <f>Y27+Y35</f>
        <v>72</v>
      </c>
    </row>
    <row r="33" spans="1:25" x14ac:dyDescent="0.25">
      <c r="A33" s="208">
        <f>A28+1</f>
        <v>6</v>
      </c>
      <c r="B33" s="42">
        <f>B28</f>
        <v>160</v>
      </c>
      <c r="C33" s="48" t="str">
        <f>P23</f>
        <v>SGDL</v>
      </c>
      <c r="D33" s="49">
        <f>U22</f>
        <v>201.03216514642347</v>
      </c>
      <c r="E33" s="6">
        <f>IF(B35="ME",100%-ROUNDDOWN(L30*0.8,0)*F32,100%-J32*F32)</f>
        <v>0.72199999999999998</v>
      </c>
      <c r="F33" s="7">
        <f>E33</f>
        <v>0.72199999999999998</v>
      </c>
      <c r="G33" s="7">
        <f t="shared" ref="G33:H34" si="14">F33</f>
        <v>0.72199999999999998</v>
      </c>
      <c r="H33" s="7">
        <f t="shared" si="14"/>
        <v>0.72199999999999998</v>
      </c>
      <c r="I33" s="46">
        <f>H33</f>
        <v>0.72199999999999998</v>
      </c>
      <c r="J33" s="225" t="s">
        <v>20</v>
      </c>
      <c r="K33" s="9" t="s">
        <v>4</v>
      </c>
      <c r="L33" s="16">
        <f>(E33*E35+F33*F35+G33*G35+H33*H35+I33*I35)/L35</f>
        <v>0.72199999999999998</v>
      </c>
      <c r="N33" s="208">
        <f>N28+1</f>
        <v>6</v>
      </c>
      <c r="O33" s="43">
        <f>B33</f>
        <v>160</v>
      </c>
      <c r="P33" s="50" t="str">
        <f>C23</f>
        <v>PauseFSQ</v>
      </c>
      <c r="Q33" s="51">
        <f>D23</f>
        <v>159.0254440710514</v>
      </c>
      <c r="R33" s="6">
        <f>100%-W32*S32</f>
        <v>0.83319999999999994</v>
      </c>
      <c r="S33" s="7">
        <f t="shared" ref="S33:V34" si="15">R33</f>
        <v>0.83319999999999994</v>
      </c>
      <c r="T33" s="7">
        <f t="shared" si="15"/>
        <v>0.83319999999999994</v>
      </c>
      <c r="U33" s="7">
        <f t="shared" si="15"/>
        <v>0.83319999999999994</v>
      </c>
      <c r="V33" s="8">
        <f t="shared" si="15"/>
        <v>0.83319999999999994</v>
      </c>
      <c r="W33" s="214" t="s">
        <v>18</v>
      </c>
      <c r="X33" s="9" t="s">
        <v>4</v>
      </c>
      <c r="Y33" s="16">
        <f>(R33*R35+S33*S35+T33*T35+U33*U35+V33*V35)/Y35</f>
        <v>0.83320000000000005</v>
      </c>
    </row>
    <row r="34" spans="1:25" x14ac:dyDescent="0.25">
      <c r="A34" s="209"/>
      <c r="B34" s="42">
        <f>B29</f>
        <v>240</v>
      </c>
      <c r="C34" s="5" t="s">
        <v>5</v>
      </c>
      <c r="D34" s="5" t="s">
        <v>3</v>
      </c>
      <c r="E34" s="18">
        <f>MROUND(E33*D33,C35)</f>
        <v>145</v>
      </c>
      <c r="F34" s="18">
        <f t="shared" ref="F34" si="16">E34</f>
        <v>145</v>
      </c>
      <c r="G34" s="18">
        <f t="shared" si="14"/>
        <v>145</v>
      </c>
      <c r="H34" s="18">
        <f t="shared" si="14"/>
        <v>145</v>
      </c>
      <c r="I34" s="47">
        <f>H34</f>
        <v>145</v>
      </c>
      <c r="J34" s="226"/>
      <c r="K34" s="10" t="s">
        <v>6</v>
      </c>
      <c r="L34" s="17">
        <f>E34*E35+F34*F35+G34*G35+H34*H35+I34*I35</f>
        <v>2900</v>
      </c>
      <c r="N34" s="209"/>
      <c r="O34" s="43">
        <f>B34</f>
        <v>240</v>
      </c>
      <c r="P34" s="5" t="s">
        <v>5</v>
      </c>
      <c r="Q34" s="5" t="s">
        <v>3</v>
      </c>
      <c r="R34" s="18">
        <f>MROUND(R33*Q33,P35)</f>
        <v>132.5</v>
      </c>
      <c r="S34" s="18">
        <f t="shared" si="15"/>
        <v>132.5</v>
      </c>
      <c r="T34" s="18">
        <f t="shared" si="15"/>
        <v>132.5</v>
      </c>
      <c r="U34" s="18">
        <f t="shared" si="15"/>
        <v>132.5</v>
      </c>
      <c r="V34" s="19">
        <f t="shared" si="15"/>
        <v>132.5</v>
      </c>
      <c r="W34" s="215"/>
      <c r="X34" s="10" t="s">
        <v>6</v>
      </c>
      <c r="Y34" s="17">
        <f>R34*R35+S34*S35+T34*T35+U34*U35+V34*V35</f>
        <v>1590</v>
      </c>
    </row>
    <row r="35" spans="1:25" ht="17.25" thickBot="1" x14ac:dyDescent="0.3">
      <c r="A35" s="210"/>
      <c r="B35" s="13"/>
      <c r="C35" s="12">
        <f>P25</f>
        <v>2.5</v>
      </c>
      <c r="D35" s="13" t="s">
        <v>7</v>
      </c>
      <c r="E35" s="54">
        <f xml:space="preserve"> IF(I32="하",0,IF(MROUND(J32/5,1)&lt;=D32,IF(MROUND(J32/5,1)&gt;=C32,MROUND(J32/5,1),C32),D32))</f>
        <v>0</v>
      </c>
      <c r="F35" s="55">
        <f>IF(MROUND((J32-E35)/4,1)&lt;=D32,IF(MROUND((J32-E35)/4,1)&gt;=C32,MROUND((J32-E35)/4,1),C32),D32)</f>
        <v>5</v>
      </c>
      <c r="G35" s="55">
        <f>IF(MROUND((J32-E35-F35)/3,1)&lt;=D32,IF(MROUND((J32-E35-F35)/3,1)&gt;=C32,MROUND((J32-E35-F35)/3,1),C32),D32)</f>
        <v>5</v>
      </c>
      <c r="H35" s="55">
        <f>IF(MROUND((J32-E35-F35-G35)/2,1)&lt;=D32,IF((J32-E35-F35-G35)/2&gt;=C32,MROUND((J32-E35-F35-G35)/2,1),J32-E35-F35-G35),D32)</f>
        <v>5</v>
      </c>
      <c r="I35" s="56">
        <f>IF((J32-(E35+F35+G35+H35))&gt;0,(J32-(E35+F35+G35+H35)),0)</f>
        <v>5</v>
      </c>
      <c r="J35" s="227"/>
      <c r="K35" s="10" t="s">
        <v>10</v>
      </c>
      <c r="L35" s="17">
        <f>SUM(E35:I35)</f>
        <v>20</v>
      </c>
      <c r="N35" s="210"/>
      <c r="O35" s="45" t="str">
        <f>IF(R33&gt;0.9,"ME"," ")</f>
        <v xml:space="preserve"> </v>
      </c>
      <c r="P35" s="12">
        <f>C25</f>
        <v>2.5</v>
      </c>
      <c r="Q35" s="13" t="s">
        <v>7</v>
      </c>
      <c r="R35" s="11">
        <f xml:space="preserve"> IF(V32="하",0,IF(MROUND(W32/5,1)&lt;=Q32,IF(MROUND(W32/5,1)&gt;=P32,MROUND(W32/5,1),P32),Q32))</f>
        <v>0</v>
      </c>
      <c r="S35" s="20">
        <f>IF(MROUND((W32-R35)/4,1)&lt;=Q32,IF(MROUND((W32-R35)/4,1)&gt;=P32,MROUND((W32-R35)/4,1),P32),Q32)</f>
        <v>3</v>
      </c>
      <c r="T35" s="20">
        <f>IF(MROUND((W32-R35-S35)/3,1)&lt;=Q32,IF(MROUND((W32-R35-S35)/3,1)&gt;=P32,MROUND((W32-R35-S35)/3,1),P32),Q32)</f>
        <v>3</v>
      </c>
      <c r="U35" s="20">
        <f>IF(MROUND((W32-R35-S35-T35)/2,1)&lt;=Q32,IF((W32-R35-S35-T35)/2&gt;=P32,MROUND((W32-R35-S35-T35)/2,1),W32-R35-S35-T35),Q32)</f>
        <v>3</v>
      </c>
      <c r="V35" s="21">
        <f>IF((W32-(R35+S35+T35+U35))&gt;0,(W32-(R35+S35+T35+U35)),0)</f>
        <v>3</v>
      </c>
      <c r="W35" s="215"/>
      <c r="X35" s="10" t="s">
        <v>10</v>
      </c>
      <c r="Y35" s="17">
        <f>SUM(R35:V35)</f>
        <v>12</v>
      </c>
    </row>
    <row r="36" spans="1:25" ht="30.75" thickTop="1" thickBot="1" x14ac:dyDescent="0.3">
      <c r="A36" s="223" t="str">
        <f>TEXT(I$7&amp;A38&amp;"/ ME &amp; back off set"&amp;" "&amp;" / Supplement ",0)</f>
        <v xml:space="preserve">하7/ ME &amp; back off set  / Supplement </v>
      </c>
      <c r="B36" s="224"/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61"/>
      <c r="Y36" s="62"/>
    </row>
    <row r="37" spans="1:25" ht="18" thickTop="1" thickBot="1" x14ac:dyDescent="0.3">
      <c r="A37" s="29">
        <f>L32+L40</f>
        <v>164</v>
      </c>
      <c r="C37" s="23">
        <f>IF(E38&gt;=90%,1,IF(E38&gt;=80%,2,IF(E38&gt;=70%,3,3)))</f>
        <v>2</v>
      </c>
      <c r="D37" s="23">
        <f>IF(E38&gt;=90%,2,IF(E38&gt;=80%,4,IF(E38&gt;=70%,6,6)))</f>
        <v>4</v>
      </c>
      <c r="E37" s="14" t="str">
        <f>E32</f>
        <v>개당</v>
      </c>
      <c r="F37" s="32">
        <f>IF(I37="하",1.39%,1.11%)</f>
        <v>1.3899999999999999E-2</v>
      </c>
      <c r="G37" s="3" t="s">
        <v>2</v>
      </c>
      <c r="H37" s="4">
        <f>L39/(100%-F37*L40)/L40</f>
        <v>101.26012601260126</v>
      </c>
      <c r="I37" s="15" t="str">
        <f>I32</f>
        <v>하</v>
      </c>
      <c r="J37" s="53">
        <f>IF($I$7="하",$H$1,$D$1)</f>
        <v>8</v>
      </c>
      <c r="K37" s="35" t="s">
        <v>9</v>
      </c>
      <c r="L37" s="35">
        <f>(L32+L40+Y40)</f>
        <v>176</v>
      </c>
      <c r="M37" s="34">
        <f>ROUNDDOWN(L37/(B38/4),0)</f>
        <v>4</v>
      </c>
      <c r="N37" s="29">
        <f>IF(R33&lt;0.9,N32+Y40,Y40)</f>
        <v>84</v>
      </c>
      <c r="P37" s="23">
        <f>IF(R38&gt;=90%,1,IF(R38&gt;=80%,2,IF(R38&gt;=70%,3,3)))</f>
        <v>2</v>
      </c>
      <c r="Q37" s="23">
        <f>IF(R38&gt;=90%,2,IF(R38&gt;=80%,4,IF(R38&gt;=70%,6,6)))</f>
        <v>4</v>
      </c>
      <c r="R37" s="14" t="str">
        <f>R32</f>
        <v>개당</v>
      </c>
      <c r="S37" s="32">
        <f>IF(V37="하",1.39%,1.11%)</f>
        <v>1.3899999999999999E-2</v>
      </c>
      <c r="T37" s="3" t="s">
        <v>2</v>
      </c>
      <c r="U37" s="4">
        <f>Y39/(100%-S37*Y40)/Y40</f>
        <v>99.015842534805572</v>
      </c>
      <c r="V37" s="15" t="str">
        <f>V32</f>
        <v>하</v>
      </c>
      <c r="W37" s="53">
        <f>IF($I$7="하",$J$1,$F$1)</f>
        <v>12</v>
      </c>
      <c r="X37" s="35" t="s">
        <v>9</v>
      </c>
      <c r="Y37" s="35">
        <f>Y32+Y40</f>
        <v>84</v>
      </c>
    </row>
    <row r="38" spans="1:25" x14ac:dyDescent="0.25">
      <c r="A38" s="208">
        <f>A33+1</f>
        <v>7</v>
      </c>
      <c r="B38" s="42">
        <f>B33</f>
        <v>160</v>
      </c>
      <c r="C38" s="38">
        <v>1</v>
      </c>
      <c r="D38" s="38">
        <v>100</v>
      </c>
      <c r="E38" s="6">
        <f>IF(B40="ME",100%-ROUNDDOWN(L35*0.8,0)*F37,100%-J37*F37)</f>
        <v>0.88880000000000003</v>
      </c>
      <c r="F38" s="7">
        <f>E38</f>
        <v>0.88880000000000003</v>
      </c>
      <c r="G38" s="7">
        <f t="shared" ref="G38:H39" si="17">F38</f>
        <v>0.88880000000000003</v>
      </c>
      <c r="H38" s="7">
        <f t="shared" si="17"/>
        <v>0.88880000000000003</v>
      </c>
      <c r="I38" s="46">
        <f>H38</f>
        <v>0.88880000000000003</v>
      </c>
      <c r="J38" s="211" t="str">
        <f>J28</f>
        <v>ME</v>
      </c>
      <c r="K38" s="9" t="s">
        <v>4</v>
      </c>
      <c r="L38" s="16">
        <f>(E38*E40+F38*F40+G38*G40+H38*H40+I38*I40)/L40</f>
        <v>0.88880000000000003</v>
      </c>
      <c r="N38" s="208">
        <f>N33+1</f>
        <v>7</v>
      </c>
      <c r="O38" s="43">
        <f>B38</f>
        <v>160</v>
      </c>
      <c r="P38" s="33">
        <v>1</v>
      </c>
      <c r="Q38" s="33">
        <v>100</v>
      </c>
      <c r="R38" s="6">
        <f>100%-W37*S37</f>
        <v>0.83319999999999994</v>
      </c>
      <c r="S38" s="7">
        <f t="shared" ref="S38:V39" si="18">R38</f>
        <v>0.83319999999999994</v>
      </c>
      <c r="T38" s="7">
        <f t="shared" si="18"/>
        <v>0.83319999999999994</v>
      </c>
      <c r="U38" s="7">
        <f t="shared" si="18"/>
        <v>0.83319999999999994</v>
      </c>
      <c r="V38" s="8">
        <f t="shared" si="18"/>
        <v>0.83319999999999994</v>
      </c>
      <c r="W38" s="214" t="s">
        <v>19</v>
      </c>
      <c r="X38" s="9" t="s">
        <v>4</v>
      </c>
      <c r="Y38" s="16">
        <f>(R38*R40+S38*S40+T38*T40+U38*U40+V38*V40)/Y40</f>
        <v>0.83320000000000005</v>
      </c>
    </row>
    <row r="39" spans="1:25" x14ac:dyDescent="0.25">
      <c r="A39" s="209"/>
      <c r="B39" s="42">
        <f>B34</f>
        <v>240</v>
      </c>
      <c r="C39" s="5" t="s">
        <v>5</v>
      </c>
      <c r="D39" s="5" t="s">
        <v>3</v>
      </c>
      <c r="E39" s="18">
        <f>MROUND(E38*D38,C40)</f>
        <v>90</v>
      </c>
      <c r="F39" s="18">
        <f t="shared" ref="F39" si="19">E39</f>
        <v>90</v>
      </c>
      <c r="G39" s="18">
        <f t="shared" si="17"/>
        <v>90</v>
      </c>
      <c r="H39" s="18">
        <f t="shared" si="17"/>
        <v>90</v>
      </c>
      <c r="I39" s="47">
        <f>H39</f>
        <v>90</v>
      </c>
      <c r="J39" s="212"/>
      <c r="K39" s="10" t="s">
        <v>6</v>
      </c>
      <c r="L39" s="17">
        <f>E39*E40+F39*F40+G39*G40+H39*H40+I39*I40</f>
        <v>720</v>
      </c>
      <c r="N39" s="209"/>
      <c r="O39" s="43">
        <f>B39</f>
        <v>240</v>
      </c>
      <c r="P39" s="5" t="s">
        <v>5</v>
      </c>
      <c r="Q39" s="5" t="s">
        <v>3</v>
      </c>
      <c r="R39" s="18">
        <f>MROUND(R38*Q38,P40)</f>
        <v>82.5</v>
      </c>
      <c r="S39" s="18">
        <f t="shared" si="18"/>
        <v>82.5</v>
      </c>
      <c r="T39" s="18">
        <f t="shared" si="18"/>
        <v>82.5</v>
      </c>
      <c r="U39" s="18">
        <f t="shared" si="18"/>
        <v>82.5</v>
      </c>
      <c r="V39" s="19">
        <f t="shared" si="18"/>
        <v>82.5</v>
      </c>
      <c r="W39" s="215"/>
      <c r="X39" s="10" t="s">
        <v>6</v>
      </c>
      <c r="Y39" s="17">
        <f>R39*R40+S39*S40+T39*T40+U39*U40+V39*V40</f>
        <v>990</v>
      </c>
    </row>
    <row r="40" spans="1:25" ht="17.25" thickBot="1" x14ac:dyDescent="0.3">
      <c r="A40" s="210"/>
      <c r="B40" s="13"/>
      <c r="C40" s="12">
        <f>C30</f>
        <v>2.5</v>
      </c>
      <c r="D40" s="13" t="s">
        <v>7</v>
      </c>
      <c r="E40" s="54">
        <f xml:space="preserve"> IF(I37="하",0,IF(MROUND(J37/5,1)&lt;=D37,IF(MROUND(J37/5,1)&gt;=C37,MROUND(J37/5,1),C37),D37))</f>
        <v>0</v>
      </c>
      <c r="F40" s="55">
        <f>IF(MROUND((J37-E40)/4,1)&lt;=D37,IF(MROUND((J37-E40)/4,1)&gt;=C37,MROUND((J37-E40)/4,1),C37),D37)</f>
        <v>2</v>
      </c>
      <c r="G40" s="55">
        <f>IF(MROUND((J37-E40-F40)/3,1)&lt;=D37,IF(MROUND((J37-E40-F40)/3,1)&gt;=C37,MROUND((J37-E40-F40)/3,1),C37),D37)</f>
        <v>2</v>
      </c>
      <c r="H40" s="55">
        <f>IF(MROUND((J37-E40-F40-G40)/2,1)&lt;=D37,IF((J37-E40-F40-G40)/2&gt;=C37,MROUND((J37-E40-F40-G40)/2,1),J37-E40-F40-G40),D37)</f>
        <v>2</v>
      </c>
      <c r="I40" s="56">
        <f>IF((J37-(E40+F40+G40+H40))&gt;0,(J37-(E40+F40+G40+H40)),0)</f>
        <v>2</v>
      </c>
      <c r="J40" s="213"/>
      <c r="K40" s="10" t="s">
        <v>10</v>
      </c>
      <c r="L40" s="17">
        <f>SUM(E40:I40)</f>
        <v>8</v>
      </c>
      <c r="N40" s="210"/>
      <c r="O40" s="45" t="str">
        <f>IF(R38&gt;0.9,"ME"," ")</f>
        <v xml:space="preserve"> </v>
      </c>
      <c r="P40" s="12">
        <f>P30</f>
        <v>2.5</v>
      </c>
      <c r="Q40" s="13" t="s">
        <v>7</v>
      </c>
      <c r="R40" s="11">
        <f xml:space="preserve"> IF(V37="하",0,IF(MROUND(W37/5,1)&lt;=Q37,IF(MROUND(W37/5,1)&gt;=P37,MROUND(W37/5,1),P37),Q37))</f>
        <v>0</v>
      </c>
      <c r="S40" s="20">
        <f>IF(MROUND((W37-R40)/4,1)&lt;=Q37,IF(MROUND((W37-R40)/4,1)&gt;=P37,MROUND((W37-R40)/4,1),P37),Q37)</f>
        <v>3</v>
      </c>
      <c r="T40" s="20">
        <f>IF(MROUND((W37-R40-S40)/3,1)&lt;=Q37,IF(MROUND((W37-R40-S40)/3,1)&gt;=P37,MROUND((W37-R40-S40)/3,1),P37),Q37)</f>
        <v>3</v>
      </c>
      <c r="U40" s="20">
        <f>IF(MROUND((W37-R40-S40-T40)/2,1)&lt;=Q37,IF((W37-R40-S40-T40)/2&gt;=P37,MROUND((W37-R40-S40-T40)/2,1),W37-R40-S40-T40),Q37)</f>
        <v>3</v>
      </c>
      <c r="V40" s="21">
        <f>IF((W37-(R40+S40+T40+U40))&gt;0,(W37-(R40+S40+T40+U40)),0)</f>
        <v>3</v>
      </c>
      <c r="W40" s="215"/>
      <c r="X40" s="10" t="s">
        <v>10</v>
      </c>
      <c r="Y40" s="17">
        <f>SUM(R40:V40)</f>
        <v>12</v>
      </c>
    </row>
    <row r="41" spans="1:25" ht="30.75" thickTop="1" thickBot="1" x14ac:dyDescent="0.3">
      <c r="A41" s="223" t="str">
        <f>TEXT(I$7&amp;A43&amp;"/ main lifting DE"&amp;" "&amp;" / Supplement RE",0)</f>
        <v>하8/ main lifting DE  / Supplement RE</v>
      </c>
      <c r="B41" s="224"/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61"/>
      <c r="Y41" s="62"/>
    </row>
    <row r="42" spans="1:25" ht="18" thickTop="1" thickBot="1" x14ac:dyDescent="0.3">
      <c r="A42" s="29">
        <f>L37+L45</f>
        <v>196</v>
      </c>
      <c r="C42" s="23">
        <f>IF(E43&gt;=90%,1,IF(E43&gt;=80%,2,IF(E43&gt;=70%,3,3)))</f>
        <v>3</v>
      </c>
      <c r="D42" s="23">
        <f>IF(E43&gt;=90%,2,IF(E43&gt;=80%,4,IF(E43&gt;=70%,6,6)))</f>
        <v>6</v>
      </c>
      <c r="E42" s="14" t="str">
        <f>E37</f>
        <v>개당</v>
      </c>
      <c r="F42" s="32">
        <f>IF(I42="하",1.39%,1.11%)</f>
        <v>1.3899999999999999E-2</v>
      </c>
      <c r="G42" s="3" t="s">
        <v>2</v>
      </c>
      <c r="H42" s="4">
        <f>L44/(100%-F42*L45)/L45</f>
        <v>159.27977839335182</v>
      </c>
      <c r="I42" s="15" t="str">
        <f>I37</f>
        <v>하</v>
      </c>
      <c r="J42" s="53">
        <f>IF($I$7="하",$I$1,$E$1)</f>
        <v>20</v>
      </c>
      <c r="K42" s="35" t="s">
        <v>9</v>
      </c>
      <c r="L42" s="35">
        <f>(L37+L45+Y45)</f>
        <v>208</v>
      </c>
      <c r="M42" s="34">
        <f>ROUNDDOWN(L42/(B43/4),0)</f>
        <v>5</v>
      </c>
      <c r="N42" s="29">
        <f>IF(R38&lt;0.9,N37+Y45,Y45)</f>
        <v>96</v>
      </c>
      <c r="P42" s="23">
        <f>IF(R43&gt;=90%,1,IF(R43&gt;=80%,2,IF(R43&gt;=70%,3,3)))</f>
        <v>2</v>
      </c>
      <c r="Q42" s="23">
        <f>IF(R43&gt;=90%,2,IF(R43&gt;=80%,4,IF(R43&gt;=70%,6,6)))</f>
        <v>4</v>
      </c>
      <c r="R42" s="14" t="str">
        <f>R37</f>
        <v>개당</v>
      </c>
      <c r="S42" s="32">
        <f>IF(V42="하",1.39%,1.11%)</f>
        <v>1.3899999999999999E-2</v>
      </c>
      <c r="T42" s="3" t="s">
        <v>2</v>
      </c>
      <c r="U42" s="4">
        <f>Y44/(100%-S42*Y45)/Y45</f>
        <v>201.03216514642347</v>
      </c>
      <c r="V42" s="15" t="str">
        <f>V37</f>
        <v>하</v>
      </c>
      <c r="W42" s="53">
        <f>IF($I$7="하",$J$1,$F$1)</f>
        <v>12</v>
      </c>
      <c r="X42" s="35" t="s">
        <v>9</v>
      </c>
      <c r="Y42" s="35">
        <f>Y37+Y45</f>
        <v>96</v>
      </c>
    </row>
    <row r="43" spans="1:25" x14ac:dyDescent="0.25">
      <c r="A43" s="208">
        <f>A38+1</f>
        <v>8</v>
      </c>
      <c r="B43" s="42">
        <f>B38</f>
        <v>160</v>
      </c>
      <c r="C43" s="48" t="str">
        <f>P33</f>
        <v>PauseFSQ</v>
      </c>
      <c r="D43" s="49">
        <f>U32</f>
        <v>159.0254440710514</v>
      </c>
      <c r="E43" s="6">
        <f>IF(B45="ME",100%-ROUNDDOWN(L40*0.8,0)*F42,100%-J42*F42)</f>
        <v>0.72199999999999998</v>
      </c>
      <c r="F43" s="7">
        <f>E43</f>
        <v>0.72199999999999998</v>
      </c>
      <c r="G43" s="7">
        <f t="shared" ref="G43:H44" si="20">F43</f>
        <v>0.72199999999999998</v>
      </c>
      <c r="H43" s="7">
        <f t="shared" si="20"/>
        <v>0.72199999999999998</v>
      </c>
      <c r="I43" s="46">
        <f>H43</f>
        <v>0.72199999999999998</v>
      </c>
      <c r="J43" s="225" t="s">
        <v>20</v>
      </c>
      <c r="K43" s="9" t="s">
        <v>4</v>
      </c>
      <c r="L43" s="16">
        <f>(E43*E45+F43*F45+G43*G45+H43*H45+I43*I45)/L45</f>
        <v>0.72199999999999998</v>
      </c>
      <c r="N43" s="208">
        <f>N38+1</f>
        <v>8</v>
      </c>
      <c r="O43" s="43">
        <f>B43</f>
        <v>160</v>
      </c>
      <c r="P43" s="50" t="str">
        <f>C33</f>
        <v>SGDL</v>
      </c>
      <c r="Q43" s="51">
        <f>D33</f>
        <v>201.03216514642347</v>
      </c>
      <c r="R43" s="6">
        <f>100%-W42*S42</f>
        <v>0.83319999999999994</v>
      </c>
      <c r="S43" s="7">
        <f t="shared" ref="S43:V44" si="21">R43</f>
        <v>0.83319999999999994</v>
      </c>
      <c r="T43" s="7">
        <f t="shared" si="21"/>
        <v>0.83319999999999994</v>
      </c>
      <c r="U43" s="7">
        <f t="shared" si="21"/>
        <v>0.83319999999999994</v>
      </c>
      <c r="V43" s="8">
        <f t="shared" si="21"/>
        <v>0.83319999999999994</v>
      </c>
      <c r="W43" s="214" t="s">
        <v>18</v>
      </c>
      <c r="X43" s="9" t="s">
        <v>4</v>
      </c>
      <c r="Y43" s="16">
        <f>(R43*R45+S43*S45+T43*T45+U43*U45+V43*V45)/Y45</f>
        <v>0.83320000000000005</v>
      </c>
    </row>
    <row r="44" spans="1:25" x14ac:dyDescent="0.25">
      <c r="A44" s="209"/>
      <c r="B44" s="42">
        <f>B39</f>
        <v>240</v>
      </c>
      <c r="C44" s="5" t="s">
        <v>5</v>
      </c>
      <c r="D44" s="5" t="s">
        <v>3</v>
      </c>
      <c r="E44" s="18">
        <f>MROUND(E43*D43,C45)</f>
        <v>115</v>
      </c>
      <c r="F44" s="18">
        <f t="shared" ref="F44" si="22">E44</f>
        <v>115</v>
      </c>
      <c r="G44" s="18">
        <f t="shared" si="20"/>
        <v>115</v>
      </c>
      <c r="H44" s="18">
        <f t="shared" si="20"/>
        <v>115</v>
      </c>
      <c r="I44" s="47">
        <f>H44</f>
        <v>115</v>
      </c>
      <c r="J44" s="226"/>
      <c r="K44" s="10" t="s">
        <v>6</v>
      </c>
      <c r="L44" s="17">
        <f>E44*E45+F44*F45+G44*G45+H44*H45+I44*I45</f>
        <v>2300</v>
      </c>
      <c r="N44" s="209"/>
      <c r="O44" s="43">
        <f>B44</f>
        <v>240</v>
      </c>
      <c r="P44" s="5" t="s">
        <v>5</v>
      </c>
      <c r="Q44" s="5" t="s">
        <v>3</v>
      </c>
      <c r="R44" s="18">
        <f>MROUND(R43*Q43,P45)</f>
        <v>167.5</v>
      </c>
      <c r="S44" s="18">
        <f t="shared" si="21"/>
        <v>167.5</v>
      </c>
      <c r="T44" s="18">
        <f t="shared" si="21"/>
        <v>167.5</v>
      </c>
      <c r="U44" s="18">
        <f t="shared" si="21"/>
        <v>167.5</v>
      </c>
      <c r="V44" s="19">
        <f t="shared" si="21"/>
        <v>167.5</v>
      </c>
      <c r="W44" s="215"/>
      <c r="X44" s="10" t="s">
        <v>6</v>
      </c>
      <c r="Y44" s="17">
        <f>R44*R45+S44*S45+T44*T45+U44*U45+V44*V45</f>
        <v>2010</v>
      </c>
    </row>
    <row r="45" spans="1:25" ht="17.25" thickBot="1" x14ac:dyDescent="0.3">
      <c r="A45" s="210"/>
      <c r="B45" s="13"/>
      <c r="C45" s="12">
        <f>P35</f>
        <v>2.5</v>
      </c>
      <c r="D45" s="13" t="s">
        <v>7</v>
      </c>
      <c r="E45" s="54">
        <f xml:space="preserve"> IF(I42="하",0,IF(MROUND(J42/5,1)&lt;=D42,IF(MROUND(J42/5,1)&gt;=C42,MROUND(J42/5,1),C42),D42))</f>
        <v>0</v>
      </c>
      <c r="F45" s="55">
        <f>IF(MROUND((J42-E45)/4,1)&lt;=D42,IF(MROUND((J42-E45)/4,1)&gt;=C42,MROUND((J42-E45)/4,1),C42),D42)</f>
        <v>5</v>
      </c>
      <c r="G45" s="55">
        <f>IF(MROUND((J42-E45-F45)/3,1)&lt;=D42,IF(MROUND((J42-E45-F45)/3,1)&gt;=C42,MROUND((J42-E45-F45)/3,1),C42),D42)</f>
        <v>5</v>
      </c>
      <c r="H45" s="55">
        <f>IF(MROUND((J42-E45-F45-G45)/2,1)&lt;=D42,IF((J42-E45-F45-G45)/2&gt;=C42,MROUND((J42-E45-F45-G45)/2,1),J42-E45-F45-G45),D42)</f>
        <v>5</v>
      </c>
      <c r="I45" s="56">
        <f>IF((J42-(E45+F45+G45+H45))&gt;0,(J42-(E45+F45+G45+H45)),0)</f>
        <v>5</v>
      </c>
      <c r="J45" s="227"/>
      <c r="K45" s="10" t="s">
        <v>10</v>
      </c>
      <c r="L45" s="17">
        <f>SUM(E45:I45)</f>
        <v>20</v>
      </c>
      <c r="N45" s="210"/>
      <c r="O45" s="45" t="str">
        <f>IF(R43&gt;0.9,"ME"," ")</f>
        <v xml:space="preserve"> </v>
      </c>
      <c r="P45" s="12">
        <f>C35</f>
        <v>2.5</v>
      </c>
      <c r="Q45" s="13" t="s">
        <v>7</v>
      </c>
      <c r="R45" s="11">
        <f xml:space="preserve"> IF(V42="하",0,IF(MROUND(W42/5,1)&lt;=Q42,IF(MROUND(W42/5,1)&gt;=P42,MROUND(W42/5,1),P42),Q42))</f>
        <v>0</v>
      </c>
      <c r="S45" s="20">
        <f>IF(MROUND((W42-R45)/4,1)&lt;=Q42,IF(MROUND((W42-R45)/4,1)&gt;=P42,MROUND((W42-R45)/4,1),P42),Q42)</f>
        <v>3</v>
      </c>
      <c r="T45" s="20">
        <f>IF(MROUND((W42-R45-S45)/3,1)&lt;=Q42,IF(MROUND((W42-R45-S45)/3,1)&gt;=P42,MROUND((W42-R45-S45)/3,1),P42),Q42)</f>
        <v>3</v>
      </c>
      <c r="U45" s="20">
        <f>IF(MROUND((W42-R45-S45-T45)/2,1)&lt;=Q42,IF((W42-R45-S45-T45)/2&gt;=P42,MROUND((W42-R45-S45-T45)/2,1),W42-R45-S45-T45),Q42)</f>
        <v>3</v>
      </c>
      <c r="V45" s="21">
        <f>IF((W42-(R45+S45+T45+U45))&gt;0,(W42-(R45+S45+T45+U45)),0)</f>
        <v>3</v>
      </c>
      <c r="W45" s="215"/>
      <c r="X45" s="10" t="s">
        <v>10</v>
      </c>
      <c r="Y45" s="17">
        <f>SUM(R45:V45)</f>
        <v>12</v>
      </c>
    </row>
    <row r="46" spans="1:25" ht="30.75" thickTop="1" thickBot="1" x14ac:dyDescent="0.3">
      <c r="A46" s="223" t="str">
        <f>TEXT(I$7&amp;A48&amp;"/ ME &amp; back off set"&amp;" "&amp;" / Supplement ",0)</f>
        <v xml:space="preserve">하9/ ME &amp; back off set  / Supplement </v>
      </c>
      <c r="B46" s="224"/>
      <c r="C46" s="224"/>
      <c r="D46" s="224"/>
      <c r="E46" s="224"/>
      <c r="F46" s="224"/>
      <c r="G46" s="224"/>
      <c r="H46" s="224"/>
      <c r="I46" s="224"/>
      <c r="J46" s="224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61"/>
      <c r="Y46" s="62"/>
    </row>
    <row r="47" spans="1:25" ht="18" thickTop="1" thickBot="1" x14ac:dyDescent="0.3">
      <c r="A47" s="29">
        <f>L42+L50</f>
        <v>216</v>
      </c>
      <c r="C47" s="23">
        <f>IF(E48&gt;=90%,1,IF(E48&gt;=80%,2,IF(E48&gt;=70%,3,3)))</f>
        <v>2</v>
      </c>
      <c r="D47" s="23">
        <f>IF(E48&gt;=90%,2,IF(E48&gt;=80%,4,IF(E48&gt;=70%,6,6)))</f>
        <v>4</v>
      </c>
      <c r="E47" s="14" t="str">
        <f>E42</f>
        <v>개당</v>
      </c>
      <c r="F47" s="32">
        <f>IF(I47="하",1.39%,1.11%)</f>
        <v>1.3899999999999999E-2</v>
      </c>
      <c r="G47" s="3" t="s">
        <v>2</v>
      </c>
      <c r="H47" s="4">
        <f>L49/(100%-F47*L50)/L50</f>
        <v>101.26012601260126</v>
      </c>
      <c r="I47" s="15" t="str">
        <f>I42</f>
        <v>하</v>
      </c>
      <c r="J47" s="53">
        <f>IF($I$7="하",$H$1,$D$1)</f>
        <v>8</v>
      </c>
      <c r="K47" s="35" t="s">
        <v>9</v>
      </c>
      <c r="L47" s="35">
        <f>(L42+L50+Y50)</f>
        <v>228</v>
      </c>
      <c r="M47" s="34">
        <f>ROUNDDOWN(L47/(B48/4),0)</f>
        <v>5</v>
      </c>
      <c r="N47" s="29">
        <f>IF(R43&lt;0.9,N42+Y50,Y50)</f>
        <v>108</v>
      </c>
      <c r="P47" s="23">
        <f>IF(R48&gt;=90%,1,IF(R48&gt;=80%,2,IF(R48&gt;=70%,3,3)))</f>
        <v>2</v>
      </c>
      <c r="Q47" s="23">
        <f>IF(R48&gt;=90%,2,IF(R48&gt;=80%,4,IF(R48&gt;=70%,6,6)))</f>
        <v>4</v>
      </c>
      <c r="R47" s="14" t="str">
        <f>R42</f>
        <v>개당</v>
      </c>
      <c r="S47" s="32">
        <f>IF(V47="하",1.39%,1.11%)</f>
        <v>1.3899999999999999E-2</v>
      </c>
      <c r="T47" s="3" t="s">
        <v>2</v>
      </c>
      <c r="U47" s="4">
        <f>Y49/(100%-S47*Y50)/Y50</f>
        <v>99.015842534805572</v>
      </c>
      <c r="V47" s="15" t="str">
        <f>V42</f>
        <v>하</v>
      </c>
      <c r="W47" s="53">
        <f>IF($I$7="하",$J$1,$F$1)</f>
        <v>12</v>
      </c>
      <c r="X47" s="35" t="s">
        <v>9</v>
      </c>
      <c r="Y47" s="35">
        <f>Y42+Y50</f>
        <v>108</v>
      </c>
    </row>
    <row r="48" spans="1:25" x14ac:dyDescent="0.25">
      <c r="A48" s="208">
        <f>A43+1</f>
        <v>9</v>
      </c>
      <c r="B48" s="42">
        <f>B43</f>
        <v>160</v>
      </c>
      <c r="C48" s="38">
        <v>1</v>
      </c>
      <c r="D48" s="38">
        <v>100</v>
      </c>
      <c r="E48" s="6">
        <f>IF(B50="ME",100%-ROUNDDOWN(L45*0.8,0)*F47,100%-J47*F47)</f>
        <v>0.88880000000000003</v>
      </c>
      <c r="F48" s="7">
        <f>E48</f>
        <v>0.88880000000000003</v>
      </c>
      <c r="G48" s="7">
        <f t="shared" ref="G48:H49" si="23">F48</f>
        <v>0.88880000000000003</v>
      </c>
      <c r="H48" s="7">
        <f t="shared" si="23"/>
        <v>0.88880000000000003</v>
      </c>
      <c r="I48" s="46">
        <f>H48</f>
        <v>0.88880000000000003</v>
      </c>
      <c r="J48" s="211" t="str">
        <f>J38</f>
        <v>ME</v>
      </c>
      <c r="K48" s="9" t="s">
        <v>4</v>
      </c>
      <c r="L48" s="16">
        <f>(E48*E50+F48*F50+G48*G50+H48*H50+I48*I50)/L50</f>
        <v>0.88880000000000003</v>
      </c>
      <c r="N48" s="208">
        <f>N43+1</f>
        <v>9</v>
      </c>
      <c r="O48" s="43">
        <f>B48</f>
        <v>160</v>
      </c>
      <c r="P48" s="33">
        <v>1</v>
      </c>
      <c r="Q48" s="33">
        <v>100</v>
      </c>
      <c r="R48" s="6">
        <f>100%-W47*S47</f>
        <v>0.83319999999999994</v>
      </c>
      <c r="S48" s="7">
        <f t="shared" ref="S48:V49" si="24">R48</f>
        <v>0.83319999999999994</v>
      </c>
      <c r="T48" s="7">
        <f t="shared" si="24"/>
        <v>0.83319999999999994</v>
      </c>
      <c r="U48" s="7">
        <f t="shared" si="24"/>
        <v>0.83319999999999994</v>
      </c>
      <c r="V48" s="8">
        <f t="shared" si="24"/>
        <v>0.83319999999999994</v>
      </c>
      <c r="W48" s="214" t="s">
        <v>19</v>
      </c>
      <c r="X48" s="9" t="s">
        <v>4</v>
      </c>
      <c r="Y48" s="16">
        <f>(R48*R50+S48*S50+T48*T50+U48*U50+V48*V50)/Y50</f>
        <v>0.83320000000000005</v>
      </c>
    </row>
    <row r="49" spans="1:25" x14ac:dyDescent="0.25">
      <c r="A49" s="209"/>
      <c r="B49" s="42">
        <f>B44</f>
        <v>240</v>
      </c>
      <c r="C49" s="5" t="s">
        <v>5</v>
      </c>
      <c r="D49" s="5" t="s">
        <v>3</v>
      </c>
      <c r="E49" s="18">
        <f>MROUND(E48*D48,C50)</f>
        <v>90</v>
      </c>
      <c r="F49" s="18">
        <f t="shared" ref="F49" si="25">E49</f>
        <v>90</v>
      </c>
      <c r="G49" s="18">
        <f t="shared" si="23"/>
        <v>90</v>
      </c>
      <c r="H49" s="18">
        <f t="shared" si="23"/>
        <v>90</v>
      </c>
      <c r="I49" s="47">
        <f>H49</f>
        <v>90</v>
      </c>
      <c r="J49" s="212"/>
      <c r="K49" s="10" t="s">
        <v>6</v>
      </c>
      <c r="L49" s="17">
        <f>E49*E50+F49*F50+G49*G50+H49*H50+I49*I50</f>
        <v>720</v>
      </c>
      <c r="N49" s="209"/>
      <c r="O49" s="43">
        <f>B49</f>
        <v>240</v>
      </c>
      <c r="P49" s="5" t="s">
        <v>5</v>
      </c>
      <c r="Q49" s="5" t="s">
        <v>3</v>
      </c>
      <c r="R49" s="18">
        <f>MROUND(R48*Q48,P50)</f>
        <v>82.5</v>
      </c>
      <c r="S49" s="18">
        <f t="shared" si="24"/>
        <v>82.5</v>
      </c>
      <c r="T49" s="18">
        <f t="shared" si="24"/>
        <v>82.5</v>
      </c>
      <c r="U49" s="18">
        <f t="shared" si="24"/>
        <v>82.5</v>
      </c>
      <c r="V49" s="19">
        <f t="shared" si="24"/>
        <v>82.5</v>
      </c>
      <c r="W49" s="215"/>
      <c r="X49" s="10" t="s">
        <v>6</v>
      </c>
      <c r="Y49" s="17">
        <f>R49*R50+S49*S50+T49*T50+U49*U50+V49*V50</f>
        <v>990</v>
      </c>
    </row>
    <row r="50" spans="1:25" ht="17.25" thickBot="1" x14ac:dyDescent="0.3">
      <c r="A50" s="210"/>
      <c r="B50" s="13"/>
      <c r="C50" s="12">
        <f>C40</f>
        <v>2.5</v>
      </c>
      <c r="D50" s="13" t="s">
        <v>7</v>
      </c>
      <c r="E50" s="54">
        <f xml:space="preserve"> IF(I47="하",0,IF(MROUND(J47/5,1)&lt;=D47,IF(MROUND(J47/5,1)&gt;=C47,MROUND(J47/5,1),C47),D47))</f>
        <v>0</v>
      </c>
      <c r="F50" s="55">
        <f>IF(MROUND((J47-E50)/4,1)&lt;=D47,IF(MROUND((J47-E50)/4,1)&gt;=C47,MROUND((J47-E50)/4,1),C47),D47)</f>
        <v>2</v>
      </c>
      <c r="G50" s="55">
        <f>IF(MROUND((J47-E50-F50)/3,1)&lt;=D47,IF(MROUND((J47-E50-F50)/3,1)&gt;=C47,MROUND((J47-E50-F50)/3,1),C47),D47)</f>
        <v>2</v>
      </c>
      <c r="H50" s="55">
        <f>IF(MROUND((J47-E50-F50-G50)/2,1)&lt;=D47,IF((J47-E50-F50-G50)/2&gt;=C47,MROUND((J47-E50-F50-G50)/2,1),J47-E50-F50-G50),D47)</f>
        <v>2</v>
      </c>
      <c r="I50" s="56">
        <f>IF((J47-(E50+F50+G50+H50))&gt;0,(J47-(E50+F50+G50+H50)),0)</f>
        <v>2</v>
      </c>
      <c r="J50" s="213"/>
      <c r="K50" s="10" t="s">
        <v>10</v>
      </c>
      <c r="L50" s="17">
        <f>SUM(E50:I50)</f>
        <v>8</v>
      </c>
      <c r="N50" s="210"/>
      <c r="O50" s="45" t="str">
        <f>IF(R48&gt;0.9,"ME"," ")</f>
        <v xml:space="preserve"> </v>
      </c>
      <c r="P50" s="12">
        <f>P40</f>
        <v>2.5</v>
      </c>
      <c r="Q50" s="13" t="s">
        <v>7</v>
      </c>
      <c r="R50" s="11">
        <f xml:space="preserve"> IF(V47="하",0,IF(MROUND(W47/5,1)&lt;=Q47,IF(MROUND(W47/5,1)&gt;=P47,MROUND(W47/5,1),P47),Q47))</f>
        <v>0</v>
      </c>
      <c r="S50" s="20">
        <f>IF(MROUND((W47-R50)/4,1)&lt;=Q47,IF(MROUND((W47-R50)/4,1)&gt;=P47,MROUND((W47-R50)/4,1),P47),Q47)</f>
        <v>3</v>
      </c>
      <c r="T50" s="20">
        <f>IF(MROUND((W47-R50-S50)/3,1)&lt;=Q47,IF(MROUND((W47-R50-S50)/3,1)&gt;=P47,MROUND((W47-R50-S50)/3,1),P47),Q47)</f>
        <v>3</v>
      </c>
      <c r="U50" s="20">
        <f>IF(MROUND((W47-R50-S50-T50)/2,1)&lt;=Q47,IF((W47-R50-S50-T50)/2&gt;=P47,MROUND((W47-R50-S50-T50)/2,1),W47-R50-S50-T50),Q47)</f>
        <v>3</v>
      </c>
      <c r="V50" s="21">
        <f>IF((W47-(R50+S50+T50+U50))&gt;0,(W47-(R50+S50+T50+U50)),0)</f>
        <v>3</v>
      </c>
      <c r="W50" s="215"/>
      <c r="X50" s="10" t="s">
        <v>10</v>
      </c>
      <c r="Y50" s="17">
        <f>SUM(R50:V50)</f>
        <v>12</v>
      </c>
    </row>
    <row r="51" spans="1:25" ht="30.75" thickTop="1" thickBot="1" x14ac:dyDescent="0.3">
      <c r="A51" s="223" t="str">
        <f>TEXT(I$7&amp;A53&amp;"/ main lifting DE"&amp;" "&amp;" / Supplement RE",0)</f>
        <v>하10/ main lifting DE  / Supplement RE</v>
      </c>
      <c r="B51" s="224"/>
      <c r="C51" s="224"/>
      <c r="D51" s="224"/>
      <c r="E51" s="224"/>
      <c r="F51" s="224"/>
      <c r="G51" s="224"/>
      <c r="H51" s="224"/>
      <c r="I51" s="224"/>
      <c r="J51" s="224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61"/>
      <c r="Y51" s="62"/>
    </row>
    <row r="52" spans="1:25" ht="18" thickTop="1" thickBot="1" x14ac:dyDescent="0.3">
      <c r="A52" s="29">
        <f>L47+L55</f>
        <v>248</v>
      </c>
      <c r="C52" s="23">
        <f>IF(E53&gt;=90%,1,IF(E53&gt;=80%,2,IF(E53&gt;=70%,3,3)))</f>
        <v>3</v>
      </c>
      <c r="D52" s="23">
        <f>IF(E53&gt;=90%,2,IF(E53&gt;=80%,4,IF(E53&gt;=70%,6,6)))</f>
        <v>6</v>
      </c>
      <c r="E52" s="14" t="str">
        <f>E47</f>
        <v>개당</v>
      </c>
      <c r="F52" s="32">
        <f>IF(I52="하",1.39%,1.11%)</f>
        <v>1.3899999999999999E-2</v>
      </c>
      <c r="G52" s="3" t="s">
        <v>2</v>
      </c>
      <c r="H52" s="4">
        <f>L54/(100%-F52*L55)/L55</f>
        <v>200.83102493074793</v>
      </c>
      <c r="I52" s="15" t="str">
        <f>I47</f>
        <v>하</v>
      </c>
      <c r="J52" s="53">
        <f>IF($I$7="하",$I$1,$E$1)</f>
        <v>20</v>
      </c>
      <c r="K52" s="35" t="s">
        <v>9</v>
      </c>
      <c r="L52" s="35">
        <f>(L47+L55+Y55)</f>
        <v>260</v>
      </c>
      <c r="M52" s="34">
        <f>ROUNDDOWN(L52/(B53/4),0)</f>
        <v>6</v>
      </c>
      <c r="N52" s="29">
        <f>IF(R48&lt;0.9,N47+Y55,Y55)</f>
        <v>120</v>
      </c>
      <c r="P52" s="23">
        <f>IF(R53&gt;=90%,1,IF(R53&gt;=80%,2,IF(R53&gt;=70%,3,3)))</f>
        <v>2</v>
      </c>
      <c r="Q52" s="23">
        <f>IF(R53&gt;=90%,2,IF(R53&gt;=80%,4,IF(R53&gt;=70%,6,6)))</f>
        <v>4</v>
      </c>
      <c r="R52" s="14" t="str">
        <f>R47</f>
        <v>개당</v>
      </c>
      <c r="S52" s="32">
        <f>IF(V52="하",1.39%,1.11%)</f>
        <v>1.3899999999999999E-2</v>
      </c>
      <c r="T52" s="3" t="s">
        <v>2</v>
      </c>
      <c r="U52" s="4">
        <f>Y54/(100%-S52*Y55)/Y55</f>
        <v>159.0254440710514</v>
      </c>
      <c r="V52" s="15" t="str">
        <f>V47</f>
        <v>하</v>
      </c>
      <c r="W52" s="53">
        <f>IF($I$7="하",$J$1,$F$1)</f>
        <v>12</v>
      </c>
      <c r="X52" s="35" t="s">
        <v>9</v>
      </c>
      <c r="Y52" s="35">
        <f>Y47+Y55</f>
        <v>120</v>
      </c>
    </row>
    <row r="53" spans="1:25" x14ac:dyDescent="0.25">
      <c r="A53" s="208">
        <f>A48+1</f>
        <v>10</v>
      </c>
      <c r="B53" s="42">
        <f>B48</f>
        <v>160</v>
      </c>
      <c r="C53" s="48" t="str">
        <f>P43</f>
        <v>SGDL</v>
      </c>
      <c r="D53" s="49">
        <f>U42</f>
        <v>201.03216514642347</v>
      </c>
      <c r="E53" s="6">
        <f>IF(B55="ME",100%-ROUNDDOWN(L50*0.8,0)*F52,100%-J52*F52)</f>
        <v>0.72199999999999998</v>
      </c>
      <c r="F53" s="7">
        <f>E53</f>
        <v>0.72199999999999998</v>
      </c>
      <c r="G53" s="7">
        <f t="shared" ref="G53:H54" si="26">F53</f>
        <v>0.72199999999999998</v>
      </c>
      <c r="H53" s="7">
        <f t="shared" si="26"/>
        <v>0.72199999999999998</v>
      </c>
      <c r="I53" s="46">
        <f>H53</f>
        <v>0.72199999999999998</v>
      </c>
      <c r="J53" s="225" t="s">
        <v>20</v>
      </c>
      <c r="K53" s="9" t="s">
        <v>4</v>
      </c>
      <c r="L53" s="16">
        <f>(E53*E55+F53*F55+G53*G55+H53*H55+I53*I55)/L55</f>
        <v>0.72199999999999998</v>
      </c>
      <c r="N53" s="208">
        <f>N48+1</f>
        <v>10</v>
      </c>
      <c r="O53" s="43">
        <f>B53</f>
        <v>160</v>
      </c>
      <c r="P53" s="50" t="str">
        <f>C43</f>
        <v>PauseFSQ</v>
      </c>
      <c r="Q53" s="51">
        <f>D43</f>
        <v>159.0254440710514</v>
      </c>
      <c r="R53" s="6">
        <f>100%-W52*S52</f>
        <v>0.83319999999999994</v>
      </c>
      <c r="S53" s="7">
        <f t="shared" ref="S53:V54" si="27">R53</f>
        <v>0.83319999999999994</v>
      </c>
      <c r="T53" s="7">
        <f t="shared" si="27"/>
        <v>0.83319999999999994</v>
      </c>
      <c r="U53" s="7">
        <f t="shared" si="27"/>
        <v>0.83319999999999994</v>
      </c>
      <c r="V53" s="8">
        <f t="shared" si="27"/>
        <v>0.83319999999999994</v>
      </c>
      <c r="W53" s="214" t="s">
        <v>18</v>
      </c>
      <c r="X53" s="9" t="s">
        <v>4</v>
      </c>
      <c r="Y53" s="16">
        <f>(R53*R55+S53*S55+T53*T55+U53*U55+V53*V55)/Y55</f>
        <v>0.83320000000000005</v>
      </c>
    </row>
    <row r="54" spans="1:25" x14ac:dyDescent="0.25">
      <c r="A54" s="209"/>
      <c r="B54" s="42">
        <f>B49</f>
        <v>240</v>
      </c>
      <c r="C54" s="5" t="s">
        <v>5</v>
      </c>
      <c r="D54" s="5" t="s">
        <v>3</v>
      </c>
      <c r="E54" s="18">
        <f>MROUND(E53*D53,C55)</f>
        <v>145</v>
      </c>
      <c r="F54" s="18">
        <f t="shared" ref="F54" si="28">E54</f>
        <v>145</v>
      </c>
      <c r="G54" s="18">
        <f t="shared" si="26"/>
        <v>145</v>
      </c>
      <c r="H54" s="18">
        <f t="shared" si="26"/>
        <v>145</v>
      </c>
      <c r="I54" s="47">
        <f>H54</f>
        <v>145</v>
      </c>
      <c r="J54" s="226"/>
      <c r="K54" s="10" t="s">
        <v>6</v>
      </c>
      <c r="L54" s="17">
        <f>E54*E55+F54*F55+G54*G55+H54*H55+I54*I55</f>
        <v>2900</v>
      </c>
      <c r="N54" s="209"/>
      <c r="O54" s="43">
        <f>B54</f>
        <v>240</v>
      </c>
      <c r="P54" s="5" t="s">
        <v>5</v>
      </c>
      <c r="Q54" s="5" t="s">
        <v>3</v>
      </c>
      <c r="R54" s="18">
        <f>MROUND(R53*Q53,P55)</f>
        <v>132.5</v>
      </c>
      <c r="S54" s="18">
        <f t="shared" si="27"/>
        <v>132.5</v>
      </c>
      <c r="T54" s="18">
        <f t="shared" si="27"/>
        <v>132.5</v>
      </c>
      <c r="U54" s="18">
        <f t="shared" si="27"/>
        <v>132.5</v>
      </c>
      <c r="V54" s="19">
        <f t="shared" si="27"/>
        <v>132.5</v>
      </c>
      <c r="W54" s="215"/>
      <c r="X54" s="10" t="s">
        <v>6</v>
      </c>
      <c r="Y54" s="17">
        <f>R54*R55+S54*S55+T54*T55+U54*U55+V54*V55</f>
        <v>1590</v>
      </c>
    </row>
    <row r="55" spans="1:25" ht="17.25" thickBot="1" x14ac:dyDescent="0.3">
      <c r="A55" s="210"/>
      <c r="B55" s="13"/>
      <c r="C55" s="12">
        <f>P45</f>
        <v>2.5</v>
      </c>
      <c r="D55" s="13" t="s">
        <v>7</v>
      </c>
      <c r="E55" s="54">
        <f xml:space="preserve"> IF(I52="하",0,IF(MROUND(J52/5,1)&lt;=D52,IF(MROUND(J52/5,1)&gt;=C52,MROUND(J52/5,1),C52),D52))</f>
        <v>0</v>
      </c>
      <c r="F55" s="55">
        <f>IF(MROUND((J52-E55)/4,1)&lt;=D52,IF(MROUND((J52-E55)/4,1)&gt;=C52,MROUND((J52-E55)/4,1),C52),D52)</f>
        <v>5</v>
      </c>
      <c r="G55" s="55">
        <f>IF(MROUND((J52-E55-F55)/3,1)&lt;=D52,IF(MROUND((J52-E55-F55)/3,1)&gt;=C52,MROUND((J52-E55-F55)/3,1),C52),D52)</f>
        <v>5</v>
      </c>
      <c r="H55" s="55">
        <f>IF(MROUND((J52-E55-F55-G55)/2,1)&lt;=D52,IF((J52-E55-F55-G55)/2&gt;=C52,MROUND((J52-E55-F55-G55)/2,1),J52-E55-F55-G55),D52)</f>
        <v>5</v>
      </c>
      <c r="I55" s="56">
        <f>IF((J52-(E55+F55+G55+H55))&gt;0,(J52-(E55+F55+G55+H55)),0)</f>
        <v>5</v>
      </c>
      <c r="J55" s="227"/>
      <c r="K55" s="10" t="s">
        <v>10</v>
      </c>
      <c r="L55" s="17">
        <f>SUM(E55:I55)</f>
        <v>20</v>
      </c>
      <c r="N55" s="210"/>
      <c r="O55" s="45" t="str">
        <f>IF(R53&gt;0.9,"ME"," ")</f>
        <v xml:space="preserve"> </v>
      </c>
      <c r="P55" s="12">
        <f>C45</f>
        <v>2.5</v>
      </c>
      <c r="Q55" s="13" t="s">
        <v>7</v>
      </c>
      <c r="R55" s="11">
        <f xml:space="preserve"> IF(V52="하",0,IF(MROUND(W52/5,1)&lt;=Q52,IF(MROUND(W52/5,1)&gt;=P52,MROUND(W52/5,1),P52),Q52))</f>
        <v>0</v>
      </c>
      <c r="S55" s="20">
        <f>IF(MROUND((W52-R55)/4,1)&lt;=Q52,IF(MROUND((W52-R55)/4,1)&gt;=P52,MROUND((W52-R55)/4,1),P52),Q52)</f>
        <v>3</v>
      </c>
      <c r="T55" s="20">
        <f>IF(MROUND((W52-R55-S55)/3,1)&lt;=Q52,IF(MROUND((W52-R55-S55)/3,1)&gt;=P52,MROUND((W52-R55-S55)/3,1),P52),Q52)</f>
        <v>3</v>
      </c>
      <c r="U55" s="20">
        <f>IF(MROUND((W52-R55-S55-T55)/2,1)&lt;=Q52,IF((W52-R55-S55-T55)/2&gt;=P52,MROUND((W52-R55-S55-T55)/2,1),W52-R55-S55-T55),Q52)</f>
        <v>3</v>
      </c>
      <c r="V55" s="21">
        <f>IF((W52-(R55+S55+T55+U55))&gt;0,(W52-(R55+S55+T55+U55)),0)</f>
        <v>3</v>
      </c>
      <c r="W55" s="215"/>
      <c r="X55" s="10" t="s">
        <v>10</v>
      </c>
      <c r="Y55" s="17">
        <f>SUM(R55:V55)</f>
        <v>12</v>
      </c>
    </row>
    <row r="56" spans="1:25" ht="30.75" thickTop="1" thickBot="1" x14ac:dyDescent="0.3">
      <c r="A56" s="223" t="str">
        <f>TEXT(I$7&amp;A58&amp;"/ ME &amp; back off set"&amp;" "&amp;" / Supplement ",0)</f>
        <v xml:space="preserve">하11/ ME &amp; back off set  / Supplement </v>
      </c>
      <c r="B56" s="224"/>
      <c r="C56" s="224"/>
      <c r="D56" s="224"/>
      <c r="E56" s="224"/>
      <c r="F56" s="224"/>
      <c r="G56" s="224"/>
      <c r="H56" s="224"/>
      <c r="I56" s="224"/>
      <c r="J56" s="224"/>
      <c r="K56" s="224"/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61"/>
      <c r="Y56" s="62"/>
    </row>
    <row r="57" spans="1:25" ht="18" thickTop="1" thickBot="1" x14ac:dyDescent="0.3">
      <c r="A57" s="29">
        <f>L52+L60</f>
        <v>268</v>
      </c>
      <c r="C57" s="23">
        <f>IF(E58&gt;=90%,1,IF(E58&gt;=80%,2,IF(E58&gt;=70%,3,3)))</f>
        <v>2</v>
      </c>
      <c r="D57" s="23">
        <f>IF(E58&gt;=90%,2,IF(E58&gt;=80%,4,IF(E58&gt;=70%,6,6)))</f>
        <v>4</v>
      </c>
      <c r="E57" s="14" t="str">
        <f>E52</f>
        <v>개당</v>
      </c>
      <c r="F57" s="32">
        <f>IF(I57="하",1.39%,1.11%)</f>
        <v>1.3899999999999999E-2</v>
      </c>
      <c r="G57" s="3" t="s">
        <v>2</v>
      </c>
      <c r="H57" s="4">
        <f>L59/(100%-F57*L60)/L60</f>
        <v>101.26012601260126</v>
      </c>
      <c r="I57" s="15" t="str">
        <f>I52</f>
        <v>하</v>
      </c>
      <c r="J57" s="53">
        <f>IF($I$7="하",$H$1,$D$1)</f>
        <v>8</v>
      </c>
      <c r="K57" s="35" t="s">
        <v>9</v>
      </c>
      <c r="L57" s="35">
        <f>(L52+L60+Y60)</f>
        <v>280</v>
      </c>
      <c r="M57" s="34">
        <f>ROUNDDOWN(L57/(B58/4),0)</f>
        <v>7</v>
      </c>
      <c r="N57" s="29">
        <f>IF(R53&lt;0.9,N52+Y60,Y60)</f>
        <v>132</v>
      </c>
      <c r="P57" s="23">
        <f>IF(R58&gt;=90%,1,IF(R58&gt;=80%,2,IF(R58&gt;=70%,3,3)))</f>
        <v>2</v>
      </c>
      <c r="Q57" s="23">
        <f>IF(R58&gt;=90%,2,IF(R58&gt;=80%,4,IF(R58&gt;=70%,6,6)))</f>
        <v>4</v>
      </c>
      <c r="R57" s="14" t="str">
        <f>R52</f>
        <v>개당</v>
      </c>
      <c r="S57" s="32">
        <f>IF(V57="하",1.39%,1.11%)</f>
        <v>1.3899999999999999E-2</v>
      </c>
      <c r="T57" s="3" t="s">
        <v>2</v>
      </c>
      <c r="U57" s="4">
        <f>Y59/(100%-S57*Y60)/Y60</f>
        <v>99.015842534805572</v>
      </c>
      <c r="V57" s="15" t="str">
        <f>V52</f>
        <v>하</v>
      </c>
      <c r="W57" s="53">
        <f>IF($I$7="하",$J$1,$F$1)</f>
        <v>12</v>
      </c>
      <c r="X57" s="35" t="s">
        <v>9</v>
      </c>
      <c r="Y57" s="35">
        <f>Y52+Y60</f>
        <v>132</v>
      </c>
    </row>
    <row r="58" spans="1:25" x14ac:dyDescent="0.25">
      <c r="A58" s="208">
        <f>A53+1</f>
        <v>11</v>
      </c>
      <c r="B58" s="42">
        <f>B53</f>
        <v>160</v>
      </c>
      <c r="C58" s="38">
        <v>1</v>
      </c>
      <c r="D58" s="38">
        <v>100</v>
      </c>
      <c r="E58" s="6">
        <f>IF(B60="ME",100%-ROUNDDOWN(L55*0.8,0)*F57,100%-J57*F57)</f>
        <v>0.88880000000000003</v>
      </c>
      <c r="F58" s="7">
        <f>E58</f>
        <v>0.88880000000000003</v>
      </c>
      <c r="G58" s="7">
        <f t="shared" ref="G58:H59" si="29">F58</f>
        <v>0.88880000000000003</v>
      </c>
      <c r="H58" s="7">
        <f t="shared" si="29"/>
        <v>0.88880000000000003</v>
      </c>
      <c r="I58" s="46">
        <f>H58</f>
        <v>0.88880000000000003</v>
      </c>
      <c r="J58" s="211" t="str">
        <f>J48</f>
        <v>ME</v>
      </c>
      <c r="K58" s="9" t="s">
        <v>4</v>
      </c>
      <c r="L58" s="16">
        <f>(E58*E60+F58*F60+G58*G60+H58*H60+I58*I60)/L60</f>
        <v>0.88880000000000003</v>
      </c>
      <c r="N58" s="208">
        <f>N53+1</f>
        <v>11</v>
      </c>
      <c r="O58" s="43">
        <f>B58</f>
        <v>160</v>
      </c>
      <c r="P58" s="33">
        <v>1</v>
      </c>
      <c r="Q58" s="33">
        <v>100</v>
      </c>
      <c r="R58" s="6">
        <f>100%-W57*S57</f>
        <v>0.83319999999999994</v>
      </c>
      <c r="S58" s="7">
        <f t="shared" ref="S58:V59" si="30">R58</f>
        <v>0.83319999999999994</v>
      </c>
      <c r="T58" s="7">
        <f t="shared" si="30"/>
        <v>0.83319999999999994</v>
      </c>
      <c r="U58" s="7">
        <f t="shared" si="30"/>
        <v>0.83319999999999994</v>
      </c>
      <c r="V58" s="8">
        <f t="shared" si="30"/>
        <v>0.83319999999999994</v>
      </c>
      <c r="W58" s="214" t="s">
        <v>19</v>
      </c>
      <c r="X58" s="9" t="s">
        <v>4</v>
      </c>
      <c r="Y58" s="16">
        <f>(R58*R60+S58*S60+T58*T60+U58*U60+V58*V60)/Y60</f>
        <v>0.83320000000000005</v>
      </c>
    </row>
    <row r="59" spans="1:25" x14ac:dyDescent="0.25">
      <c r="A59" s="209"/>
      <c r="B59" s="42">
        <f>B54</f>
        <v>240</v>
      </c>
      <c r="C59" s="5" t="s">
        <v>5</v>
      </c>
      <c r="D59" s="5" t="s">
        <v>3</v>
      </c>
      <c r="E59" s="18">
        <f>MROUND(E58*D58,C60)</f>
        <v>90</v>
      </c>
      <c r="F59" s="18">
        <f t="shared" ref="F59" si="31">E59</f>
        <v>90</v>
      </c>
      <c r="G59" s="18">
        <f t="shared" si="29"/>
        <v>90</v>
      </c>
      <c r="H59" s="18">
        <f t="shared" si="29"/>
        <v>90</v>
      </c>
      <c r="I59" s="47">
        <f>H59</f>
        <v>90</v>
      </c>
      <c r="J59" s="212"/>
      <c r="K59" s="10" t="s">
        <v>6</v>
      </c>
      <c r="L59" s="17">
        <f>E59*E60+F59*F60+G59*G60+H59*H60+I59*I60</f>
        <v>720</v>
      </c>
      <c r="N59" s="209"/>
      <c r="O59" s="43">
        <f>B59</f>
        <v>240</v>
      </c>
      <c r="P59" s="5" t="s">
        <v>5</v>
      </c>
      <c r="Q59" s="5" t="s">
        <v>3</v>
      </c>
      <c r="R59" s="18">
        <f>MROUND(R58*Q58,P60)</f>
        <v>82.5</v>
      </c>
      <c r="S59" s="18">
        <f t="shared" si="30"/>
        <v>82.5</v>
      </c>
      <c r="T59" s="18">
        <f t="shared" si="30"/>
        <v>82.5</v>
      </c>
      <c r="U59" s="18">
        <f t="shared" si="30"/>
        <v>82.5</v>
      </c>
      <c r="V59" s="19">
        <f t="shared" si="30"/>
        <v>82.5</v>
      </c>
      <c r="W59" s="215"/>
      <c r="X59" s="10" t="s">
        <v>6</v>
      </c>
      <c r="Y59" s="17">
        <f>R59*R60+S59*S60+T59*T60+U59*U60+V59*V60</f>
        <v>990</v>
      </c>
    </row>
    <row r="60" spans="1:25" ht="17.25" thickBot="1" x14ac:dyDescent="0.3">
      <c r="A60" s="210"/>
      <c r="B60" s="13"/>
      <c r="C60" s="12">
        <f>C50</f>
        <v>2.5</v>
      </c>
      <c r="D60" s="13" t="s">
        <v>7</v>
      </c>
      <c r="E60" s="54">
        <f xml:space="preserve"> IF(I57="하",0,IF(MROUND(J57/5,1)&lt;=D57,IF(MROUND(J57/5,1)&gt;=C57,MROUND(J57/5,1),C57),D57))</f>
        <v>0</v>
      </c>
      <c r="F60" s="55">
        <f>IF(MROUND((J57-E60)/4,1)&lt;=D57,IF(MROUND((J57-E60)/4,1)&gt;=C57,MROUND((J57-E60)/4,1),C57),D57)</f>
        <v>2</v>
      </c>
      <c r="G60" s="55">
        <f>IF(MROUND((J57-E60-F60)/3,1)&lt;=D57,IF(MROUND((J57-E60-F60)/3,1)&gt;=C57,MROUND((J57-E60-F60)/3,1),C57),D57)</f>
        <v>2</v>
      </c>
      <c r="H60" s="55">
        <f>IF(MROUND((J57-E60-F60-G60)/2,1)&lt;=D57,IF((J57-E60-F60-G60)/2&gt;=C57,MROUND((J57-E60-F60-G60)/2,1),J57-E60-F60-G60),D57)</f>
        <v>2</v>
      </c>
      <c r="I60" s="56">
        <f>IF((J57-(E60+F60+G60+H60))&gt;0,(J57-(E60+F60+G60+H60)),0)</f>
        <v>2</v>
      </c>
      <c r="J60" s="213"/>
      <c r="K60" s="10" t="s">
        <v>10</v>
      </c>
      <c r="L60" s="17">
        <f>SUM(E60:I60)</f>
        <v>8</v>
      </c>
      <c r="N60" s="210"/>
      <c r="O60" s="45" t="str">
        <f>IF(R58&gt;0.9,"ME"," ")</f>
        <v xml:space="preserve"> </v>
      </c>
      <c r="P60" s="12">
        <f>P50</f>
        <v>2.5</v>
      </c>
      <c r="Q60" s="13" t="s">
        <v>7</v>
      </c>
      <c r="R60" s="11">
        <f xml:space="preserve"> IF(V57="하",0,IF(MROUND(W57/5,1)&lt;=Q57,IF(MROUND(W57/5,1)&gt;=P57,MROUND(W57/5,1),P57),Q57))</f>
        <v>0</v>
      </c>
      <c r="S60" s="20">
        <f>IF(MROUND((W57-R60)/4,1)&lt;=Q57,IF(MROUND((W57-R60)/4,1)&gt;=P57,MROUND((W57-R60)/4,1),P57),Q57)</f>
        <v>3</v>
      </c>
      <c r="T60" s="20">
        <f>IF(MROUND((W57-R60-S60)/3,1)&lt;=Q57,IF(MROUND((W57-R60-S60)/3,1)&gt;=P57,MROUND((W57-R60-S60)/3,1),P57),Q57)</f>
        <v>3</v>
      </c>
      <c r="U60" s="20">
        <f>IF(MROUND((W57-R60-S60-T60)/2,1)&lt;=Q57,IF((W57-R60-S60-T60)/2&gt;=P57,MROUND((W57-R60-S60-T60)/2,1),W57-R60-S60-T60),Q57)</f>
        <v>3</v>
      </c>
      <c r="V60" s="21">
        <f>IF((W57-(R60+S60+T60+U60))&gt;0,(W57-(R60+S60+T60+U60)),0)</f>
        <v>3</v>
      </c>
      <c r="W60" s="215"/>
      <c r="X60" s="10" t="s">
        <v>10</v>
      </c>
      <c r="Y60" s="17">
        <f>SUM(R60:V60)</f>
        <v>12</v>
      </c>
    </row>
    <row r="61" spans="1:25" ht="30.75" thickTop="1" thickBot="1" x14ac:dyDescent="0.3">
      <c r="A61" s="223" t="str">
        <f>TEXT(I$7&amp;A63&amp;"/ main lifting DE"&amp;" "&amp;" / Supplement RE",0)</f>
        <v>하12/ main lifting DE  / Supplement RE</v>
      </c>
      <c r="B61" s="224"/>
      <c r="C61" s="224"/>
      <c r="D61" s="224"/>
      <c r="E61" s="224"/>
      <c r="F61" s="224"/>
      <c r="G61" s="224"/>
      <c r="H61" s="224"/>
      <c r="I61" s="224"/>
      <c r="J61" s="224"/>
      <c r="K61" s="224"/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61"/>
      <c r="Y61" s="62"/>
    </row>
    <row r="62" spans="1:25" ht="18" thickTop="1" thickBot="1" x14ac:dyDescent="0.3">
      <c r="A62" s="29">
        <f>L57+L65</f>
        <v>300</v>
      </c>
      <c r="C62" s="23">
        <f>IF(E63&gt;=90%,1,IF(E63&gt;=80%,2,IF(E63&gt;=70%,3,3)))</f>
        <v>3</v>
      </c>
      <c r="D62" s="23">
        <f>IF(E63&gt;=90%,2,IF(E63&gt;=80%,4,IF(E63&gt;=70%,6,6)))</f>
        <v>6</v>
      </c>
      <c r="E62" s="14" t="str">
        <f>E57</f>
        <v>개당</v>
      </c>
      <c r="F62" s="32">
        <f>IF(I62="하",1.39%,1.11%)</f>
        <v>1.3899999999999999E-2</v>
      </c>
      <c r="G62" s="3" t="s">
        <v>2</v>
      </c>
      <c r="H62" s="4">
        <f>L64/(100%-F62*L65)/L65</f>
        <v>159.27977839335182</v>
      </c>
      <c r="I62" s="15" t="str">
        <f>I57</f>
        <v>하</v>
      </c>
      <c r="J62" s="53">
        <f>IF($I$7="하",$I$1,$E$1)</f>
        <v>20</v>
      </c>
      <c r="K62" s="35" t="s">
        <v>9</v>
      </c>
      <c r="L62" s="35">
        <f>(L57+L65+Y65)</f>
        <v>312</v>
      </c>
      <c r="M62" s="34">
        <f>ROUNDDOWN(L62/(B63/4),0)</f>
        <v>7</v>
      </c>
      <c r="N62" s="29">
        <f>IF(R58&lt;0.9,N57+Y65,Y65)</f>
        <v>144</v>
      </c>
      <c r="P62" s="23">
        <f>IF(R63&gt;=90%,1,IF(R63&gt;=80%,2,IF(R63&gt;=70%,3,3)))</f>
        <v>2</v>
      </c>
      <c r="Q62" s="23">
        <f>IF(R63&gt;=90%,2,IF(R63&gt;=80%,4,IF(R63&gt;=70%,6,6)))</f>
        <v>4</v>
      </c>
      <c r="R62" s="14" t="str">
        <f>R57</f>
        <v>개당</v>
      </c>
      <c r="S62" s="32">
        <f>IF(V62="하",1.39%,1.11%)</f>
        <v>1.3899999999999999E-2</v>
      </c>
      <c r="T62" s="3" t="s">
        <v>2</v>
      </c>
      <c r="U62" s="4">
        <f>Y64/(100%-S62*Y65)/Y65</f>
        <v>201.03216514642347</v>
      </c>
      <c r="V62" s="15" t="str">
        <f>V57</f>
        <v>하</v>
      </c>
      <c r="W62" s="53">
        <f>IF($I$7="하",$J$1,$F$1)</f>
        <v>12</v>
      </c>
      <c r="X62" s="35" t="s">
        <v>9</v>
      </c>
      <c r="Y62" s="35">
        <f>Y57+Y65</f>
        <v>144</v>
      </c>
    </row>
    <row r="63" spans="1:25" x14ac:dyDescent="0.25">
      <c r="A63" s="208">
        <f>A58+1</f>
        <v>12</v>
      </c>
      <c r="B63" s="42">
        <f>B58</f>
        <v>160</v>
      </c>
      <c r="C63" s="48" t="str">
        <f>P53</f>
        <v>PauseFSQ</v>
      </c>
      <c r="D63" s="49">
        <f>U52</f>
        <v>159.0254440710514</v>
      </c>
      <c r="E63" s="6">
        <f>IF(B65="ME",100%-ROUNDDOWN(L60*0.8,0)*F62,100%-J62*F62)</f>
        <v>0.72199999999999998</v>
      </c>
      <c r="F63" s="7">
        <f>E63</f>
        <v>0.72199999999999998</v>
      </c>
      <c r="G63" s="7">
        <f t="shared" ref="G63:H64" si="32">F63</f>
        <v>0.72199999999999998</v>
      </c>
      <c r="H63" s="7">
        <f t="shared" si="32"/>
        <v>0.72199999999999998</v>
      </c>
      <c r="I63" s="46">
        <f>H63</f>
        <v>0.72199999999999998</v>
      </c>
      <c r="J63" s="225" t="s">
        <v>20</v>
      </c>
      <c r="K63" s="9" t="s">
        <v>4</v>
      </c>
      <c r="L63" s="16">
        <f>(E63*E65+F63*F65+G63*G65+H63*H65+I63*I65)/L65</f>
        <v>0.72199999999999998</v>
      </c>
      <c r="N63" s="208">
        <f>N58+1</f>
        <v>12</v>
      </c>
      <c r="O63" s="43">
        <f>B63</f>
        <v>160</v>
      </c>
      <c r="P63" s="50" t="str">
        <f>C53</f>
        <v>SGDL</v>
      </c>
      <c r="Q63" s="51">
        <f>D53</f>
        <v>201.03216514642347</v>
      </c>
      <c r="R63" s="6">
        <f>100%-W62*S62</f>
        <v>0.83319999999999994</v>
      </c>
      <c r="S63" s="7">
        <f t="shared" ref="S63:V64" si="33">R63</f>
        <v>0.83319999999999994</v>
      </c>
      <c r="T63" s="7">
        <f t="shared" si="33"/>
        <v>0.83319999999999994</v>
      </c>
      <c r="U63" s="7">
        <f t="shared" si="33"/>
        <v>0.83319999999999994</v>
      </c>
      <c r="V63" s="8">
        <f t="shared" si="33"/>
        <v>0.83319999999999994</v>
      </c>
      <c r="W63" s="214" t="s">
        <v>18</v>
      </c>
      <c r="X63" s="9" t="s">
        <v>4</v>
      </c>
      <c r="Y63" s="16">
        <f>(R63*R65+S63*S65+T63*T65+U63*U65+V63*V65)/Y65</f>
        <v>0.83320000000000005</v>
      </c>
    </row>
    <row r="64" spans="1:25" x14ac:dyDescent="0.25">
      <c r="A64" s="209"/>
      <c r="B64" s="42">
        <f>B59</f>
        <v>240</v>
      </c>
      <c r="C64" s="5" t="s">
        <v>5</v>
      </c>
      <c r="D64" s="5" t="s">
        <v>3</v>
      </c>
      <c r="E64" s="18">
        <f>MROUND(E63*D63,C65)</f>
        <v>115</v>
      </c>
      <c r="F64" s="18">
        <f t="shared" ref="F64" si="34">E64</f>
        <v>115</v>
      </c>
      <c r="G64" s="18">
        <f t="shared" si="32"/>
        <v>115</v>
      </c>
      <c r="H64" s="18">
        <f t="shared" si="32"/>
        <v>115</v>
      </c>
      <c r="I64" s="47">
        <f>H64</f>
        <v>115</v>
      </c>
      <c r="J64" s="226"/>
      <c r="K64" s="10" t="s">
        <v>6</v>
      </c>
      <c r="L64" s="17">
        <f>E64*E65+F64*F65+G64*G65+H64*H65+I64*I65</f>
        <v>2300</v>
      </c>
      <c r="N64" s="209"/>
      <c r="O64" s="43">
        <f>B64</f>
        <v>240</v>
      </c>
      <c r="P64" s="5" t="s">
        <v>5</v>
      </c>
      <c r="Q64" s="5" t="s">
        <v>3</v>
      </c>
      <c r="R64" s="18">
        <f>MROUND(R63*Q63,P65)</f>
        <v>167.5</v>
      </c>
      <c r="S64" s="18">
        <f t="shared" si="33"/>
        <v>167.5</v>
      </c>
      <c r="T64" s="18">
        <f t="shared" si="33"/>
        <v>167.5</v>
      </c>
      <c r="U64" s="18">
        <f t="shared" si="33"/>
        <v>167.5</v>
      </c>
      <c r="V64" s="19">
        <f t="shared" si="33"/>
        <v>167.5</v>
      </c>
      <c r="W64" s="215"/>
      <c r="X64" s="10" t="s">
        <v>6</v>
      </c>
      <c r="Y64" s="17">
        <f>R64*R65+S64*S65+T64*T65+U64*U65+V64*V65</f>
        <v>2010</v>
      </c>
    </row>
    <row r="65" spans="1:25" ht="17.25" thickBot="1" x14ac:dyDescent="0.3">
      <c r="A65" s="210"/>
      <c r="B65" s="13"/>
      <c r="C65" s="12">
        <f>P55</f>
        <v>2.5</v>
      </c>
      <c r="D65" s="13" t="s">
        <v>7</v>
      </c>
      <c r="E65" s="54">
        <f xml:space="preserve"> IF(I62="하",0,IF(MROUND(J62/5,1)&lt;=D62,IF(MROUND(J62/5,1)&gt;=C62,MROUND(J62/5,1),C62),D62))</f>
        <v>0</v>
      </c>
      <c r="F65" s="55">
        <f>IF(MROUND((J62-E65)/4,1)&lt;=D62,IF(MROUND((J62-E65)/4,1)&gt;=C62,MROUND((J62-E65)/4,1),C62),D62)</f>
        <v>5</v>
      </c>
      <c r="G65" s="55">
        <f>IF(MROUND((J62-E65-F65)/3,1)&lt;=D62,IF(MROUND((J62-E65-F65)/3,1)&gt;=C62,MROUND((J62-E65-F65)/3,1),C62),D62)</f>
        <v>5</v>
      </c>
      <c r="H65" s="55">
        <f>IF(MROUND((J62-E65-F65-G65)/2,1)&lt;=D62,IF((J62-E65-F65-G65)/2&gt;=C62,MROUND((J62-E65-F65-G65)/2,1),J62-E65-F65-G65),D62)</f>
        <v>5</v>
      </c>
      <c r="I65" s="56">
        <f>IF((J62-(E65+F65+G65+H65))&gt;0,(J62-(E65+F65+G65+H65)),0)</f>
        <v>5</v>
      </c>
      <c r="J65" s="227"/>
      <c r="K65" s="10" t="s">
        <v>10</v>
      </c>
      <c r="L65" s="17">
        <f>SUM(E65:I65)</f>
        <v>20</v>
      </c>
      <c r="N65" s="210"/>
      <c r="O65" s="45" t="str">
        <f>IF(R63&gt;0.9,"ME"," ")</f>
        <v xml:space="preserve"> </v>
      </c>
      <c r="P65" s="12">
        <f>C55</f>
        <v>2.5</v>
      </c>
      <c r="Q65" s="13" t="s">
        <v>7</v>
      </c>
      <c r="R65" s="11">
        <f xml:space="preserve"> IF(V62="하",0,IF(MROUND(W62/5,1)&lt;=Q62,IF(MROUND(W62/5,1)&gt;=P62,MROUND(W62/5,1),P62),Q62))</f>
        <v>0</v>
      </c>
      <c r="S65" s="20">
        <f>IF(MROUND((W62-R65)/4,1)&lt;=Q62,IF(MROUND((W62-R65)/4,1)&gt;=P62,MROUND((W62-R65)/4,1),P62),Q62)</f>
        <v>3</v>
      </c>
      <c r="T65" s="20">
        <f>IF(MROUND((W62-R65-S65)/3,1)&lt;=Q62,IF(MROUND((W62-R65-S65)/3,1)&gt;=P62,MROUND((W62-R65-S65)/3,1),P62),Q62)</f>
        <v>3</v>
      </c>
      <c r="U65" s="20">
        <f>IF(MROUND((W62-R65-S65-T65)/2,1)&lt;=Q62,IF((W62-R65-S65-T65)/2&gt;=P62,MROUND((W62-R65-S65-T65)/2,1),W62-R65-S65-T65),Q62)</f>
        <v>3</v>
      </c>
      <c r="V65" s="21">
        <f>IF((W62-(R65+S65+T65+U65))&gt;0,(W62-(R65+S65+T65+U65)),0)</f>
        <v>3</v>
      </c>
      <c r="W65" s="215"/>
      <c r="X65" s="10" t="s">
        <v>10</v>
      </c>
      <c r="Y65" s="17">
        <f>SUM(R65:V65)</f>
        <v>12</v>
      </c>
    </row>
    <row r="66" spans="1:25" ht="17.25" thickTop="1" x14ac:dyDescent="0.25"/>
  </sheetData>
  <mergeCells count="64">
    <mergeCell ref="A63:A65"/>
    <mergeCell ref="J63:J65"/>
    <mergeCell ref="N63:N65"/>
    <mergeCell ref="W63:W65"/>
    <mergeCell ref="A56:W56"/>
    <mergeCell ref="A58:A60"/>
    <mergeCell ref="J58:J60"/>
    <mergeCell ref="N58:N60"/>
    <mergeCell ref="W58:W60"/>
    <mergeCell ref="A61:W61"/>
    <mergeCell ref="A53:A55"/>
    <mergeCell ref="J53:J55"/>
    <mergeCell ref="N53:N55"/>
    <mergeCell ref="W53:W55"/>
    <mergeCell ref="A41:W41"/>
    <mergeCell ref="A43:A45"/>
    <mergeCell ref="J43:J45"/>
    <mergeCell ref="N43:N45"/>
    <mergeCell ref="W43:W45"/>
    <mergeCell ref="A46:W46"/>
    <mergeCell ref="A48:A50"/>
    <mergeCell ref="J48:J50"/>
    <mergeCell ref="N48:N50"/>
    <mergeCell ref="W48:W50"/>
    <mergeCell ref="A51:W51"/>
    <mergeCell ref="A38:A40"/>
    <mergeCell ref="J38:J40"/>
    <mergeCell ref="N38:N40"/>
    <mergeCell ref="W38:W40"/>
    <mergeCell ref="A26:W26"/>
    <mergeCell ref="A28:A30"/>
    <mergeCell ref="J28:J30"/>
    <mergeCell ref="N28:N30"/>
    <mergeCell ref="W28:W30"/>
    <mergeCell ref="A31:W31"/>
    <mergeCell ref="A33:A35"/>
    <mergeCell ref="J33:J35"/>
    <mergeCell ref="N33:N35"/>
    <mergeCell ref="W33:W35"/>
    <mergeCell ref="A36:W36"/>
    <mergeCell ref="A23:A25"/>
    <mergeCell ref="J23:J25"/>
    <mergeCell ref="N23:N25"/>
    <mergeCell ref="W23:W25"/>
    <mergeCell ref="A11:W11"/>
    <mergeCell ref="A13:A15"/>
    <mergeCell ref="J13:J15"/>
    <mergeCell ref="N13:N15"/>
    <mergeCell ref="W13:W15"/>
    <mergeCell ref="A16:W16"/>
    <mergeCell ref="A18:A20"/>
    <mergeCell ref="J18:J20"/>
    <mergeCell ref="N18:N20"/>
    <mergeCell ref="W18:W20"/>
    <mergeCell ref="A21:W21"/>
    <mergeCell ref="A8:A10"/>
    <mergeCell ref="J8:J10"/>
    <mergeCell ref="N8:N10"/>
    <mergeCell ref="W8:W10"/>
    <mergeCell ref="C1:C2"/>
    <mergeCell ref="G1:G2"/>
    <mergeCell ref="A3:W3"/>
    <mergeCell ref="N4:N5"/>
    <mergeCell ref="A6:W6"/>
  </mergeCells>
  <phoneticPr fontId="1" type="noConversion"/>
  <conditionalFormatting sqref="A1">
    <cfRule type="cellIs" dxfId="157" priority="123" operator="equal">
      <formula>"ME"</formula>
    </cfRule>
  </conditionalFormatting>
  <conditionalFormatting sqref="A6 A11">
    <cfRule type="expression" dxfId="156" priority="232">
      <formula>L7&lt;$A$5/4*B8</formula>
    </cfRule>
    <cfRule type="expression" dxfId="155" priority="233">
      <formula>L7&gt;$A$5/4*B9</formula>
    </cfRule>
  </conditionalFormatting>
  <conditionalFormatting sqref="A16 A21">
    <cfRule type="expression" dxfId="154" priority="65">
      <formula>L17&lt;$A$5/4*B18</formula>
    </cfRule>
    <cfRule type="expression" dxfId="153" priority="66">
      <formula>L17&gt;$A$5/4*B19</formula>
    </cfRule>
  </conditionalFormatting>
  <conditionalFormatting sqref="A26">
    <cfRule type="expression" dxfId="152" priority="28">
      <formula>L27&gt;$A$5/4*B29</formula>
    </cfRule>
    <cfRule type="expression" dxfId="151" priority="27">
      <formula>L27&lt;$A$5/4*B28</formula>
    </cfRule>
  </conditionalFormatting>
  <conditionalFormatting sqref="A31">
    <cfRule type="expression" dxfId="150" priority="56">
      <formula>L32&gt;$A$5/4*B34</formula>
    </cfRule>
    <cfRule type="expression" dxfId="149" priority="55">
      <formula>L32&lt;$A$5/4*B33</formula>
    </cfRule>
  </conditionalFormatting>
  <conditionalFormatting sqref="A36">
    <cfRule type="expression" dxfId="148" priority="20">
      <formula>L37&lt;$A$5/4*B38</formula>
    </cfRule>
    <cfRule type="expression" dxfId="147" priority="21">
      <formula>L37&gt;$A$5/4*B39</formula>
    </cfRule>
  </conditionalFormatting>
  <conditionalFormatting sqref="A41">
    <cfRule type="expression" dxfId="146" priority="49">
      <formula>L42&gt;$A$5/4*B44</formula>
    </cfRule>
    <cfRule type="expression" dxfId="145" priority="48">
      <formula>L42&lt;$A$5/4*B43</formula>
    </cfRule>
  </conditionalFormatting>
  <conditionalFormatting sqref="A46">
    <cfRule type="expression" dxfId="144" priority="13">
      <formula>L47&lt;$A$5/4*B48</formula>
    </cfRule>
    <cfRule type="expression" dxfId="143" priority="14">
      <formula>L47&gt;$A$5/4*B49</formula>
    </cfRule>
  </conditionalFormatting>
  <conditionalFormatting sqref="A51">
    <cfRule type="expression" dxfId="142" priority="41">
      <formula>L52&lt;$A$5/4*B53</formula>
    </cfRule>
    <cfRule type="expression" dxfId="141" priority="42">
      <formula>L52&gt;$A$5/4*B54</formula>
    </cfRule>
  </conditionalFormatting>
  <conditionalFormatting sqref="A56">
    <cfRule type="expression" dxfId="140" priority="7">
      <formula>L57&gt;$A$5/4*B59</formula>
    </cfRule>
    <cfRule type="expression" dxfId="139" priority="6">
      <formula>L57&lt;$A$5/4*B58</formula>
    </cfRule>
  </conditionalFormatting>
  <conditionalFormatting sqref="A61">
    <cfRule type="expression" dxfId="138" priority="34">
      <formula>L62&lt;$A$5/4*B63</formula>
    </cfRule>
    <cfRule type="expression" dxfId="137" priority="35">
      <formula>L62&gt;$A$5/4*B64</formula>
    </cfRule>
  </conditionalFormatting>
  <conditionalFormatting sqref="C1">
    <cfRule type="cellIs" dxfId="136" priority="124" operator="equal">
      <formula>"ME"</formula>
    </cfRule>
  </conditionalFormatting>
  <conditionalFormatting sqref="C4:C5 P4:P5 J7:J8 B8:B10 O8:O10 J12:J13 B13:B15 O13:O15">
    <cfRule type="cellIs" dxfId="135" priority="227" operator="equal">
      <formula>"ME"</formula>
    </cfRule>
  </conditionalFormatting>
  <conditionalFormatting sqref="J17:J18 B18:B20 O18:O20 J22:J23 B23:B25 O23:O25 J27:J28 B28:B30 O28:O30 J32:J33 B33:B35 O33:O35 J37:J38 B38:B40 O38:O40 J42:J43 B43:B45 O43:O45 J47:J48 B48:B50 O48:O50 J52:J53 B53:B55 O53:O55 J57:J58 B58:B60 O58:O60 J62:J63 B63:B1048576 O63:O1048576">
    <cfRule type="cellIs" dxfId="134" priority="67" operator="equal">
      <formula>"ME"</formula>
    </cfRule>
  </conditionalFormatting>
  <conditionalFormatting sqref="P1">
    <cfRule type="cellIs" dxfId="133" priority="125" operator="equal">
      <formula>"ME"</formula>
    </cfRule>
  </conditionalFormatting>
  <conditionalFormatting sqref="W7:W8">
    <cfRule type="cellIs" dxfId="132" priority="181" operator="equal">
      <formula>"ME"</formula>
    </cfRule>
  </conditionalFormatting>
  <conditionalFormatting sqref="W12:W13">
    <cfRule type="cellIs" dxfId="131" priority="226" operator="equal">
      <formula>"ME"</formula>
    </cfRule>
  </conditionalFormatting>
  <conditionalFormatting sqref="W17:W18">
    <cfRule type="cellIs" dxfId="130" priority="57" operator="equal">
      <formula>"ME"</formula>
    </cfRule>
  </conditionalFormatting>
  <conditionalFormatting sqref="W22:W23">
    <cfRule type="cellIs" dxfId="129" priority="58" operator="equal">
      <formula>"ME"</formula>
    </cfRule>
  </conditionalFormatting>
  <conditionalFormatting sqref="W27:W28">
    <cfRule type="cellIs" dxfId="128" priority="22" operator="equal">
      <formula>"ME"</formula>
    </cfRule>
  </conditionalFormatting>
  <conditionalFormatting sqref="W32:W33">
    <cfRule type="cellIs" dxfId="127" priority="50" operator="equal">
      <formula>"ME"</formula>
    </cfRule>
  </conditionalFormatting>
  <conditionalFormatting sqref="W37:W38">
    <cfRule type="cellIs" dxfId="126" priority="15" operator="equal">
      <formula>"ME"</formula>
    </cfRule>
  </conditionalFormatting>
  <conditionalFormatting sqref="W42:W43">
    <cfRule type="cellIs" dxfId="125" priority="43" operator="equal">
      <formula>"ME"</formula>
    </cfRule>
  </conditionalFormatting>
  <conditionalFormatting sqref="W47:W48">
    <cfRule type="cellIs" dxfId="124" priority="8" operator="equal">
      <formula>"ME"</formula>
    </cfRule>
  </conditionalFormatting>
  <conditionalFormatting sqref="W52:W53">
    <cfRule type="cellIs" dxfId="123" priority="36" operator="equal">
      <formula>"ME"</formula>
    </cfRule>
  </conditionalFormatting>
  <conditionalFormatting sqref="W57:W58">
    <cfRule type="cellIs" dxfId="122" priority="1" operator="equal">
      <formula>"ME"</formula>
    </cfRule>
  </conditionalFormatting>
  <conditionalFormatting sqref="W62:W63">
    <cfRule type="cellIs" dxfId="121" priority="29" operator="equal">
      <formula>"ME"</formula>
    </cfRule>
  </conditionalFormatting>
  <conditionalFormatting sqref="X6 X11">
    <cfRule type="expression" dxfId="120" priority="229">
      <formula>#REF!&gt;$A$5/4*Y9</formula>
    </cfRule>
    <cfRule type="expression" dxfId="119" priority="228">
      <formula>#REF!&lt;$A$5/4*Y8</formula>
    </cfRule>
  </conditionalFormatting>
  <conditionalFormatting sqref="X16 X21">
    <cfRule type="expression" dxfId="118" priority="64">
      <formula>#REF!&gt;$A$5/4*Y19</formula>
    </cfRule>
    <cfRule type="expression" dxfId="117" priority="63">
      <formula>#REF!&lt;$A$5/4*Y18</formula>
    </cfRule>
  </conditionalFormatting>
  <conditionalFormatting sqref="X26">
    <cfRule type="expression" dxfId="116" priority="26">
      <formula>#REF!&gt;$A$5/4*Y29</formula>
    </cfRule>
    <cfRule type="expression" dxfId="115" priority="25">
      <formula>#REF!&lt;$A$5/4*Y28</formula>
    </cfRule>
  </conditionalFormatting>
  <conditionalFormatting sqref="X31">
    <cfRule type="expression" dxfId="114" priority="53">
      <formula>#REF!&lt;$A$5/4*Y33</formula>
    </cfRule>
    <cfRule type="expression" dxfId="113" priority="54">
      <formula>#REF!&gt;$A$5/4*Y34</formula>
    </cfRule>
  </conditionalFormatting>
  <conditionalFormatting sqref="X36">
    <cfRule type="expression" dxfId="112" priority="18">
      <formula>#REF!&lt;$A$5/4*Y38</formula>
    </cfRule>
    <cfRule type="expression" dxfId="111" priority="19">
      <formula>#REF!&gt;$A$5/4*Y39</formula>
    </cfRule>
  </conditionalFormatting>
  <conditionalFormatting sqref="X41">
    <cfRule type="expression" dxfId="110" priority="46">
      <formula>#REF!&lt;$A$5/4*Y43</formula>
    </cfRule>
    <cfRule type="expression" dxfId="109" priority="47">
      <formula>#REF!&gt;$A$5/4*Y44</formula>
    </cfRule>
  </conditionalFormatting>
  <conditionalFormatting sqref="X46">
    <cfRule type="expression" dxfId="108" priority="11">
      <formula>#REF!&lt;$A$5/4*Y48</formula>
    </cfRule>
    <cfRule type="expression" dxfId="107" priority="12">
      <formula>#REF!&gt;$A$5/4*Y49</formula>
    </cfRule>
  </conditionalFormatting>
  <conditionalFormatting sqref="X51">
    <cfRule type="expression" dxfId="106" priority="40">
      <formula>#REF!&gt;$A$5/4*Y54</formula>
    </cfRule>
    <cfRule type="expression" dxfId="105" priority="39">
      <formula>#REF!&lt;$A$5/4*Y53</formula>
    </cfRule>
  </conditionalFormatting>
  <conditionalFormatting sqref="X56">
    <cfRule type="expression" dxfId="104" priority="4">
      <formula>#REF!&lt;$A$5/4*Y58</formula>
    </cfRule>
    <cfRule type="expression" dxfId="103" priority="5">
      <formula>#REF!&gt;$A$5/4*Y59</formula>
    </cfRule>
  </conditionalFormatting>
  <conditionalFormatting sqref="X61">
    <cfRule type="expression" dxfId="102" priority="33">
      <formula>#REF!&gt;$A$5/4*Y64</formula>
    </cfRule>
    <cfRule type="expression" dxfId="101" priority="32">
      <formula>#REF!&lt;$A$5/4*Y63</formula>
    </cfRule>
  </conditionalFormatting>
  <conditionalFormatting sqref="Y6 Y11">
    <cfRule type="expression" dxfId="100" priority="231">
      <formula>#REF!&gt;$A$5/4*#REF!</formula>
    </cfRule>
    <cfRule type="expression" dxfId="99" priority="230">
      <formula>#REF!&lt;$A$5/4*#REF!</formula>
    </cfRule>
  </conditionalFormatting>
  <conditionalFormatting sqref="Y16">
    <cfRule type="expression" dxfId="98" priority="61">
      <formula>#REF!&lt;$A$5/4*#REF!</formula>
    </cfRule>
    <cfRule type="expression" dxfId="97" priority="62">
      <formula>#REF!&gt;$A$5/4*#REF!</formula>
    </cfRule>
  </conditionalFormatting>
  <conditionalFormatting sqref="Y21">
    <cfRule type="expression" dxfId="96" priority="59">
      <formula>#REF!&lt;$A$5/4*#REF!</formula>
    </cfRule>
    <cfRule type="expression" dxfId="95" priority="60">
      <formula>#REF!&gt;$A$5/4*#REF!</formula>
    </cfRule>
  </conditionalFormatting>
  <conditionalFormatting sqref="Y26">
    <cfRule type="expression" dxfId="94" priority="24">
      <formula>#REF!&gt;$A$5/4*#REF!</formula>
    </cfRule>
    <cfRule type="expression" dxfId="93" priority="23">
      <formula>#REF!&lt;$A$5/4*#REF!</formula>
    </cfRule>
  </conditionalFormatting>
  <conditionalFormatting sqref="Y31">
    <cfRule type="expression" dxfId="92" priority="51">
      <formula>#REF!&lt;$A$5/4*#REF!</formula>
    </cfRule>
    <cfRule type="expression" dxfId="91" priority="52">
      <formula>#REF!&gt;$A$5/4*#REF!</formula>
    </cfRule>
  </conditionalFormatting>
  <conditionalFormatting sqref="Y36">
    <cfRule type="expression" dxfId="90" priority="16">
      <formula>#REF!&lt;$A$5/4*#REF!</formula>
    </cfRule>
    <cfRule type="expression" dxfId="89" priority="17">
      <formula>#REF!&gt;$A$5/4*#REF!</formula>
    </cfRule>
  </conditionalFormatting>
  <conditionalFormatting sqref="Y41">
    <cfRule type="expression" dxfId="88" priority="44">
      <formula>#REF!&lt;$A$5/4*#REF!</formula>
    </cfRule>
    <cfRule type="expression" dxfId="87" priority="45">
      <formula>#REF!&gt;$A$5/4*#REF!</formula>
    </cfRule>
  </conditionalFormatting>
  <conditionalFormatting sqref="Y46">
    <cfRule type="expression" dxfId="86" priority="10">
      <formula>#REF!&gt;$A$5/4*#REF!</formula>
    </cfRule>
    <cfRule type="expression" dxfId="85" priority="9">
      <formula>#REF!&lt;$A$5/4*#REF!</formula>
    </cfRule>
  </conditionalFormatting>
  <conditionalFormatting sqref="Y51">
    <cfRule type="expression" dxfId="84" priority="38">
      <formula>#REF!&gt;$A$5/4*#REF!</formula>
    </cfRule>
    <cfRule type="expression" dxfId="83" priority="37">
      <formula>#REF!&lt;$A$5/4*#REF!</formula>
    </cfRule>
  </conditionalFormatting>
  <conditionalFormatting sqref="Y56">
    <cfRule type="expression" dxfId="82" priority="3">
      <formula>#REF!&gt;$A$5/4*#REF!</formula>
    </cfRule>
    <cfRule type="expression" dxfId="81" priority="2">
      <formula>#REF!&lt;$A$5/4*#REF!</formula>
    </cfRule>
  </conditionalFormatting>
  <conditionalFormatting sqref="Y61">
    <cfRule type="expression" dxfId="80" priority="31">
      <formula>#REF!&gt;$A$5/4*#REF!</formula>
    </cfRule>
    <cfRule type="expression" dxfId="79" priority="30">
      <formula>#REF!&lt;$A$5/4*#REF!</formula>
    </cfRule>
  </conditionalFormatting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"/>
  <sheetViews>
    <sheetView topLeftCell="D1" zoomScale="115" zoomScaleNormal="115" zoomScaleSheetLayoutView="100" workbookViewId="0">
      <pane ySplit="5" topLeftCell="D6" activePane="bottomLeft" state="frozen"/>
      <selection activeCell="E1" sqref="E1"/>
      <selection pane="bottomLeft" activeCell="P15" sqref="P15"/>
    </sheetView>
  </sheetViews>
  <sheetFormatPr defaultColWidth="8.91015625" defaultRowHeight="16.5" x14ac:dyDescent="0.25"/>
  <cols>
    <col min="1" max="1" width="9.16015625" bestFit="1" customWidth="1"/>
    <col min="2" max="2" width="3.8359375" hidden="1" customWidth="1"/>
    <col min="3" max="3" width="11.51171875" bestFit="1" customWidth="1"/>
    <col min="4" max="4" width="5.3203125" bestFit="1" customWidth="1"/>
    <col min="5" max="5" width="5.94140625" bestFit="1" customWidth="1"/>
    <col min="6" max="8" width="5.3203125" bestFit="1" customWidth="1"/>
    <col min="9" max="9" width="5.3203125" customWidth="1"/>
    <col min="10" max="10" width="4.453125" style="52" customWidth="1"/>
    <col min="11" max="11" width="6.55859375" hidden="1" customWidth="1"/>
    <col min="12" max="12" width="4.94921875" hidden="1" customWidth="1"/>
    <col min="13" max="13" width="1.98046875" style="34" hidden="1" customWidth="1"/>
    <col min="14" max="14" width="2.96875" style="1" hidden="1" customWidth="1"/>
    <col min="15" max="15" width="3.8359375" hidden="1" customWidth="1"/>
    <col min="16" max="16" width="9.90234375" bestFit="1" customWidth="1"/>
    <col min="17" max="17" width="5.3203125" bestFit="1" customWidth="1"/>
    <col min="18" max="18" width="5.94140625" bestFit="1" customWidth="1"/>
    <col min="19" max="21" width="5.3203125" bestFit="1" customWidth="1"/>
    <col min="22" max="22" width="5.3203125" style="27" bestFit="1" customWidth="1"/>
    <col min="23" max="23" width="4.453125" customWidth="1"/>
    <col min="24" max="24" width="6.9296875" hidden="1" customWidth="1"/>
    <col min="25" max="25" width="7.30078125" hidden="1" customWidth="1"/>
    <col min="26" max="26" width="8.4140625" style="1" bestFit="1" customWidth="1"/>
    <col min="27" max="27" width="6.55859375" bestFit="1" customWidth="1"/>
    <col min="28" max="29" width="8.4140625" bestFit="1" customWidth="1"/>
    <col min="30" max="31" width="6.0625" bestFit="1" customWidth="1"/>
    <col min="32" max="32" width="4.08203125" bestFit="1" customWidth="1"/>
    <col min="33" max="33" width="6.0625" bestFit="1" customWidth="1"/>
    <col min="34" max="37" width="5.4453125" bestFit="1" customWidth="1"/>
    <col min="38" max="38" width="6.0625" bestFit="1" customWidth="1"/>
    <col min="39" max="39" width="4.94921875" bestFit="1" customWidth="1"/>
    <col min="40" max="40" width="8.4140625" bestFit="1" customWidth="1"/>
    <col min="41" max="41" width="6.68359375" bestFit="1" customWidth="1"/>
    <col min="43" max="43" width="8.4140625" bestFit="1" customWidth="1"/>
    <col min="44" max="45" width="6.0625" bestFit="1" customWidth="1"/>
    <col min="46" max="46" width="4.08203125" bestFit="1" customWidth="1"/>
    <col min="47" max="47" width="6.0625" bestFit="1" customWidth="1"/>
    <col min="48" max="51" width="5.4453125" bestFit="1" customWidth="1"/>
    <col min="52" max="52" width="6.0625" bestFit="1" customWidth="1"/>
    <col min="53" max="53" width="5.4453125" bestFit="1" customWidth="1"/>
    <col min="54" max="54" width="8.4140625" bestFit="1" customWidth="1"/>
    <col min="55" max="55" width="6.68359375" bestFit="1" customWidth="1"/>
  </cols>
  <sheetData>
    <row r="1" spans="1:25" ht="17.25" hidden="1" customHeight="1" thickTop="1" thickBot="1" x14ac:dyDescent="0.3">
      <c r="A1" s="73">
        <f>IF($I$7="하",$J$2,$F$2)</f>
        <v>280</v>
      </c>
      <c r="C1" s="216" t="s">
        <v>16</v>
      </c>
      <c r="D1">
        <v>10</v>
      </c>
      <c r="E1">
        <v>25</v>
      </c>
      <c r="F1">
        <v>15</v>
      </c>
      <c r="G1" s="216" t="s">
        <v>8</v>
      </c>
      <c r="H1">
        <v>8</v>
      </c>
      <c r="I1">
        <v>20</v>
      </c>
      <c r="J1" s="52">
        <v>12</v>
      </c>
      <c r="V1"/>
    </row>
    <row r="2" spans="1:25" ht="17.25" hidden="1" customHeight="1" thickBot="1" x14ac:dyDescent="0.3">
      <c r="A2" s="58"/>
      <c r="C2" s="217"/>
      <c r="D2" s="57">
        <v>300</v>
      </c>
      <c r="E2" s="57">
        <v>200</v>
      </c>
      <c r="F2" s="57">
        <v>280</v>
      </c>
      <c r="G2" s="217"/>
      <c r="H2" s="57">
        <v>240</v>
      </c>
      <c r="I2" s="57">
        <v>160</v>
      </c>
      <c r="J2" s="59">
        <v>224</v>
      </c>
      <c r="K2" s="57"/>
      <c r="L2" s="57"/>
      <c r="M2" s="57"/>
      <c r="N2" s="57"/>
      <c r="P2" s="57"/>
      <c r="Q2" s="57"/>
      <c r="R2" s="57"/>
      <c r="S2" s="57"/>
      <c r="T2" s="57"/>
      <c r="U2" s="57"/>
      <c r="V2" s="57"/>
      <c r="W2" s="60"/>
    </row>
    <row r="3" spans="1:25" ht="90" customHeight="1" thickTop="1" thickBot="1" x14ac:dyDescent="0.3">
      <c r="A3" s="218" t="s">
        <v>24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20"/>
    </row>
    <row r="4" spans="1:25" ht="30" thickTop="1" x14ac:dyDescent="0.25">
      <c r="A4" s="39" t="s">
        <v>0</v>
      </c>
      <c r="B4" s="35"/>
      <c r="C4" s="63" t="s">
        <v>5</v>
      </c>
      <c r="D4" s="64" t="s">
        <v>11</v>
      </c>
      <c r="E4" s="64" t="s">
        <v>12</v>
      </c>
      <c r="F4" s="65" t="s">
        <v>13</v>
      </c>
      <c r="G4" s="66" t="s">
        <v>5</v>
      </c>
      <c r="H4" s="64" t="s">
        <v>11</v>
      </c>
      <c r="I4" s="64" t="s">
        <v>13</v>
      </c>
      <c r="J4" s="67" t="s">
        <v>14</v>
      </c>
      <c r="K4" s="35"/>
      <c r="L4" s="35"/>
      <c r="M4" s="74"/>
      <c r="N4" s="221"/>
      <c r="O4" s="35"/>
      <c r="P4" s="63" t="s">
        <v>5</v>
      </c>
      <c r="Q4" s="64" t="s">
        <v>11</v>
      </c>
      <c r="R4" s="64" t="s">
        <v>12</v>
      </c>
      <c r="S4" s="65" t="s">
        <v>13</v>
      </c>
      <c r="T4" s="66" t="s">
        <v>5</v>
      </c>
      <c r="U4" s="64" t="s">
        <v>11</v>
      </c>
      <c r="V4" s="64" t="s">
        <v>13</v>
      </c>
      <c r="W4" s="65" t="s">
        <v>14</v>
      </c>
      <c r="X4" s="30"/>
      <c r="Y4" s="25"/>
    </row>
    <row r="5" spans="1:25" ht="30" thickBot="1" x14ac:dyDescent="0.3">
      <c r="A5" s="37">
        <v>1</v>
      </c>
      <c r="B5" s="35"/>
      <c r="C5" s="68">
        <v>2.5</v>
      </c>
      <c r="D5" s="69">
        <v>100</v>
      </c>
      <c r="E5" s="69">
        <v>100</v>
      </c>
      <c r="F5" s="70">
        <f>MROUND(E5-D5*0.85,C5)</f>
        <v>15</v>
      </c>
      <c r="G5" s="71">
        <v>0.1</v>
      </c>
      <c r="H5" s="69">
        <v>100</v>
      </c>
      <c r="I5" s="69">
        <v>25</v>
      </c>
      <c r="J5" s="72">
        <f>MROUND(H5*0.85+I5,G5)</f>
        <v>110</v>
      </c>
      <c r="K5" s="35"/>
      <c r="L5" s="35"/>
      <c r="M5" s="74"/>
      <c r="N5" s="222"/>
      <c r="O5" s="35"/>
      <c r="P5" s="68">
        <v>2.5</v>
      </c>
      <c r="Q5" s="69">
        <v>100</v>
      </c>
      <c r="R5" s="69">
        <v>114.2</v>
      </c>
      <c r="S5" s="70">
        <f>MROUND(R5-Q5*0.85,P5)</f>
        <v>30</v>
      </c>
      <c r="T5" s="71">
        <v>0.1</v>
      </c>
      <c r="U5" s="69">
        <v>100</v>
      </c>
      <c r="V5" s="69">
        <v>25</v>
      </c>
      <c r="W5" s="70">
        <f>MROUND(U5*0.85+V5,T5)</f>
        <v>110</v>
      </c>
      <c r="X5" s="31"/>
      <c r="Y5" s="26"/>
    </row>
    <row r="6" spans="1:25" ht="30" thickBot="1" x14ac:dyDescent="0.3">
      <c r="A6" s="223" t="str">
        <f>TEXT(I$7&amp;A8&amp;"/ main lifting DE"&amp;" "&amp;" / Supplement RE",0)</f>
        <v>상1/ main lifting DE  / Supplement RE</v>
      </c>
      <c r="B6" s="224"/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61"/>
      <c r="Y6" s="62"/>
    </row>
    <row r="7" spans="1:25" ht="18" thickTop="1" thickBot="1" x14ac:dyDescent="0.3">
      <c r="A7" s="29">
        <f>L10</f>
        <v>10</v>
      </c>
      <c r="C7" s="23">
        <f>IF(E8&gt;=90%,1,IF(E8&gt;=80%,2,IF(E8&gt;=70%,3,3)))</f>
        <v>2</v>
      </c>
      <c r="D7" s="23">
        <f>IF(E8&gt;=90%,2,IF(E8&gt;=80%,4,IF(E8&gt;=70%,6,6)))</f>
        <v>4</v>
      </c>
      <c r="E7" s="2" t="s">
        <v>1</v>
      </c>
      <c r="F7" s="32">
        <f>IF(I7="하",1.39%,1.11%)</f>
        <v>1.11E-2</v>
      </c>
      <c r="G7" s="3" t="s">
        <v>2</v>
      </c>
      <c r="H7" s="4">
        <f>L9/(100%-F7*L10)/L10</f>
        <v>101.23734533183352</v>
      </c>
      <c r="I7" s="36" t="s">
        <v>16</v>
      </c>
      <c r="J7" s="53">
        <f>IF($I$7="하",$H$1,$D$1)</f>
        <v>10</v>
      </c>
      <c r="K7" s="24" t="s">
        <v>9</v>
      </c>
      <c r="L7" s="24">
        <f>L10+Y10</f>
        <v>25</v>
      </c>
      <c r="M7" s="34">
        <f>ROUNDDOWN(L7/(B8/4),0)</f>
        <v>0</v>
      </c>
      <c r="N7" s="29">
        <f>Y10</f>
        <v>15</v>
      </c>
      <c r="P7" s="23">
        <f>IF(R8&gt;=90%,1,IF(R8&gt;=80%,2,IF(R8&gt;=70%,3,3)))</f>
        <v>2</v>
      </c>
      <c r="Q7" s="23">
        <f>IF(R8&gt;=90%,2,IF(R8&gt;=80%,4,IF(R8&gt;=70%,6,6)))</f>
        <v>4</v>
      </c>
      <c r="R7" s="2" t="s">
        <v>1</v>
      </c>
      <c r="S7" s="32">
        <f>IF(V7="하",1.39%,1.11%)</f>
        <v>1.11E-2</v>
      </c>
      <c r="T7" s="3" t="s">
        <v>2</v>
      </c>
      <c r="U7" s="4">
        <f>Y9/(100%-S7*Y10)/Y10</f>
        <v>98.980203959208154</v>
      </c>
      <c r="V7" s="28" t="str">
        <f>I7</f>
        <v>상</v>
      </c>
      <c r="W7" s="53">
        <f>IF($I$7="하",$J$1,$F$1)</f>
        <v>15</v>
      </c>
      <c r="X7" s="22" t="s">
        <v>9</v>
      </c>
      <c r="Y7" s="24">
        <f>Y10</f>
        <v>15</v>
      </c>
    </row>
    <row r="8" spans="1:25" x14ac:dyDescent="0.25">
      <c r="A8" s="208">
        <v>1</v>
      </c>
      <c r="B8" s="40">
        <f>IF(I7="하",$I$2,$E$2)</f>
        <v>200</v>
      </c>
      <c r="C8" s="38">
        <v>1</v>
      </c>
      <c r="D8" s="38">
        <v>100</v>
      </c>
      <c r="E8" s="6">
        <f>100%-J7*F7</f>
        <v>0.88900000000000001</v>
      </c>
      <c r="F8" s="7">
        <f t="shared" ref="F8:H9" si="0">E8</f>
        <v>0.88900000000000001</v>
      </c>
      <c r="G8" s="7">
        <f t="shared" si="0"/>
        <v>0.88900000000000001</v>
      </c>
      <c r="H8" s="7">
        <f t="shared" si="0"/>
        <v>0.88900000000000001</v>
      </c>
      <c r="I8" s="46">
        <f>H8</f>
        <v>0.88900000000000001</v>
      </c>
      <c r="J8" s="211" t="s">
        <v>17</v>
      </c>
      <c r="K8" s="9" t="s">
        <v>4</v>
      </c>
      <c r="L8" s="16">
        <f>(E8*E10+F8*F10+G8*G10+H8*H10+I8*I10)/L10</f>
        <v>0.88900000000000001</v>
      </c>
      <c r="N8" s="208">
        <v>1</v>
      </c>
      <c r="O8" s="43">
        <f>B8</f>
        <v>200</v>
      </c>
      <c r="P8" s="33">
        <v>1</v>
      </c>
      <c r="Q8" s="33">
        <v>100</v>
      </c>
      <c r="R8" s="6">
        <f>100%-W7*S7</f>
        <v>0.83350000000000002</v>
      </c>
      <c r="S8" s="7">
        <f t="shared" ref="S8:V9" si="1">R8</f>
        <v>0.83350000000000002</v>
      </c>
      <c r="T8" s="7">
        <f t="shared" si="1"/>
        <v>0.83350000000000002</v>
      </c>
      <c r="U8" s="7">
        <f t="shared" si="1"/>
        <v>0.83350000000000002</v>
      </c>
      <c r="V8" s="8">
        <f t="shared" si="1"/>
        <v>0.83350000000000002</v>
      </c>
      <c r="W8" s="214" t="s">
        <v>19</v>
      </c>
      <c r="X8" s="9" t="s">
        <v>4</v>
      </c>
      <c r="Y8" s="16">
        <f>(R8*R10+S8*S10+T8*T10+U8*U10+V8*V10)/Y10</f>
        <v>0.83350000000000013</v>
      </c>
    </row>
    <row r="9" spans="1:25" x14ac:dyDescent="0.25">
      <c r="A9" s="209"/>
      <c r="B9" s="41">
        <f>IF(I7="하",$H$2,$D$2)</f>
        <v>300</v>
      </c>
      <c r="C9" s="5" t="s">
        <v>5</v>
      </c>
      <c r="D9" s="5" t="s">
        <v>3</v>
      </c>
      <c r="E9" s="18">
        <f>MROUND(E8*D8,C10)</f>
        <v>90</v>
      </c>
      <c r="F9" s="18">
        <f t="shared" si="0"/>
        <v>90</v>
      </c>
      <c r="G9" s="18">
        <f t="shared" si="0"/>
        <v>90</v>
      </c>
      <c r="H9" s="18">
        <f t="shared" si="0"/>
        <v>90</v>
      </c>
      <c r="I9" s="47">
        <f>H9</f>
        <v>90</v>
      </c>
      <c r="J9" s="212"/>
      <c r="K9" s="10" t="s">
        <v>6</v>
      </c>
      <c r="L9" s="17">
        <f>E9*E10+F9*F10+G9*G10+H9*H10+I9*I10</f>
        <v>900</v>
      </c>
      <c r="N9" s="209"/>
      <c r="O9" s="43">
        <f>B9</f>
        <v>300</v>
      </c>
      <c r="P9" s="5" t="s">
        <v>5</v>
      </c>
      <c r="Q9" s="5" t="s">
        <v>3</v>
      </c>
      <c r="R9" s="18">
        <f>MROUND(R8*Q8,P10)</f>
        <v>82.5</v>
      </c>
      <c r="S9" s="18">
        <f t="shared" si="1"/>
        <v>82.5</v>
      </c>
      <c r="T9" s="18">
        <f t="shared" si="1"/>
        <v>82.5</v>
      </c>
      <c r="U9" s="18">
        <f t="shared" si="1"/>
        <v>82.5</v>
      </c>
      <c r="V9" s="19">
        <f t="shared" si="1"/>
        <v>82.5</v>
      </c>
      <c r="W9" s="215"/>
      <c r="X9" s="10" t="s">
        <v>6</v>
      </c>
      <c r="Y9" s="17">
        <f>R9*R10+S9*S10+T9*T10+U9*U10+V9*V10</f>
        <v>1237.5</v>
      </c>
    </row>
    <row r="10" spans="1:25" ht="17.25" thickBot="1" x14ac:dyDescent="0.3">
      <c r="A10" s="210"/>
      <c r="B10" s="13" t="s">
        <v>17</v>
      </c>
      <c r="C10" s="12">
        <v>2.5</v>
      </c>
      <c r="D10" s="13" t="s">
        <v>7</v>
      </c>
      <c r="E10" s="54">
        <f xml:space="preserve"> IF(I7="하",0,IF(MROUND(J7/5,1)&lt;=D7,IF(MROUND(J7/5,1)&gt;=C7,MROUND(J7/5,1),C7),D7))</f>
        <v>2</v>
      </c>
      <c r="F10" s="55">
        <f>IF(MROUND((J7-E10)/4,1)&lt;=D7,IF(MROUND((J7-E10)/4,1)&gt;=C7,MROUND((J7-E10)/4,1),C7),D7)</f>
        <v>2</v>
      </c>
      <c r="G10" s="55">
        <f>IF(MROUND((J7-E10-F10)/3,1)&lt;=D7,IF(MROUND((J7-E10-F10)/3,1)&gt;=C7,MROUND((J7-E10-F10)/3,1),C7),D7)</f>
        <v>2</v>
      </c>
      <c r="H10" s="55">
        <f>IF(MROUND((J7-E10-F10-G10)/2,1)&lt;=D7,IF((J7-E10-F10-G10)/2&gt;=C7,MROUND((J7-E10-F10-G10)/2,1),J7-E10-F10-G10),D7)</f>
        <v>2</v>
      </c>
      <c r="I10" s="56">
        <f>IF((J7-(E10+F10+G10+H10))&gt;0,(J7-(E10+F10+G10+H10)),0)</f>
        <v>2</v>
      </c>
      <c r="J10" s="213"/>
      <c r="K10" s="10" t="s">
        <v>10</v>
      </c>
      <c r="L10" s="17">
        <f>SUM(E10:I10)</f>
        <v>10</v>
      </c>
      <c r="N10" s="210"/>
      <c r="O10" s="44" t="str">
        <f>IF(R8&gt;0.9,"ME"," ")</f>
        <v xml:space="preserve"> </v>
      </c>
      <c r="P10" s="12">
        <v>2.5</v>
      </c>
      <c r="Q10" s="13" t="s">
        <v>7</v>
      </c>
      <c r="R10" s="11">
        <f xml:space="preserve"> IF(V7="하",0,IF(MROUND(W7/5,1)&lt;=Q7,IF(MROUND(W7/5,1)&gt;=P7,MROUND(W7/5,1),P7),Q7))</f>
        <v>3</v>
      </c>
      <c r="S10" s="20">
        <f>IF(MROUND((W7-R10)/4,1)&lt;=Q7,IF(MROUND((W7-R10)/4,1)&gt;=P7,MROUND((W7-R10)/4,1),P7),Q7)</f>
        <v>3</v>
      </c>
      <c r="T10" s="20">
        <f>IF(MROUND((W7-R10-S10)/3,1)&lt;=Q7,IF(MROUND((W7-R10-S10)/3,1)&gt;=P7,MROUND((W7-R10-S10)/3,1),P7),Q7)</f>
        <v>3</v>
      </c>
      <c r="U10" s="20">
        <f>IF(MROUND((W7-R10-S10-T10)/2,1)&lt;=Q7,IF((W7-R10-S10-T10)/2&gt;=P7,MROUND((W7-R10-S10-T10)/2,1),W7-R10-S10-T10),Q7)</f>
        <v>3</v>
      </c>
      <c r="V10" s="21">
        <f>IF((W7-(R10+S10+T10+U10))&gt;0,(W7-(R10+S10+T10+U10)),0)</f>
        <v>3</v>
      </c>
      <c r="W10" s="215"/>
      <c r="X10" s="10" t="s">
        <v>10</v>
      </c>
      <c r="Y10" s="17">
        <f>SUM(R10:V10)</f>
        <v>15</v>
      </c>
    </row>
    <row r="11" spans="1:25" ht="30.75" thickTop="1" thickBot="1" x14ac:dyDescent="0.3">
      <c r="A11" s="223" t="str">
        <f>TEXT(I$7&amp;A13&amp;"/ main lifting DE"&amp;" "&amp;" / Supplement RE",0)</f>
        <v>상2/ main lifting DE  / Supplement RE</v>
      </c>
      <c r="B11" s="224"/>
      <c r="C11" s="224"/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61"/>
      <c r="Y11" s="62"/>
    </row>
    <row r="12" spans="1:25" ht="18" thickTop="1" thickBot="1" x14ac:dyDescent="0.3">
      <c r="A12" s="29">
        <f>L7+L15</f>
        <v>50</v>
      </c>
      <c r="C12" s="23">
        <f>IF(E13&gt;=90%,1,IF(E13&gt;=80%,2,IF(E13&gt;=70%,3,3)))</f>
        <v>3</v>
      </c>
      <c r="D12" s="23">
        <f>IF(E13&gt;=90%,2,IF(E13&gt;=80%,4,IF(E13&gt;=70%,6,6)))</f>
        <v>6</v>
      </c>
      <c r="E12" s="14" t="str">
        <f>E7</f>
        <v>개당</v>
      </c>
      <c r="F12" s="32">
        <f>IF(I12="하",1.39%,1.11%)</f>
        <v>1.11E-2</v>
      </c>
      <c r="G12" s="3" t="s">
        <v>2</v>
      </c>
      <c r="H12" s="4">
        <f>L14/(100%-F12*L15)/L15</f>
        <v>93.425605536332185</v>
      </c>
      <c r="I12" s="15" t="str">
        <f>I7</f>
        <v>상</v>
      </c>
      <c r="J12" s="53">
        <f>IF($I$7="하",$I$1,$E$1)</f>
        <v>25</v>
      </c>
      <c r="K12" s="35" t="s">
        <v>9</v>
      </c>
      <c r="L12" s="35">
        <f>(L7+L15+Y15)</f>
        <v>65</v>
      </c>
      <c r="M12" s="34">
        <f>ROUNDDOWN(L12/(B13/4),0)</f>
        <v>1</v>
      </c>
      <c r="N12" s="29">
        <f>IF(R8&lt;0.9,N7+Y15,Y15)</f>
        <v>30</v>
      </c>
      <c r="P12" s="23">
        <f>IF(R13&gt;=90%,1,IF(R13&gt;=80%,2,IF(R13&gt;=70%,3,3)))</f>
        <v>2</v>
      </c>
      <c r="Q12" s="23">
        <f>IF(R13&gt;=90%,2,IF(R13&gt;=80%,4,IF(R13&gt;=70%,6,6)))</f>
        <v>4</v>
      </c>
      <c r="R12" s="14" t="str">
        <f>R7</f>
        <v>개당</v>
      </c>
      <c r="S12" s="32">
        <f>IF(V12="하",1.39%,1.11%)</f>
        <v>1.11E-2</v>
      </c>
      <c r="T12" s="3" t="s">
        <v>2</v>
      </c>
      <c r="U12" s="4">
        <f>Y14/(100%-S12*Y15)/Y15</f>
        <v>137.97240551889621</v>
      </c>
      <c r="V12" s="15" t="str">
        <f>V7</f>
        <v>상</v>
      </c>
      <c r="W12" s="53">
        <f>IF($I$7="하",$J$1,$F$1)</f>
        <v>15</v>
      </c>
      <c r="X12" s="35" t="s">
        <v>9</v>
      </c>
      <c r="Y12" s="35">
        <f>Y7+Y15</f>
        <v>30</v>
      </c>
    </row>
    <row r="13" spans="1:25" x14ac:dyDescent="0.25">
      <c r="A13" s="208">
        <f>A8+1</f>
        <v>2</v>
      </c>
      <c r="B13" s="42">
        <f>B8</f>
        <v>200</v>
      </c>
      <c r="C13" s="48" t="s">
        <v>15</v>
      </c>
      <c r="D13" s="49">
        <v>92.5</v>
      </c>
      <c r="E13" s="6">
        <f>IF(B15="ME",100%-ROUNDDOWN(L10*0.8,0)*F12,100%-J12*F12)</f>
        <v>0.72249999999999992</v>
      </c>
      <c r="F13" s="7">
        <f>E13</f>
        <v>0.72249999999999992</v>
      </c>
      <c r="G13" s="7">
        <f t="shared" ref="G13:H14" si="2">F13</f>
        <v>0.72249999999999992</v>
      </c>
      <c r="H13" s="7">
        <f t="shared" si="2"/>
        <v>0.72249999999999992</v>
      </c>
      <c r="I13" s="46">
        <f>H13</f>
        <v>0.72249999999999992</v>
      </c>
      <c r="J13" s="225" t="s">
        <v>20</v>
      </c>
      <c r="K13" s="9" t="s">
        <v>4</v>
      </c>
      <c r="L13" s="16">
        <f>(E13*E15+F13*F15+G13*G15+H13*H15+I13*I15)/L15</f>
        <v>0.72250000000000003</v>
      </c>
      <c r="N13" s="208">
        <f>N8+1</f>
        <v>2</v>
      </c>
      <c r="O13" s="43">
        <f>B13</f>
        <v>200</v>
      </c>
      <c r="P13" s="50" t="s">
        <v>23</v>
      </c>
      <c r="Q13" s="51">
        <v>137</v>
      </c>
      <c r="R13" s="6">
        <f>100%-W12*S12</f>
        <v>0.83350000000000002</v>
      </c>
      <c r="S13" s="7">
        <f t="shared" ref="S13:V14" si="3">R13</f>
        <v>0.83350000000000002</v>
      </c>
      <c r="T13" s="7">
        <f t="shared" si="3"/>
        <v>0.83350000000000002</v>
      </c>
      <c r="U13" s="7">
        <f t="shared" si="3"/>
        <v>0.83350000000000002</v>
      </c>
      <c r="V13" s="8">
        <f t="shared" si="3"/>
        <v>0.83350000000000002</v>
      </c>
      <c r="W13" s="214" t="s">
        <v>18</v>
      </c>
      <c r="X13" s="9" t="s">
        <v>4</v>
      </c>
      <c r="Y13" s="16">
        <f>(R13*R15+S13*S15+T13*T15+U13*U15+V13*V15)/Y15</f>
        <v>0.83350000000000013</v>
      </c>
    </row>
    <row r="14" spans="1:25" x14ac:dyDescent="0.25">
      <c r="A14" s="209"/>
      <c r="B14" s="42">
        <f>B9</f>
        <v>300</v>
      </c>
      <c r="C14" s="5" t="s">
        <v>5</v>
      </c>
      <c r="D14" s="5" t="s">
        <v>3</v>
      </c>
      <c r="E14" s="18">
        <f>MROUND(E13*D13,C15)</f>
        <v>67.5</v>
      </c>
      <c r="F14" s="18">
        <f t="shared" ref="F14" si="4">E14</f>
        <v>67.5</v>
      </c>
      <c r="G14" s="18">
        <f t="shared" si="2"/>
        <v>67.5</v>
      </c>
      <c r="H14" s="18">
        <f t="shared" si="2"/>
        <v>67.5</v>
      </c>
      <c r="I14" s="47">
        <f>H14</f>
        <v>67.5</v>
      </c>
      <c r="J14" s="226"/>
      <c r="K14" s="10" t="s">
        <v>6</v>
      </c>
      <c r="L14" s="17">
        <f>E14*E15+F14*F15+G14*G15+H14*H15+I14*I15</f>
        <v>1687.5</v>
      </c>
      <c r="N14" s="209"/>
      <c r="O14" s="43">
        <f>B14</f>
        <v>300</v>
      </c>
      <c r="P14" s="5" t="s">
        <v>5</v>
      </c>
      <c r="Q14" s="5" t="s">
        <v>3</v>
      </c>
      <c r="R14" s="18">
        <f>MROUND(R13*Q13,P15)</f>
        <v>115</v>
      </c>
      <c r="S14" s="18">
        <f t="shared" si="3"/>
        <v>115</v>
      </c>
      <c r="T14" s="18">
        <f t="shared" si="3"/>
        <v>115</v>
      </c>
      <c r="U14" s="18">
        <f t="shared" si="3"/>
        <v>115</v>
      </c>
      <c r="V14" s="19">
        <f t="shared" si="3"/>
        <v>115</v>
      </c>
      <c r="W14" s="215"/>
      <c r="X14" s="10" t="s">
        <v>6</v>
      </c>
      <c r="Y14" s="17">
        <f>R14*R15+S14*S15+T14*T15+U14*U15+V14*V15</f>
        <v>1725</v>
      </c>
    </row>
    <row r="15" spans="1:25" ht="17.25" thickBot="1" x14ac:dyDescent="0.3">
      <c r="A15" s="210"/>
      <c r="B15" s="13"/>
      <c r="C15" s="12">
        <f>C10</f>
        <v>2.5</v>
      </c>
      <c r="D15" s="13" t="s">
        <v>7</v>
      </c>
      <c r="E15" s="54">
        <f xml:space="preserve"> IF(I12="하",0,IF(MROUND(J12/5,1)&lt;=D12,IF(MROUND(J12/5,1)&gt;=C12,MROUND(J12/5,1),C12),D12))</f>
        <v>5</v>
      </c>
      <c r="F15" s="55">
        <f>IF(MROUND((J12-E15)/4,1)&lt;=D12,IF(MROUND((J12-E15)/4,1)&gt;=C12,MROUND((J12-E15)/4,1),C12),D12)</f>
        <v>5</v>
      </c>
      <c r="G15" s="55">
        <f>IF(MROUND((J12-E15-F15)/3,1)&lt;=D12,IF(MROUND((J12-E15-F15)/3,1)&gt;=C12,MROUND((J12-E15-F15)/3,1),C12),D12)</f>
        <v>5</v>
      </c>
      <c r="H15" s="55">
        <f>IF(MROUND((J12-E15-F15-G15)/2,1)&lt;=D12,IF((J12-E15-F15-G15)/2&gt;=C12,MROUND((J12-E15-F15-G15)/2,1),J12-E15-F15-G15),D12)</f>
        <v>5</v>
      </c>
      <c r="I15" s="56">
        <f>IF((J12-(E15+F15+G15+H15))&gt;0,(J12-(E15+F15+G15+H15)),0)</f>
        <v>5</v>
      </c>
      <c r="J15" s="227"/>
      <c r="K15" s="10" t="s">
        <v>10</v>
      </c>
      <c r="L15" s="17">
        <f>SUM(E15:I15)</f>
        <v>25</v>
      </c>
      <c r="N15" s="210"/>
      <c r="O15" s="45" t="str">
        <f>IF(R13&gt;0.9,"ME"," ")</f>
        <v xml:space="preserve"> </v>
      </c>
      <c r="P15" s="12">
        <f>2.5</f>
        <v>2.5</v>
      </c>
      <c r="Q15" s="13" t="s">
        <v>7</v>
      </c>
      <c r="R15" s="11">
        <f xml:space="preserve"> IF(V12="하",0,IF(MROUND(W12/5,1)&lt;=Q12,IF(MROUND(W12/5,1)&gt;=P12,MROUND(W12/5,1),P12),Q12))</f>
        <v>3</v>
      </c>
      <c r="S15" s="20">
        <f>IF(MROUND((W12-R15)/4,1)&lt;=Q12,IF(MROUND((W12-R15)/4,1)&gt;=P12,MROUND((W12-R15)/4,1),P12),Q12)</f>
        <v>3</v>
      </c>
      <c r="T15" s="20">
        <f>IF(MROUND((W12-R15-S15)/3,1)&lt;=Q12,IF(MROUND((W12-R15-S15)/3,1)&gt;=P12,MROUND((W12-R15-S15)/3,1),P12),Q12)</f>
        <v>3</v>
      </c>
      <c r="U15" s="20">
        <f>IF(MROUND((W12-R15-S15-T15)/2,1)&lt;=Q12,IF((W12-R15-S15-T15)/2&gt;=P12,MROUND((W12-R15-S15-T15)/2,1),W12-R15-S15-T15),Q12)</f>
        <v>3</v>
      </c>
      <c r="V15" s="21">
        <f>IF((W12-(R15+S15+T15+U15))&gt;0,(W12-(R15+S15+T15+U15)),0)</f>
        <v>3</v>
      </c>
      <c r="W15" s="215"/>
      <c r="X15" s="10" t="s">
        <v>10</v>
      </c>
      <c r="Y15" s="17">
        <f>SUM(R15:V15)</f>
        <v>15</v>
      </c>
    </row>
    <row r="16" spans="1:25" ht="30.75" thickTop="1" thickBot="1" x14ac:dyDescent="0.3">
      <c r="A16" s="223" t="str">
        <f>TEXT(I$7&amp;A18&amp;"/ ME &amp; back off set"&amp;" "&amp;" / Supplement ",0)</f>
        <v xml:space="preserve">상3/ ME &amp; back off set  / Supplement </v>
      </c>
      <c r="B16" s="224"/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61"/>
      <c r="Y16" s="62"/>
    </row>
    <row r="17" spans="1:25" ht="18" thickTop="1" thickBot="1" x14ac:dyDescent="0.3">
      <c r="A17" s="29">
        <f>L12+L20</f>
        <v>75</v>
      </c>
      <c r="C17" s="23">
        <f>IF(E18&gt;=90%,1,IF(E18&gt;=80%,2,IF(E18&gt;=70%,3,3)))</f>
        <v>2</v>
      </c>
      <c r="D17" s="23">
        <f>IF(E18&gt;=90%,2,IF(E18&gt;=80%,4,IF(E18&gt;=70%,6,6)))</f>
        <v>4</v>
      </c>
      <c r="E17" s="14" t="str">
        <f>E12</f>
        <v>개당</v>
      </c>
      <c r="F17" s="32">
        <f>IF(I17="하",1.39%,1.11%)</f>
        <v>1.11E-2</v>
      </c>
      <c r="G17" s="3" t="s">
        <v>2</v>
      </c>
      <c r="H17" s="4">
        <f>L19/(100%-F17*L20)/L20</f>
        <v>101.23734533183352</v>
      </c>
      <c r="I17" s="15" t="str">
        <f>I12</f>
        <v>상</v>
      </c>
      <c r="J17" s="53">
        <f>IF($I$7="하",$H$1,$D$1)</f>
        <v>10</v>
      </c>
      <c r="K17" s="35" t="s">
        <v>9</v>
      </c>
      <c r="L17" s="35">
        <f>(L12+L20+Y20)</f>
        <v>90</v>
      </c>
      <c r="M17" s="34">
        <f>ROUNDDOWN(L17/(B18/4),0)</f>
        <v>1</v>
      </c>
      <c r="N17" s="29">
        <f>IF(R13&lt;0.9,N12+Y20,Y20)</f>
        <v>45</v>
      </c>
      <c r="P17" s="23">
        <f>IF(R18&gt;=90%,1,IF(R18&gt;=80%,2,IF(R18&gt;=70%,3,3)))</f>
        <v>2</v>
      </c>
      <c r="Q17" s="23">
        <f>IF(R18&gt;=90%,2,IF(R18&gt;=80%,4,IF(R18&gt;=70%,6,6)))</f>
        <v>4</v>
      </c>
      <c r="R17" s="14" t="str">
        <f>R12</f>
        <v>개당</v>
      </c>
      <c r="S17" s="32">
        <f>IF(V17="하",1.39%,1.11%)</f>
        <v>1.11E-2</v>
      </c>
      <c r="T17" s="3" t="s">
        <v>2</v>
      </c>
      <c r="U17" s="4">
        <f>Y19/(100%-S17*Y20)/Y20</f>
        <v>98.980203959208154</v>
      </c>
      <c r="V17" s="15" t="str">
        <f>V12</f>
        <v>상</v>
      </c>
      <c r="W17" s="53">
        <f>IF($I$7="하",$J$1,$F$1)</f>
        <v>15</v>
      </c>
      <c r="X17" s="35" t="s">
        <v>9</v>
      </c>
      <c r="Y17" s="35">
        <f>Y12+Y20</f>
        <v>45</v>
      </c>
    </row>
    <row r="18" spans="1:25" x14ac:dyDescent="0.25">
      <c r="A18" s="208">
        <f>A13+1</f>
        <v>3</v>
      </c>
      <c r="B18" s="42">
        <f>B13</f>
        <v>200</v>
      </c>
      <c r="C18" s="38">
        <v>1</v>
      </c>
      <c r="D18" s="38">
        <v>100</v>
      </c>
      <c r="E18" s="6">
        <f>IF(B20="ME",100%-ROUNDDOWN(L15*0.8,0)*F17,100%-J17*F17)</f>
        <v>0.88900000000000001</v>
      </c>
      <c r="F18" s="7">
        <f>E18</f>
        <v>0.88900000000000001</v>
      </c>
      <c r="G18" s="7">
        <f t="shared" ref="G18:H19" si="5">F18</f>
        <v>0.88900000000000001</v>
      </c>
      <c r="H18" s="7">
        <f t="shared" si="5"/>
        <v>0.88900000000000001</v>
      </c>
      <c r="I18" s="46">
        <f>H18</f>
        <v>0.88900000000000001</v>
      </c>
      <c r="J18" s="211" t="str">
        <f>J8</f>
        <v>ME</v>
      </c>
      <c r="K18" s="9" t="s">
        <v>4</v>
      </c>
      <c r="L18" s="16">
        <f>(E18*E20+F18*F20+G18*G20+H18*H20+I18*I20)/L20</f>
        <v>0.88900000000000001</v>
      </c>
      <c r="N18" s="208">
        <f>N13+1</f>
        <v>3</v>
      </c>
      <c r="O18" s="43">
        <f>B18</f>
        <v>200</v>
      </c>
      <c r="P18" s="33">
        <v>1</v>
      </c>
      <c r="Q18" s="33">
        <v>100</v>
      </c>
      <c r="R18" s="6">
        <f>100%-W17*S17</f>
        <v>0.83350000000000002</v>
      </c>
      <c r="S18" s="7">
        <f t="shared" ref="S18:V19" si="6">R18</f>
        <v>0.83350000000000002</v>
      </c>
      <c r="T18" s="7">
        <f t="shared" si="6"/>
        <v>0.83350000000000002</v>
      </c>
      <c r="U18" s="7">
        <f t="shared" si="6"/>
        <v>0.83350000000000002</v>
      </c>
      <c r="V18" s="8">
        <f t="shared" si="6"/>
        <v>0.83350000000000002</v>
      </c>
      <c r="W18" s="214" t="s">
        <v>19</v>
      </c>
      <c r="X18" s="9" t="s">
        <v>4</v>
      </c>
      <c r="Y18" s="16">
        <f>(R18*R20+S18*S20+T18*T20+U18*U20+V18*V20)/Y20</f>
        <v>0.83350000000000013</v>
      </c>
    </row>
    <row r="19" spans="1:25" x14ac:dyDescent="0.25">
      <c r="A19" s="209"/>
      <c r="B19" s="42">
        <f>B14</f>
        <v>300</v>
      </c>
      <c r="C19" s="5" t="s">
        <v>5</v>
      </c>
      <c r="D19" s="5" t="s">
        <v>3</v>
      </c>
      <c r="E19" s="18">
        <f>MROUND(E18*D18,C20)</f>
        <v>90</v>
      </c>
      <c r="F19" s="18">
        <f t="shared" ref="F19" si="7">E19</f>
        <v>90</v>
      </c>
      <c r="G19" s="18">
        <f t="shared" si="5"/>
        <v>90</v>
      </c>
      <c r="H19" s="18">
        <f t="shared" si="5"/>
        <v>90</v>
      </c>
      <c r="I19" s="47">
        <f>H19</f>
        <v>90</v>
      </c>
      <c r="J19" s="212"/>
      <c r="K19" s="10" t="s">
        <v>6</v>
      </c>
      <c r="L19" s="17">
        <f>E19*E20+F19*F20+G19*G20+H19*H20+I19*I20</f>
        <v>900</v>
      </c>
      <c r="N19" s="209"/>
      <c r="O19" s="43">
        <f>B19</f>
        <v>300</v>
      </c>
      <c r="P19" s="5" t="s">
        <v>5</v>
      </c>
      <c r="Q19" s="5" t="s">
        <v>3</v>
      </c>
      <c r="R19" s="18">
        <f>MROUND(R18*Q18,P20)</f>
        <v>82.5</v>
      </c>
      <c r="S19" s="18">
        <f t="shared" si="6"/>
        <v>82.5</v>
      </c>
      <c r="T19" s="18">
        <f t="shared" si="6"/>
        <v>82.5</v>
      </c>
      <c r="U19" s="18">
        <f t="shared" si="6"/>
        <v>82.5</v>
      </c>
      <c r="V19" s="19">
        <f t="shared" si="6"/>
        <v>82.5</v>
      </c>
      <c r="W19" s="215"/>
      <c r="X19" s="10" t="s">
        <v>6</v>
      </c>
      <c r="Y19" s="17">
        <f>R19*R20+S19*S20+T19*T20+U19*U20+V19*V20</f>
        <v>1237.5</v>
      </c>
    </row>
    <row r="20" spans="1:25" ht="17.25" thickBot="1" x14ac:dyDescent="0.3">
      <c r="A20" s="210"/>
      <c r="B20" s="13"/>
      <c r="C20" s="12">
        <f>C10</f>
        <v>2.5</v>
      </c>
      <c r="D20" s="13" t="s">
        <v>7</v>
      </c>
      <c r="E20" s="54">
        <f xml:space="preserve"> IF(I17="하",0,IF(MROUND(J17/5,1)&lt;=D17,IF(MROUND(J17/5,1)&gt;=C17,MROUND(J17/5,1),C17),D17))</f>
        <v>2</v>
      </c>
      <c r="F20" s="55">
        <f>IF(MROUND((J17-E20)/4,1)&lt;=D17,IF(MROUND((J17-E20)/4,1)&gt;=C17,MROUND((J17-E20)/4,1),C17),D17)</f>
        <v>2</v>
      </c>
      <c r="G20" s="55">
        <f>IF(MROUND((J17-E20-F20)/3,1)&lt;=D17,IF(MROUND((J17-E20-F20)/3,1)&gt;=C17,MROUND((J17-E20-F20)/3,1),C17),D17)</f>
        <v>2</v>
      </c>
      <c r="H20" s="55">
        <f>IF(MROUND((J17-E20-F20-G20)/2,1)&lt;=D17,IF((J17-E20-F20-G20)/2&gt;=C17,MROUND((J17-E20-F20-G20)/2,1),J17-E20-F20-G20),D17)</f>
        <v>2</v>
      </c>
      <c r="I20" s="56">
        <f>IF((J17-(E20+F20+G20+H20))&gt;0,(J17-(E20+F20+G20+H20)),0)</f>
        <v>2</v>
      </c>
      <c r="J20" s="213"/>
      <c r="K20" s="10" t="s">
        <v>10</v>
      </c>
      <c r="L20" s="17">
        <f>SUM(E20:I20)</f>
        <v>10</v>
      </c>
      <c r="N20" s="210"/>
      <c r="O20" s="45" t="str">
        <f>IF(R18&gt;0.9,"ME"," ")</f>
        <v xml:space="preserve"> </v>
      </c>
      <c r="P20" s="12">
        <f>P10</f>
        <v>2.5</v>
      </c>
      <c r="Q20" s="13" t="s">
        <v>7</v>
      </c>
      <c r="R20" s="11">
        <f xml:space="preserve"> IF(V17="하",0,IF(MROUND(W17/5,1)&lt;=Q17,IF(MROUND(W17/5,1)&gt;=P17,MROUND(W17/5,1),P17),Q17))</f>
        <v>3</v>
      </c>
      <c r="S20" s="20">
        <f>IF(MROUND((W17-R20)/4,1)&lt;=Q17,IF(MROUND((W17-R20)/4,1)&gt;=P17,MROUND((W17-R20)/4,1),P17),Q17)</f>
        <v>3</v>
      </c>
      <c r="T20" s="20">
        <f>IF(MROUND((W17-R20-S20)/3,1)&lt;=Q17,IF(MROUND((W17-R20-S20)/3,1)&gt;=P17,MROUND((W17-R20-S20)/3,1),P17),Q17)</f>
        <v>3</v>
      </c>
      <c r="U20" s="20">
        <f>IF(MROUND((W17-R20-S20-T20)/2,1)&lt;=Q17,IF((W17-R20-S20-T20)/2&gt;=P17,MROUND((W17-R20-S20-T20)/2,1),W17-R20-S20-T20),Q17)</f>
        <v>3</v>
      </c>
      <c r="V20" s="21">
        <f>IF((W17-(R20+S20+T20+U20))&gt;0,(W17-(R20+S20+T20+U20)),0)</f>
        <v>3</v>
      </c>
      <c r="W20" s="215"/>
      <c r="X20" s="10" t="s">
        <v>10</v>
      </c>
      <c r="Y20" s="17">
        <f>SUM(R20:V20)</f>
        <v>15</v>
      </c>
    </row>
    <row r="21" spans="1:25" ht="30.75" thickTop="1" thickBot="1" x14ac:dyDescent="0.3">
      <c r="A21" s="223" t="str">
        <f>TEXT(I$7&amp;A23&amp;"/ main lifting DE"&amp;" "&amp;" / Supplement RE",0)</f>
        <v>상4/ main lifting DE  / Supplement RE</v>
      </c>
      <c r="B21" s="224"/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224"/>
      <c r="W21" s="224"/>
      <c r="X21" s="61"/>
      <c r="Y21" s="62"/>
    </row>
    <row r="22" spans="1:25" ht="18" thickTop="1" thickBot="1" x14ac:dyDescent="0.3">
      <c r="A22" s="29">
        <f>L17+L25</f>
        <v>115</v>
      </c>
      <c r="C22" s="23">
        <f>IF(E23&gt;=90%,1,IF(E23&gt;=80%,2,IF(E23&gt;=70%,3,3)))</f>
        <v>3</v>
      </c>
      <c r="D22" s="23">
        <f>IF(E23&gt;=90%,2,IF(E23&gt;=80%,4,IF(E23&gt;=70%,6,6)))</f>
        <v>6</v>
      </c>
      <c r="E22" s="14" t="str">
        <f>E17</f>
        <v>개당</v>
      </c>
      <c r="F22" s="32">
        <f>IF(I22="하",1.39%,1.11%)</f>
        <v>1.11E-2</v>
      </c>
      <c r="G22" s="3" t="s">
        <v>2</v>
      </c>
      <c r="H22" s="4">
        <f>L24/(100%-F22*L25)/L25</f>
        <v>138.40830449826993</v>
      </c>
      <c r="I22" s="15" t="str">
        <f>I17</f>
        <v>상</v>
      </c>
      <c r="J22" s="53">
        <f>IF($I$7="하",$I$1,$E$1)</f>
        <v>25</v>
      </c>
      <c r="K22" s="35" t="s">
        <v>9</v>
      </c>
      <c r="L22" s="35">
        <f>(L17+L25+Y25)</f>
        <v>130</v>
      </c>
      <c r="M22" s="34">
        <f>ROUNDDOWN(L22/(B23/4),0)</f>
        <v>2</v>
      </c>
      <c r="N22" s="29">
        <f>IF(R18&lt;0.9,N17+Y25,Y25)</f>
        <v>60</v>
      </c>
      <c r="P22" s="23">
        <f>IF(R23&gt;=90%,1,IF(R23&gt;=80%,2,IF(R23&gt;=70%,3,3)))</f>
        <v>2</v>
      </c>
      <c r="Q22" s="23">
        <f>IF(R23&gt;=90%,2,IF(R23&gt;=80%,4,IF(R23&gt;=70%,6,6)))</f>
        <v>4</v>
      </c>
      <c r="R22" s="14" t="str">
        <f>R17</f>
        <v>개당</v>
      </c>
      <c r="S22" s="32">
        <f>IF(V22="하",1.39%,1.11%)</f>
        <v>1.11E-2</v>
      </c>
      <c r="T22" s="3" t="s">
        <v>2</v>
      </c>
      <c r="U22" s="4">
        <f>Y24/(100%-S22*Y25)/Y25</f>
        <v>92.98140371925615</v>
      </c>
      <c r="V22" s="15" t="str">
        <f>V17</f>
        <v>상</v>
      </c>
      <c r="W22" s="53">
        <f>IF($I$7="하",$J$1,$F$1)</f>
        <v>15</v>
      </c>
      <c r="X22" s="35" t="s">
        <v>9</v>
      </c>
      <c r="Y22" s="35">
        <f>Y17+Y25</f>
        <v>60</v>
      </c>
    </row>
    <row r="23" spans="1:25" x14ac:dyDescent="0.25">
      <c r="A23" s="208">
        <f>A18+1</f>
        <v>4</v>
      </c>
      <c r="B23" s="42">
        <f>B18</f>
        <v>200</v>
      </c>
      <c r="C23" s="48" t="str">
        <f>P13</f>
        <v>WD</v>
      </c>
      <c r="D23" s="49">
        <f>U12</f>
        <v>137.97240551889621</v>
      </c>
      <c r="E23" s="6">
        <f>IF(B25="ME",100%-ROUNDDOWN(L20*0.8,0)*F22,100%-J22*F22)</f>
        <v>0.72249999999999992</v>
      </c>
      <c r="F23" s="7">
        <f>E23</f>
        <v>0.72249999999999992</v>
      </c>
      <c r="G23" s="7">
        <f t="shared" ref="G23:H24" si="8">F23</f>
        <v>0.72249999999999992</v>
      </c>
      <c r="H23" s="7">
        <f t="shared" si="8"/>
        <v>0.72249999999999992</v>
      </c>
      <c r="I23" s="46">
        <f>H23</f>
        <v>0.72249999999999992</v>
      </c>
      <c r="J23" s="225" t="s">
        <v>20</v>
      </c>
      <c r="K23" s="9" t="s">
        <v>4</v>
      </c>
      <c r="L23" s="16">
        <f>(E23*E25+F23*F25+G23*G25+H23*H25+I23*I25)/L25</f>
        <v>0.72250000000000003</v>
      </c>
      <c r="N23" s="208">
        <f>N18+1</f>
        <v>4</v>
      </c>
      <c r="O23" s="43">
        <f>B23</f>
        <v>200</v>
      </c>
      <c r="P23" s="50" t="str">
        <f>C13</f>
        <v>MP</v>
      </c>
      <c r="Q23" s="51">
        <f>D13</f>
        <v>92.5</v>
      </c>
      <c r="R23" s="6">
        <f>100%-W22*S22</f>
        <v>0.83350000000000002</v>
      </c>
      <c r="S23" s="7">
        <f t="shared" ref="S23:V24" si="9">R23</f>
        <v>0.83350000000000002</v>
      </c>
      <c r="T23" s="7">
        <f t="shared" si="9"/>
        <v>0.83350000000000002</v>
      </c>
      <c r="U23" s="7">
        <f t="shared" si="9"/>
        <v>0.83350000000000002</v>
      </c>
      <c r="V23" s="8">
        <f t="shared" si="9"/>
        <v>0.83350000000000002</v>
      </c>
      <c r="W23" s="214" t="s">
        <v>18</v>
      </c>
      <c r="X23" s="9" t="s">
        <v>4</v>
      </c>
      <c r="Y23" s="16">
        <f>(R23*R25+S23*S25+T23*T25+U23*U25+V23*V25)/Y25</f>
        <v>0.83350000000000013</v>
      </c>
    </row>
    <row r="24" spans="1:25" x14ac:dyDescent="0.25">
      <c r="A24" s="209"/>
      <c r="B24" s="42">
        <f>B19</f>
        <v>300</v>
      </c>
      <c r="C24" s="5" t="s">
        <v>5</v>
      </c>
      <c r="D24" s="5" t="s">
        <v>3</v>
      </c>
      <c r="E24" s="18">
        <f>MROUND(E23*D23,C25)</f>
        <v>100</v>
      </c>
      <c r="F24" s="18">
        <f t="shared" ref="F24" si="10">E24</f>
        <v>100</v>
      </c>
      <c r="G24" s="18">
        <f t="shared" si="8"/>
        <v>100</v>
      </c>
      <c r="H24" s="18">
        <f t="shared" si="8"/>
        <v>100</v>
      </c>
      <c r="I24" s="47">
        <f>H24</f>
        <v>100</v>
      </c>
      <c r="J24" s="226"/>
      <c r="K24" s="10" t="s">
        <v>6</v>
      </c>
      <c r="L24" s="17">
        <f>E24*E25+F24*F25+G24*G25+H24*H25+I24*I25</f>
        <v>2500</v>
      </c>
      <c r="N24" s="209"/>
      <c r="O24" s="43">
        <f>B24</f>
        <v>300</v>
      </c>
      <c r="P24" s="5" t="s">
        <v>5</v>
      </c>
      <c r="Q24" s="5" t="s">
        <v>3</v>
      </c>
      <c r="R24" s="18">
        <f>MROUND(R23*Q23,P25)</f>
        <v>77.5</v>
      </c>
      <c r="S24" s="18">
        <f t="shared" si="9"/>
        <v>77.5</v>
      </c>
      <c r="T24" s="18">
        <f t="shared" si="9"/>
        <v>77.5</v>
      </c>
      <c r="U24" s="18">
        <f t="shared" si="9"/>
        <v>77.5</v>
      </c>
      <c r="V24" s="19">
        <f t="shared" si="9"/>
        <v>77.5</v>
      </c>
      <c r="W24" s="215"/>
      <c r="X24" s="10" t="s">
        <v>6</v>
      </c>
      <c r="Y24" s="17">
        <f>R24*R25+S24*S25+T24*T25+U24*U25+V24*V25</f>
        <v>1162.5</v>
      </c>
    </row>
    <row r="25" spans="1:25" ht="17.25" thickBot="1" x14ac:dyDescent="0.3">
      <c r="A25" s="210"/>
      <c r="B25" s="13"/>
      <c r="C25" s="12">
        <f>P15</f>
        <v>2.5</v>
      </c>
      <c r="D25" s="13" t="s">
        <v>7</v>
      </c>
      <c r="E25" s="54">
        <f xml:space="preserve"> IF(I22="하",0,IF(MROUND(J22/5,1)&lt;=D22,IF(MROUND(J22/5,1)&gt;=C22,MROUND(J22/5,1),C22),D22))</f>
        <v>5</v>
      </c>
      <c r="F25" s="55">
        <f>IF(MROUND((J22-E25)/4,1)&lt;=D22,IF(MROUND((J22-E25)/4,1)&gt;=C22,MROUND((J22-E25)/4,1),C22),D22)</f>
        <v>5</v>
      </c>
      <c r="G25" s="55">
        <f>IF(MROUND((J22-E25-F25)/3,1)&lt;=D22,IF(MROUND((J22-E25-F25)/3,1)&gt;=C22,MROUND((J22-E25-F25)/3,1),C22),D22)</f>
        <v>5</v>
      </c>
      <c r="H25" s="55">
        <f>IF(MROUND((J22-E25-F25-G25)/2,1)&lt;=D22,IF((J22-E25-F25-G25)/2&gt;=C22,MROUND((J22-E25-F25-G25)/2,1),J22-E25-F25-G25),D22)</f>
        <v>5</v>
      </c>
      <c r="I25" s="56">
        <f>IF((J22-(E25+F25+G25+H25))&gt;0,(J22-(E25+F25+G25+H25)),0)</f>
        <v>5</v>
      </c>
      <c r="J25" s="227"/>
      <c r="K25" s="10" t="s">
        <v>10</v>
      </c>
      <c r="L25" s="17">
        <f>SUM(E25:I25)</f>
        <v>25</v>
      </c>
      <c r="N25" s="210"/>
      <c r="O25" s="45" t="str">
        <f>IF(R23&gt;0.9,"ME"," ")</f>
        <v xml:space="preserve"> </v>
      </c>
      <c r="P25" s="12">
        <f>C15</f>
        <v>2.5</v>
      </c>
      <c r="Q25" s="13" t="s">
        <v>7</v>
      </c>
      <c r="R25" s="11">
        <f xml:space="preserve"> IF(V22="하",0,IF(MROUND(W22/5,1)&lt;=Q22,IF(MROUND(W22/5,1)&gt;=P22,MROUND(W22/5,1),P22),Q22))</f>
        <v>3</v>
      </c>
      <c r="S25" s="20">
        <f>IF(MROUND((W22-R25)/4,1)&lt;=Q22,IF(MROUND((W22-R25)/4,1)&gt;=P22,MROUND((W22-R25)/4,1),P22),Q22)</f>
        <v>3</v>
      </c>
      <c r="T25" s="20">
        <f>IF(MROUND((W22-R25-S25)/3,1)&lt;=Q22,IF(MROUND((W22-R25-S25)/3,1)&gt;=P22,MROUND((W22-R25-S25)/3,1),P22),Q22)</f>
        <v>3</v>
      </c>
      <c r="U25" s="20">
        <f>IF(MROUND((W22-R25-S25-T25)/2,1)&lt;=Q22,IF((W22-R25-S25-T25)/2&gt;=P22,MROUND((W22-R25-S25-T25)/2,1),W22-R25-S25-T25),Q22)</f>
        <v>3</v>
      </c>
      <c r="V25" s="21">
        <f>IF((W22-(R25+S25+T25+U25))&gt;0,(W22-(R25+S25+T25+U25)),0)</f>
        <v>3</v>
      </c>
      <c r="W25" s="215"/>
      <c r="X25" s="10" t="s">
        <v>10</v>
      </c>
      <c r="Y25" s="17">
        <f>SUM(R25:V25)</f>
        <v>15</v>
      </c>
    </row>
    <row r="26" spans="1:25" ht="30.75" thickTop="1" thickBot="1" x14ac:dyDescent="0.3">
      <c r="A26" s="223" t="str">
        <f>TEXT(I$7&amp;A28&amp;"/ ME &amp; back off set"&amp;" "&amp;" / Supplement ",0)</f>
        <v xml:space="preserve">상5/ ME &amp; back off set  / Supplement </v>
      </c>
      <c r="B26" s="224"/>
      <c r="C26" s="224"/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61"/>
      <c r="Y26" s="62"/>
    </row>
    <row r="27" spans="1:25" ht="18" thickTop="1" thickBot="1" x14ac:dyDescent="0.3">
      <c r="A27" s="29">
        <f>L22+L30</f>
        <v>140</v>
      </c>
      <c r="C27" s="23">
        <f>IF(E28&gt;=90%,1,IF(E28&gt;=80%,2,IF(E28&gt;=70%,3,3)))</f>
        <v>2</v>
      </c>
      <c r="D27" s="23">
        <f>IF(E28&gt;=90%,2,IF(E28&gt;=80%,4,IF(E28&gt;=70%,6,6)))</f>
        <v>4</v>
      </c>
      <c r="E27" s="14" t="str">
        <f>E22</f>
        <v>개당</v>
      </c>
      <c r="F27" s="32">
        <f>IF(I27="하",1.39%,1.11%)</f>
        <v>1.11E-2</v>
      </c>
      <c r="G27" s="3" t="s">
        <v>2</v>
      </c>
      <c r="H27" s="4">
        <f>L29/(100%-F27*L30)/L30</f>
        <v>101.23734533183352</v>
      </c>
      <c r="I27" s="15" t="str">
        <f>I22</f>
        <v>상</v>
      </c>
      <c r="J27" s="53">
        <f>IF($I$7="하",$H$1,$D$1)</f>
        <v>10</v>
      </c>
      <c r="K27" s="35" t="s">
        <v>9</v>
      </c>
      <c r="L27" s="35">
        <f>(L22+L30+Y30)</f>
        <v>155</v>
      </c>
      <c r="M27" s="34">
        <f>ROUNDDOWN(L27/(B28/4),0)</f>
        <v>3</v>
      </c>
      <c r="N27" s="29">
        <f>IF(R23&lt;0.9,N22+Y30,Y30)</f>
        <v>75</v>
      </c>
      <c r="P27" s="23">
        <f>IF(R28&gt;=90%,1,IF(R28&gt;=80%,2,IF(R28&gt;=70%,3,3)))</f>
        <v>2</v>
      </c>
      <c r="Q27" s="23">
        <f>IF(R28&gt;=90%,2,IF(R28&gt;=80%,4,IF(R28&gt;=70%,6,6)))</f>
        <v>4</v>
      </c>
      <c r="R27" s="14" t="str">
        <f>R22</f>
        <v>개당</v>
      </c>
      <c r="S27" s="32">
        <f>IF(V27="하",1.39%,1.11%)</f>
        <v>1.11E-2</v>
      </c>
      <c r="T27" s="3" t="s">
        <v>2</v>
      </c>
      <c r="U27" s="4">
        <f>Y29/(100%-S27*Y30)/Y30</f>
        <v>98.980203959208154</v>
      </c>
      <c r="V27" s="15" t="str">
        <f>V22</f>
        <v>상</v>
      </c>
      <c r="W27" s="53">
        <f>IF($I$7="하",$J$1,$F$1)</f>
        <v>15</v>
      </c>
      <c r="X27" s="35" t="s">
        <v>9</v>
      </c>
      <c r="Y27" s="35">
        <f>Y22+Y30</f>
        <v>75</v>
      </c>
    </row>
    <row r="28" spans="1:25" x14ac:dyDescent="0.25">
      <c r="A28" s="208">
        <f>A23+1</f>
        <v>5</v>
      </c>
      <c r="B28" s="42">
        <f>B23</f>
        <v>200</v>
      </c>
      <c r="C28" s="38">
        <v>1</v>
      </c>
      <c r="D28" s="38">
        <v>100</v>
      </c>
      <c r="E28" s="6">
        <f>IF(B30="ME",100%-ROUNDDOWN(L25*0.8,0)*F27,100%-J27*F27)</f>
        <v>0.88900000000000001</v>
      </c>
      <c r="F28" s="7">
        <f>E28</f>
        <v>0.88900000000000001</v>
      </c>
      <c r="G28" s="7">
        <f t="shared" ref="G28:H29" si="11">F28</f>
        <v>0.88900000000000001</v>
      </c>
      <c r="H28" s="7">
        <f t="shared" si="11"/>
        <v>0.88900000000000001</v>
      </c>
      <c r="I28" s="46">
        <f>H28</f>
        <v>0.88900000000000001</v>
      </c>
      <c r="J28" s="211" t="str">
        <f>J18</f>
        <v>ME</v>
      </c>
      <c r="K28" s="9" t="s">
        <v>4</v>
      </c>
      <c r="L28" s="16">
        <f>(E28*E30+F28*F30+G28*G30+H28*H30+I28*I30)/L30</f>
        <v>0.88900000000000001</v>
      </c>
      <c r="N28" s="208">
        <f>N23+1</f>
        <v>5</v>
      </c>
      <c r="O28" s="43">
        <f>B28</f>
        <v>200</v>
      </c>
      <c r="P28" s="33">
        <v>1</v>
      </c>
      <c r="Q28" s="33">
        <v>100</v>
      </c>
      <c r="R28" s="6">
        <f>100%-W27*S27</f>
        <v>0.83350000000000002</v>
      </c>
      <c r="S28" s="7">
        <f t="shared" ref="S28:V29" si="12">R28</f>
        <v>0.83350000000000002</v>
      </c>
      <c r="T28" s="7">
        <f t="shared" si="12"/>
        <v>0.83350000000000002</v>
      </c>
      <c r="U28" s="7">
        <f t="shared" si="12"/>
        <v>0.83350000000000002</v>
      </c>
      <c r="V28" s="8">
        <f t="shared" si="12"/>
        <v>0.83350000000000002</v>
      </c>
      <c r="W28" s="214" t="s">
        <v>19</v>
      </c>
      <c r="X28" s="9" t="s">
        <v>4</v>
      </c>
      <c r="Y28" s="16">
        <f>(R28*R30+S28*S30+T28*T30+U28*U30+V28*V30)/Y30</f>
        <v>0.83350000000000013</v>
      </c>
    </row>
    <row r="29" spans="1:25" x14ac:dyDescent="0.25">
      <c r="A29" s="209"/>
      <c r="B29" s="42">
        <f>B24</f>
        <v>300</v>
      </c>
      <c r="C29" s="5" t="s">
        <v>5</v>
      </c>
      <c r="D29" s="5" t="s">
        <v>3</v>
      </c>
      <c r="E29" s="18">
        <f>MROUND(E28*D28,C30)</f>
        <v>90</v>
      </c>
      <c r="F29" s="18">
        <f t="shared" ref="F29" si="13">E29</f>
        <v>90</v>
      </c>
      <c r="G29" s="18">
        <f t="shared" si="11"/>
        <v>90</v>
      </c>
      <c r="H29" s="18">
        <f t="shared" si="11"/>
        <v>90</v>
      </c>
      <c r="I29" s="47">
        <f>H29</f>
        <v>90</v>
      </c>
      <c r="J29" s="212"/>
      <c r="K29" s="10" t="s">
        <v>6</v>
      </c>
      <c r="L29" s="17">
        <f>E29*E30+F29*F30+G29*G30+H29*H30+I29*I30</f>
        <v>900</v>
      </c>
      <c r="N29" s="209"/>
      <c r="O29" s="43">
        <f>B29</f>
        <v>300</v>
      </c>
      <c r="P29" s="5" t="s">
        <v>5</v>
      </c>
      <c r="Q29" s="5" t="s">
        <v>3</v>
      </c>
      <c r="R29" s="18">
        <f>MROUND(R28*Q28,P30)</f>
        <v>82.5</v>
      </c>
      <c r="S29" s="18">
        <f t="shared" si="12"/>
        <v>82.5</v>
      </c>
      <c r="T29" s="18">
        <f t="shared" si="12"/>
        <v>82.5</v>
      </c>
      <c r="U29" s="18">
        <f t="shared" si="12"/>
        <v>82.5</v>
      </c>
      <c r="V29" s="19">
        <f t="shared" si="12"/>
        <v>82.5</v>
      </c>
      <c r="W29" s="215"/>
      <c r="X29" s="10" t="s">
        <v>6</v>
      </c>
      <c r="Y29" s="17">
        <f>R29*R30+S29*S30+T29*T30+U29*U30+V29*V30</f>
        <v>1237.5</v>
      </c>
    </row>
    <row r="30" spans="1:25" ht="17.25" thickBot="1" x14ac:dyDescent="0.3">
      <c r="A30" s="210"/>
      <c r="B30" s="13"/>
      <c r="C30" s="12">
        <f>C20</f>
        <v>2.5</v>
      </c>
      <c r="D30" s="13" t="s">
        <v>7</v>
      </c>
      <c r="E30" s="54">
        <f xml:space="preserve"> IF(I27="하",0,IF(MROUND(J27/5,1)&lt;=D27,IF(MROUND(J27/5,1)&gt;=C27,MROUND(J27/5,1),C27),D27))</f>
        <v>2</v>
      </c>
      <c r="F30" s="55">
        <f>IF(MROUND((J27-E30)/4,1)&lt;=D27,IF(MROUND((J27-E30)/4,1)&gt;=C27,MROUND((J27-E30)/4,1),C27),D27)</f>
        <v>2</v>
      </c>
      <c r="G30" s="55">
        <f>IF(MROUND((J27-E30-F30)/3,1)&lt;=D27,IF(MROUND((J27-E30-F30)/3,1)&gt;=C27,MROUND((J27-E30-F30)/3,1),C27),D27)</f>
        <v>2</v>
      </c>
      <c r="H30" s="55">
        <f>IF(MROUND((J27-E30-F30-G30)/2,1)&lt;=D27,IF((J27-E30-F30-G30)/2&gt;=C27,MROUND((J27-E30-F30-G30)/2,1),J27-E30-F30-G30),D27)</f>
        <v>2</v>
      </c>
      <c r="I30" s="56">
        <f>IF((J27-(E30+F30+G30+H30))&gt;0,(J27-(E30+F30+G30+H30)),0)</f>
        <v>2</v>
      </c>
      <c r="J30" s="213"/>
      <c r="K30" s="10" t="s">
        <v>10</v>
      </c>
      <c r="L30" s="17">
        <f>SUM(E30:I30)</f>
        <v>10</v>
      </c>
      <c r="N30" s="210"/>
      <c r="O30" s="45" t="str">
        <f>IF(R28&gt;0.9,"ME"," ")</f>
        <v xml:space="preserve"> </v>
      </c>
      <c r="P30" s="12">
        <f>P20</f>
        <v>2.5</v>
      </c>
      <c r="Q30" s="13" t="s">
        <v>7</v>
      </c>
      <c r="R30" s="11">
        <f xml:space="preserve"> IF(V27="하",0,IF(MROUND(W27/5,1)&lt;=Q27,IF(MROUND(W27/5,1)&gt;=P27,MROUND(W27/5,1),P27),Q27))</f>
        <v>3</v>
      </c>
      <c r="S30" s="20">
        <f>IF(MROUND((W27-R30)/4,1)&lt;=Q27,IF(MROUND((W27-R30)/4,1)&gt;=P27,MROUND((W27-R30)/4,1),P27),Q27)</f>
        <v>3</v>
      </c>
      <c r="T30" s="20">
        <f>IF(MROUND((W27-R30-S30)/3,1)&lt;=Q27,IF(MROUND((W27-R30-S30)/3,1)&gt;=P27,MROUND((W27-R30-S30)/3,1),P27),Q27)</f>
        <v>3</v>
      </c>
      <c r="U30" s="20">
        <f>IF(MROUND((W27-R30-S30-T30)/2,1)&lt;=Q27,IF((W27-R30-S30-T30)/2&gt;=P27,MROUND((W27-R30-S30-T30)/2,1),W27-R30-S30-T30),Q27)</f>
        <v>3</v>
      </c>
      <c r="V30" s="21">
        <f>IF((W27-(R30+S30+T30+U30))&gt;0,(W27-(R30+S30+T30+U30)),0)</f>
        <v>3</v>
      </c>
      <c r="W30" s="215"/>
      <c r="X30" s="10" t="s">
        <v>10</v>
      </c>
      <c r="Y30" s="17">
        <f>SUM(R30:V30)</f>
        <v>15</v>
      </c>
    </row>
    <row r="31" spans="1:25" ht="30.75" thickTop="1" thickBot="1" x14ac:dyDescent="0.3">
      <c r="A31" s="223" t="str">
        <f>TEXT(I$7&amp;A33&amp;"/ main lifting DE"&amp;" "&amp;" / Supplement RE",0)</f>
        <v>상6/ main lifting DE  / Supplement RE</v>
      </c>
      <c r="B31" s="224"/>
      <c r="C31" s="224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61"/>
      <c r="Y31" s="62"/>
    </row>
    <row r="32" spans="1:25" ht="18" thickTop="1" thickBot="1" x14ac:dyDescent="0.3">
      <c r="A32" s="29">
        <f>L27+L35</f>
        <v>180</v>
      </c>
      <c r="C32" s="23">
        <f>IF(E33&gt;=90%,1,IF(E33&gt;=80%,2,IF(E33&gt;=70%,3,3)))</f>
        <v>3</v>
      </c>
      <c r="D32" s="23">
        <f>IF(E33&gt;=90%,2,IF(E33&gt;=80%,4,IF(E33&gt;=70%,6,6)))</f>
        <v>6</v>
      </c>
      <c r="E32" s="14" t="str">
        <f>E27</f>
        <v>개당</v>
      </c>
      <c r="F32" s="32">
        <f>IF(I32="하",1.39%,1.11%)</f>
        <v>1.11E-2</v>
      </c>
      <c r="G32" s="3" t="s">
        <v>2</v>
      </c>
      <c r="H32" s="4">
        <f>L34/(100%-F32*L35)/L35</f>
        <v>93.425605536332185</v>
      </c>
      <c r="I32" s="15" t="str">
        <f>I27</f>
        <v>상</v>
      </c>
      <c r="J32" s="53">
        <f>IF($I$7="하",$I$1,$E$1)</f>
        <v>25</v>
      </c>
      <c r="K32" s="35" t="s">
        <v>9</v>
      </c>
      <c r="L32" s="35">
        <f>(L27+L35+Y35)</f>
        <v>195</v>
      </c>
      <c r="M32" s="34">
        <f>ROUNDDOWN(L32/(B33/4),0)</f>
        <v>3</v>
      </c>
      <c r="N32" s="29">
        <f>IF(R28&lt;0.9,N27+Y35,Y35)</f>
        <v>90</v>
      </c>
      <c r="P32" s="23">
        <f>IF(R33&gt;=90%,1,IF(R33&gt;=80%,2,IF(R33&gt;=70%,3,3)))</f>
        <v>2</v>
      </c>
      <c r="Q32" s="23">
        <f>IF(R33&gt;=90%,2,IF(R33&gt;=80%,4,IF(R33&gt;=70%,6,6)))</f>
        <v>4</v>
      </c>
      <c r="R32" s="14" t="str">
        <f>R27</f>
        <v>개당</v>
      </c>
      <c r="S32" s="32">
        <f>IF(V32="하",1.39%,1.11%)</f>
        <v>1.11E-2</v>
      </c>
      <c r="T32" s="3" t="s">
        <v>2</v>
      </c>
      <c r="U32" s="4">
        <f>Y34/(100%-S32*Y35)/Y35</f>
        <v>137.97240551889621</v>
      </c>
      <c r="V32" s="15" t="str">
        <f>V27</f>
        <v>상</v>
      </c>
      <c r="W32" s="53">
        <f>IF($I$7="하",$J$1,$F$1)</f>
        <v>15</v>
      </c>
      <c r="X32" s="35" t="s">
        <v>9</v>
      </c>
      <c r="Y32" s="35">
        <f>Y27+Y35</f>
        <v>90</v>
      </c>
    </row>
    <row r="33" spans="1:25" x14ac:dyDescent="0.25">
      <c r="A33" s="208">
        <f>A28+1</f>
        <v>6</v>
      </c>
      <c r="B33" s="42">
        <f>B28</f>
        <v>200</v>
      </c>
      <c r="C33" s="48" t="str">
        <f>P23</f>
        <v>MP</v>
      </c>
      <c r="D33" s="49">
        <f>U22</f>
        <v>92.98140371925615</v>
      </c>
      <c r="E33" s="6">
        <f>IF(B35="ME",100%-ROUNDDOWN(L30*0.8,0)*F32,100%-J32*F32)</f>
        <v>0.72249999999999992</v>
      </c>
      <c r="F33" s="7">
        <f>E33</f>
        <v>0.72249999999999992</v>
      </c>
      <c r="G33" s="7">
        <f t="shared" ref="G33:H34" si="14">F33</f>
        <v>0.72249999999999992</v>
      </c>
      <c r="H33" s="7">
        <f t="shared" si="14"/>
        <v>0.72249999999999992</v>
      </c>
      <c r="I33" s="46">
        <f>H33</f>
        <v>0.72249999999999992</v>
      </c>
      <c r="J33" s="225" t="s">
        <v>20</v>
      </c>
      <c r="K33" s="9" t="s">
        <v>4</v>
      </c>
      <c r="L33" s="16">
        <f>(E33*E35+F33*F35+G33*G35+H33*H35+I33*I35)/L35</f>
        <v>0.72250000000000003</v>
      </c>
      <c r="N33" s="208">
        <f>N28+1</f>
        <v>6</v>
      </c>
      <c r="O33" s="43">
        <f>B33</f>
        <v>200</v>
      </c>
      <c r="P33" s="50" t="str">
        <f>C23</f>
        <v>WD</v>
      </c>
      <c r="Q33" s="51">
        <f>D23</f>
        <v>137.97240551889621</v>
      </c>
      <c r="R33" s="6">
        <f>100%-W32*S32</f>
        <v>0.83350000000000002</v>
      </c>
      <c r="S33" s="7">
        <f t="shared" ref="S33:V34" si="15">R33</f>
        <v>0.83350000000000002</v>
      </c>
      <c r="T33" s="7">
        <f t="shared" si="15"/>
        <v>0.83350000000000002</v>
      </c>
      <c r="U33" s="7">
        <f t="shared" si="15"/>
        <v>0.83350000000000002</v>
      </c>
      <c r="V33" s="8">
        <f t="shared" si="15"/>
        <v>0.83350000000000002</v>
      </c>
      <c r="W33" s="214" t="s">
        <v>18</v>
      </c>
      <c r="X33" s="9" t="s">
        <v>4</v>
      </c>
      <c r="Y33" s="16">
        <f>(R33*R35+S33*S35+T33*T35+U33*U35+V33*V35)/Y35</f>
        <v>0.83350000000000013</v>
      </c>
    </row>
    <row r="34" spans="1:25" x14ac:dyDescent="0.25">
      <c r="A34" s="209"/>
      <c r="B34" s="42">
        <f>B29</f>
        <v>300</v>
      </c>
      <c r="C34" s="5" t="s">
        <v>5</v>
      </c>
      <c r="D34" s="5" t="s">
        <v>3</v>
      </c>
      <c r="E34" s="18">
        <f>MROUND(E33*D33,C35)</f>
        <v>67.5</v>
      </c>
      <c r="F34" s="18">
        <f t="shared" ref="F34" si="16">E34</f>
        <v>67.5</v>
      </c>
      <c r="G34" s="18">
        <f t="shared" si="14"/>
        <v>67.5</v>
      </c>
      <c r="H34" s="18">
        <f t="shared" si="14"/>
        <v>67.5</v>
      </c>
      <c r="I34" s="47">
        <f>H34</f>
        <v>67.5</v>
      </c>
      <c r="J34" s="226"/>
      <c r="K34" s="10" t="s">
        <v>6</v>
      </c>
      <c r="L34" s="17">
        <f>E34*E35+F34*F35+G34*G35+H34*H35+I34*I35</f>
        <v>1687.5</v>
      </c>
      <c r="N34" s="209"/>
      <c r="O34" s="43">
        <f>B34</f>
        <v>300</v>
      </c>
      <c r="P34" s="5" t="s">
        <v>5</v>
      </c>
      <c r="Q34" s="5" t="s">
        <v>3</v>
      </c>
      <c r="R34" s="18">
        <f>MROUND(R33*Q33,P35)</f>
        <v>115</v>
      </c>
      <c r="S34" s="18">
        <f t="shared" si="15"/>
        <v>115</v>
      </c>
      <c r="T34" s="18">
        <f t="shared" si="15"/>
        <v>115</v>
      </c>
      <c r="U34" s="18">
        <f t="shared" si="15"/>
        <v>115</v>
      </c>
      <c r="V34" s="19">
        <f t="shared" si="15"/>
        <v>115</v>
      </c>
      <c r="W34" s="215"/>
      <c r="X34" s="10" t="s">
        <v>6</v>
      </c>
      <c r="Y34" s="17">
        <f>R34*R35+S34*S35+T34*T35+U34*U35+V34*V35</f>
        <v>1725</v>
      </c>
    </row>
    <row r="35" spans="1:25" ht="17.25" thickBot="1" x14ac:dyDescent="0.3">
      <c r="A35" s="210"/>
      <c r="B35" s="13"/>
      <c r="C35" s="12">
        <f>P25</f>
        <v>2.5</v>
      </c>
      <c r="D35" s="13" t="s">
        <v>7</v>
      </c>
      <c r="E35" s="54">
        <f xml:space="preserve"> IF(I32="하",0,IF(MROUND(J32/5,1)&lt;=D32,IF(MROUND(J32/5,1)&gt;=C32,MROUND(J32/5,1),C32),D32))</f>
        <v>5</v>
      </c>
      <c r="F35" s="55">
        <f>IF(MROUND((J32-E35)/4,1)&lt;=D32,IF(MROUND((J32-E35)/4,1)&gt;=C32,MROUND((J32-E35)/4,1),C32),D32)</f>
        <v>5</v>
      </c>
      <c r="G35" s="55">
        <f>IF(MROUND((J32-E35-F35)/3,1)&lt;=D32,IF(MROUND((J32-E35-F35)/3,1)&gt;=C32,MROUND((J32-E35-F35)/3,1),C32),D32)</f>
        <v>5</v>
      </c>
      <c r="H35" s="55">
        <f>IF(MROUND((J32-E35-F35-G35)/2,1)&lt;=D32,IF((J32-E35-F35-G35)/2&gt;=C32,MROUND((J32-E35-F35-G35)/2,1),J32-E35-F35-G35),D32)</f>
        <v>5</v>
      </c>
      <c r="I35" s="56">
        <f>IF((J32-(E35+F35+G35+H35))&gt;0,(J32-(E35+F35+G35+H35)),0)</f>
        <v>5</v>
      </c>
      <c r="J35" s="227"/>
      <c r="K35" s="10" t="s">
        <v>10</v>
      </c>
      <c r="L35" s="17">
        <f>SUM(E35:I35)</f>
        <v>25</v>
      </c>
      <c r="N35" s="210"/>
      <c r="O35" s="45" t="str">
        <f>IF(R33&gt;0.9,"ME"," ")</f>
        <v xml:space="preserve"> </v>
      </c>
      <c r="P35" s="12">
        <f>C25</f>
        <v>2.5</v>
      </c>
      <c r="Q35" s="13" t="s">
        <v>7</v>
      </c>
      <c r="R35" s="11">
        <f xml:space="preserve"> IF(V32="하",0,IF(MROUND(W32/5,1)&lt;=Q32,IF(MROUND(W32/5,1)&gt;=P32,MROUND(W32/5,1),P32),Q32))</f>
        <v>3</v>
      </c>
      <c r="S35" s="20">
        <f>IF(MROUND((W32-R35)/4,1)&lt;=Q32,IF(MROUND((W32-R35)/4,1)&gt;=P32,MROUND((W32-R35)/4,1),P32),Q32)</f>
        <v>3</v>
      </c>
      <c r="T35" s="20">
        <f>IF(MROUND((W32-R35-S35)/3,1)&lt;=Q32,IF(MROUND((W32-R35-S35)/3,1)&gt;=P32,MROUND((W32-R35-S35)/3,1),P32),Q32)</f>
        <v>3</v>
      </c>
      <c r="U35" s="20">
        <f>IF(MROUND((W32-R35-S35-T35)/2,1)&lt;=Q32,IF((W32-R35-S35-T35)/2&gt;=P32,MROUND((W32-R35-S35-T35)/2,1),W32-R35-S35-T35),Q32)</f>
        <v>3</v>
      </c>
      <c r="V35" s="21">
        <f>IF((W32-(R35+S35+T35+U35))&gt;0,(W32-(R35+S35+T35+U35)),0)</f>
        <v>3</v>
      </c>
      <c r="W35" s="215"/>
      <c r="X35" s="10" t="s">
        <v>10</v>
      </c>
      <c r="Y35" s="17">
        <f>SUM(R35:V35)</f>
        <v>15</v>
      </c>
    </row>
    <row r="36" spans="1:25" ht="30.75" thickTop="1" thickBot="1" x14ac:dyDescent="0.3">
      <c r="A36" s="223" t="str">
        <f>TEXT(I$7&amp;A38&amp;"/ ME &amp; back off set"&amp;" "&amp;" / Supplement ",0)</f>
        <v xml:space="preserve">상7/ ME &amp; back off set  / Supplement </v>
      </c>
      <c r="B36" s="224"/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61"/>
      <c r="Y36" s="62"/>
    </row>
    <row r="37" spans="1:25" ht="18" thickTop="1" thickBot="1" x14ac:dyDescent="0.3">
      <c r="A37" s="29">
        <f>L32+L40</f>
        <v>205</v>
      </c>
      <c r="C37" s="23">
        <f>IF(E38&gt;=90%,1,IF(E38&gt;=80%,2,IF(E38&gt;=70%,3,3)))</f>
        <v>2</v>
      </c>
      <c r="D37" s="23">
        <f>IF(E38&gt;=90%,2,IF(E38&gt;=80%,4,IF(E38&gt;=70%,6,6)))</f>
        <v>4</v>
      </c>
      <c r="E37" s="14" t="str">
        <f>E32</f>
        <v>개당</v>
      </c>
      <c r="F37" s="32">
        <f>IF(I37="하",1.39%,1.11%)</f>
        <v>1.11E-2</v>
      </c>
      <c r="G37" s="3" t="s">
        <v>2</v>
      </c>
      <c r="H37" s="4">
        <f>L39/(100%-F37*L40)/L40</f>
        <v>101.23734533183352</v>
      </c>
      <c r="I37" s="15" t="str">
        <f>I32</f>
        <v>상</v>
      </c>
      <c r="J37" s="53">
        <f>IF($I$7="하",$H$1,$D$1)</f>
        <v>10</v>
      </c>
      <c r="K37" s="35" t="s">
        <v>9</v>
      </c>
      <c r="L37" s="35">
        <f>(L32+L40+Y40)</f>
        <v>220</v>
      </c>
      <c r="M37" s="34">
        <f>ROUNDDOWN(L37/(B38/4),0)</f>
        <v>4</v>
      </c>
      <c r="N37" s="29">
        <f>IF(R33&lt;0.9,N32+Y40,Y40)</f>
        <v>105</v>
      </c>
      <c r="P37" s="23">
        <f>IF(R38&gt;=90%,1,IF(R38&gt;=80%,2,IF(R38&gt;=70%,3,3)))</f>
        <v>2</v>
      </c>
      <c r="Q37" s="23">
        <f>IF(R38&gt;=90%,2,IF(R38&gt;=80%,4,IF(R38&gt;=70%,6,6)))</f>
        <v>4</v>
      </c>
      <c r="R37" s="14" t="str">
        <f>R32</f>
        <v>개당</v>
      </c>
      <c r="S37" s="32">
        <f>IF(V37="하",1.39%,1.11%)</f>
        <v>1.11E-2</v>
      </c>
      <c r="T37" s="3" t="s">
        <v>2</v>
      </c>
      <c r="U37" s="4">
        <f>Y39/(100%-S37*Y40)/Y40</f>
        <v>98.980203959208154</v>
      </c>
      <c r="V37" s="15" t="str">
        <f>V32</f>
        <v>상</v>
      </c>
      <c r="W37" s="53">
        <f>IF($I$7="하",$J$1,$F$1)</f>
        <v>15</v>
      </c>
      <c r="X37" s="35" t="s">
        <v>9</v>
      </c>
      <c r="Y37" s="35">
        <f>Y32+Y40</f>
        <v>105</v>
      </c>
    </row>
    <row r="38" spans="1:25" x14ac:dyDescent="0.25">
      <c r="A38" s="208">
        <f>A33+1</f>
        <v>7</v>
      </c>
      <c r="B38" s="42">
        <f>B33</f>
        <v>200</v>
      </c>
      <c r="C38" s="38">
        <v>1</v>
      </c>
      <c r="D38" s="38">
        <v>100</v>
      </c>
      <c r="E38" s="6">
        <f>IF(B40="ME",100%-ROUNDDOWN(L35*0.8,0)*F37,100%-J37*F37)</f>
        <v>0.88900000000000001</v>
      </c>
      <c r="F38" s="7">
        <f>E38</f>
        <v>0.88900000000000001</v>
      </c>
      <c r="G38" s="7">
        <f t="shared" ref="G38:H39" si="17">F38</f>
        <v>0.88900000000000001</v>
      </c>
      <c r="H38" s="7">
        <f t="shared" si="17"/>
        <v>0.88900000000000001</v>
      </c>
      <c r="I38" s="46">
        <f>H38</f>
        <v>0.88900000000000001</v>
      </c>
      <c r="J38" s="211" t="str">
        <f>J28</f>
        <v>ME</v>
      </c>
      <c r="K38" s="9" t="s">
        <v>4</v>
      </c>
      <c r="L38" s="16">
        <f>(E38*E40+F38*F40+G38*G40+H38*H40+I38*I40)/L40</f>
        <v>0.88900000000000001</v>
      </c>
      <c r="N38" s="208">
        <f>N33+1</f>
        <v>7</v>
      </c>
      <c r="O38" s="43">
        <f>B38</f>
        <v>200</v>
      </c>
      <c r="P38" s="33">
        <v>1</v>
      </c>
      <c r="Q38" s="33">
        <v>100</v>
      </c>
      <c r="R38" s="6">
        <f>100%-W37*S37</f>
        <v>0.83350000000000002</v>
      </c>
      <c r="S38" s="7">
        <f t="shared" ref="S38:V39" si="18">R38</f>
        <v>0.83350000000000002</v>
      </c>
      <c r="T38" s="7">
        <f t="shared" si="18"/>
        <v>0.83350000000000002</v>
      </c>
      <c r="U38" s="7">
        <f t="shared" si="18"/>
        <v>0.83350000000000002</v>
      </c>
      <c r="V38" s="8">
        <f t="shared" si="18"/>
        <v>0.83350000000000002</v>
      </c>
      <c r="W38" s="214" t="s">
        <v>19</v>
      </c>
      <c r="X38" s="9" t="s">
        <v>4</v>
      </c>
      <c r="Y38" s="16">
        <f>(R38*R40+S38*S40+T38*T40+U38*U40+V38*V40)/Y40</f>
        <v>0.83350000000000013</v>
      </c>
    </row>
    <row r="39" spans="1:25" x14ac:dyDescent="0.25">
      <c r="A39" s="209"/>
      <c r="B39" s="42">
        <f>B34</f>
        <v>300</v>
      </c>
      <c r="C39" s="5" t="s">
        <v>5</v>
      </c>
      <c r="D39" s="5" t="s">
        <v>3</v>
      </c>
      <c r="E39" s="18">
        <f>MROUND(E38*D38,C40)</f>
        <v>90</v>
      </c>
      <c r="F39" s="18">
        <f t="shared" ref="F39" si="19">E39</f>
        <v>90</v>
      </c>
      <c r="G39" s="18">
        <f t="shared" si="17"/>
        <v>90</v>
      </c>
      <c r="H39" s="18">
        <f t="shared" si="17"/>
        <v>90</v>
      </c>
      <c r="I39" s="47">
        <f>H39</f>
        <v>90</v>
      </c>
      <c r="J39" s="212"/>
      <c r="K39" s="10" t="s">
        <v>6</v>
      </c>
      <c r="L39" s="17">
        <f>E39*E40+F39*F40+G39*G40+H39*H40+I39*I40</f>
        <v>900</v>
      </c>
      <c r="N39" s="209"/>
      <c r="O39" s="43">
        <f>B39</f>
        <v>300</v>
      </c>
      <c r="P39" s="5" t="s">
        <v>5</v>
      </c>
      <c r="Q39" s="5" t="s">
        <v>3</v>
      </c>
      <c r="R39" s="18">
        <f>MROUND(R38*Q38,P40)</f>
        <v>82.5</v>
      </c>
      <c r="S39" s="18">
        <f t="shared" si="18"/>
        <v>82.5</v>
      </c>
      <c r="T39" s="18">
        <f t="shared" si="18"/>
        <v>82.5</v>
      </c>
      <c r="U39" s="18">
        <f t="shared" si="18"/>
        <v>82.5</v>
      </c>
      <c r="V39" s="19">
        <f t="shared" si="18"/>
        <v>82.5</v>
      </c>
      <c r="W39" s="215"/>
      <c r="X39" s="10" t="s">
        <v>6</v>
      </c>
      <c r="Y39" s="17">
        <f>R39*R40+S39*S40+T39*T40+U39*U40+V39*V40</f>
        <v>1237.5</v>
      </c>
    </row>
    <row r="40" spans="1:25" ht="17.25" thickBot="1" x14ac:dyDescent="0.3">
      <c r="A40" s="210"/>
      <c r="B40" s="13"/>
      <c r="C40" s="12">
        <f>C30</f>
        <v>2.5</v>
      </c>
      <c r="D40" s="13" t="s">
        <v>7</v>
      </c>
      <c r="E40" s="54">
        <f xml:space="preserve"> IF(I37="하",0,IF(MROUND(J37/5,1)&lt;=D37,IF(MROUND(J37/5,1)&gt;=C37,MROUND(J37/5,1),C37),D37))</f>
        <v>2</v>
      </c>
      <c r="F40" s="55">
        <f>IF(MROUND((J37-E40)/4,1)&lt;=D37,IF(MROUND((J37-E40)/4,1)&gt;=C37,MROUND((J37-E40)/4,1),C37),D37)</f>
        <v>2</v>
      </c>
      <c r="G40" s="55">
        <f>IF(MROUND((J37-E40-F40)/3,1)&lt;=D37,IF(MROUND((J37-E40-F40)/3,1)&gt;=C37,MROUND((J37-E40-F40)/3,1),C37),D37)</f>
        <v>2</v>
      </c>
      <c r="H40" s="55">
        <f>IF(MROUND((J37-E40-F40-G40)/2,1)&lt;=D37,IF((J37-E40-F40-G40)/2&gt;=C37,MROUND((J37-E40-F40-G40)/2,1),J37-E40-F40-G40),D37)</f>
        <v>2</v>
      </c>
      <c r="I40" s="56">
        <f>IF((J37-(E40+F40+G40+H40))&gt;0,(J37-(E40+F40+G40+H40)),0)</f>
        <v>2</v>
      </c>
      <c r="J40" s="213"/>
      <c r="K40" s="10" t="s">
        <v>10</v>
      </c>
      <c r="L40" s="17">
        <f>SUM(E40:I40)</f>
        <v>10</v>
      </c>
      <c r="N40" s="210"/>
      <c r="O40" s="45" t="str">
        <f>IF(R38&gt;0.9,"ME"," ")</f>
        <v xml:space="preserve"> </v>
      </c>
      <c r="P40" s="12">
        <f>P30</f>
        <v>2.5</v>
      </c>
      <c r="Q40" s="13" t="s">
        <v>7</v>
      </c>
      <c r="R40" s="11">
        <f xml:space="preserve"> IF(V37="하",0,IF(MROUND(W37/5,1)&lt;=Q37,IF(MROUND(W37/5,1)&gt;=P37,MROUND(W37/5,1),P37),Q37))</f>
        <v>3</v>
      </c>
      <c r="S40" s="20">
        <f>IF(MROUND((W37-R40)/4,1)&lt;=Q37,IF(MROUND((W37-R40)/4,1)&gt;=P37,MROUND((W37-R40)/4,1),P37),Q37)</f>
        <v>3</v>
      </c>
      <c r="T40" s="20">
        <f>IF(MROUND((W37-R40-S40)/3,1)&lt;=Q37,IF(MROUND((W37-R40-S40)/3,1)&gt;=P37,MROUND((W37-R40-S40)/3,1),P37),Q37)</f>
        <v>3</v>
      </c>
      <c r="U40" s="20">
        <f>IF(MROUND((W37-R40-S40-T40)/2,1)&lt;=Q37,IF((W37-R40-S40-T40)/2&gt;=P37,MROUND((W37-R40-S40-T40)/2,1),W37-R40-S40-T40),Q37)</f>
        <v>3</v>
      </c>
      <c r="V40" s="21">
        <f>IF((W37-(R40+S40+T40+U40))&gt;0,(W37-(R40+S40+T40+U40)),0)</f>
        <v>3</v>
      </c>
      <c r="W40" s="215"/>
      <c r="X40" s="10" t="s">
        <v>10</v>
      </c>
      <c r="Y40" s="17">
        <f>SUM(R40:V40)</f>
        <v>15</v>
      </c>
    </row>
    <row r="41" spans="1:25" ht="30.75" thickTop="1" thickBot="1" x14ac:dyDescent="0.3">
      <c r="A41" s="223" t="str">
        <f>TEXT(I$7&amp;A43&amp;"/ main lifting DE"&amp;" "&amp;" / Supplement RE",0)</f>
        <v>상8/ main lifting DE  / Supplement RE</v>
      </c>
      <c r="B41" s="224"/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61"/>
      <c r="Y41" s="62"/>
    </row>
    <row r="42" spans="1:25" ht="18" thickTop="1" thickBot="1" x14ac:dyDescent="0.3">
      <c r="A42" s="29">
        <f>L37+L45</f>
        <v>245</v>
      </c>
      <c r="C42" s="23">
        <f>IF(E43&gt;=90%,1,IF(E43&gt;=80%,2,IF(E43&gt;=70%,3,3)))</f>
        <v>3</v>
      </c>
      <c r="D42" s="23">
        <f>IF(E43&gt;=90%,2,IF(E43&gt;=80%,4,IF(E43&gt;=70%,6,6)))</f>
        <v>6</v>
      </c>
      <c r="E42" s="14" t="str">
        <f>E37</f>
        <v>개당</v>
      </c>
      <c r="F42" s="32">
        <f>IF(I42="하",1.39%,1.11%)</f>
        <v>1.11E-2</v>
      </c>
      <c r="G42" s="3" t="s">
        <v>2</v>
      </c>
      <c r="H42" s="4">
        <f>L44/(100%-F42*L45)/L45</f>
        <v>138.40830449826993</v>
      </c>
      <c r="I42" s="15" t="str">
        <f>I37</f>
        <v>상</v>
      </c>
      <c r="J42" s="53">
        <f>IF($I$7="하",$I$1,$E$1)</f>
        <v>25</v>
      </c>
      <c r="K42" s="35" t="s">
        <v>9</v>
      </c>
      <c r="L42" s="35">
        <f>(L37+L45+Y45)</f>
        <v>260</v>
      </c>
      <c r="M42" s="34">
        <f>ROUNDDOWN(L42/(B43/4),0)</f>
        <v>5</v>
      </c>
      <c r="N42" s="29">
        <f>IF(R38&lt;0.9,N37+Y45,Y45)</f>
        <v>120</v>
      </c>
      <c r="P42" s="23">
        <f>IF(R43&gt;=90%,1,IF(R43&gt;=80%,2,IF(R43&gt;=70%,3,3)))</f>
        <v>2</v>
      </c>
      <c r="Q42" s="23">
        <f>IF(R43&gt;=90%,2,IF(R43&gt;=80%,4,IF(R43&gt;=70%,6,6)))</f>
        <v>4</v>
      </c>
      <c r="R42" s="14" t="str">
        <f>R37</f>
        <v>개당</v>
      </c>
      <c r="S42" s="32">
        <f>IF(V42="하",1.39%,1.11%)</f>
        <v>1.11E-2</v>
      </c>
      <c r="T42" s="3" t="s">
        <v>2</v>
      </c>
      <c r="U42" s="4">
        <f>Y44/(100%-S42*Y45)/Y45</f>
        <v>92.98140371925615</v>
      </c>
      <c r="V42" s="15" t="str">
        <f>V37</f>
        <v>상</v>
      </c>
      <c r="W42" s="53">
        <f>IF($I$7="하",$J$1,$F$1)</f>
        <v>15</v>
      </c>
      <c r="X42" s="35" t="s">
        <v>9</v>
      </c>
      <c r="Y42" s="35">
        <f>Y37+Y45</f>
        <v>120</v>
      </c>
    </row>
    <row r="43" spans="1:25" x14ac:dyDescent="0.25">
      <c r="A43" s="208">
        <f>A38+1</f>
        <v>8</v>
      </c>
      <c r="B43" s="42">
        <f>B38</f>
        <v>200</v>
      </c>
      <c r="C43" s="48" t="str">
        <f>P33</f>
        <v>WD</v>
      </c>
      <c r="D43" s="49">
        <f>U32</f>
        <v>137.97240551889621</v>
      </c>
      <c r="E43" s="6">
        <f>IF(B45="ME",100%-ROUNDDOWN(L40*0.8,0)*F42,100%-J42*F42)</f>
        <v>0.72249999999999992</v>
      </c>
      <c r="F43" s="7">
        <f>E43</f>
        <v>0.72249999999999992</v>
      </c>
      <c r="G43" s="7">
        <f t="shared" ref="G43:H44" si="20">F43</f>
        <v>0.72249999999999992</v>
      </c>
      <c r="H43" s="7">
        <f t="shared" si="20"/>
        <v>0.72249999999999992</v>
      </c>
      <c r="I43" s="46">
        <f>H43</f>
        <v>0.72249999999999992</v>
      </c>
      <c r="J43" s="225" t="s">
        <v>20</v>
      </c>
      <c r="K43" s="9" t="s">
        <v>4</v>
      </c>
      <c r="L43" s="16">
        <f>(E43*E45+F43*F45+G43*G45+H43*H45+I43*I45)/L45</f>
        <v>0.72250000000000003</v>
      </c>
      <c r="N43" s="208">
        <f>N38+1</f>
        <v>8</v>
      </c>
      <c r="O43" s="43">
        <f>B43</f>
        <v>200</v>
      </c>
      <c r="P43" s="50" t="str">
        <f>C33</f>
        <v>MP</v>
      </c>
      <c r="Q43" s="51">
        <f>D33</f>
        <v>92.98140371925615</v>
      </c>
      <c r="R43" s="6">
        <f>100%-W42*S42</f>
        <v>0.83350000000000002</v>
      </c>
      <c r="S43" s="7">
        <f t="shared" ref="S43:V44" si="21">R43</f>
        <v>0.83350000000000002</v>
      </c>
      <c r="T43" s="7">
        <f t="shared" si="21"/>
        <v>0.83350000000000002</v>
      </c>
      <c r="U43" s="7">
        <f t="shared" si="21"/>
        <v>0.83350000000000002</v>
      </c>
      <c r="V43" s="8">
        <f t="shared" si="21"/>
        <v>0.83350000000000002</v>
      </c>
      <c r="W43" s="214" t="s">
        <v>18</v>
      </c>
      <c r="X43" s="9" t="s">
        <v>4</v>
      </c>
      <c r="Y43" s="16">
        <f>(R43*R45+S43*S45+T43*T45+U43*U45+V43*V45)/Y45</f>
        <v>0.83350000000000013</v>
      </c>
    </row>
    <row r="44" spans="1:25" x14ac:dyDescent="0.25">
      <c r="A44" s="209"/>
      <c r="B44" s="42">
        <f>B39</f>
        <v>300</v>
      </c>
      <c r="C44" s="5" t="s">
        <v>5</v>
      </c>
      <c r="D44" s="5" t="s">
        <v>3</v>
      </c>
      <c r="E44" s="18">
        <f>MROUND(E43*D43,C45)</f>
        <v>100</v>
      </c>
      <c r="F44" s="18">
        <f t="shared" ref="F44" si="22">E44</f>
        <v>100</v>
      </c>
      <c r="G44" s="18">
        <f t="shared" si="20"/>
        <v>100</v>
      </c>
      <c r="H44" s="18">
        <f t="shared" si="20"/>
        <v>100</v>
      </c>
      <c r="I44" s="47">
        <f>H44</f>
        <v>100</v>
      </c>
      <c r="J44" s="226"/>
      <c r="K44" s="10" t="s">
        <v>6</v>
      </c>
      <c r="L44" s="17">
        <f>E44*E45+F44*F45+G44*G45+H44*H45+I44*I45</f>
        <v>2500</v>
      </c>
      <c r="N44" s="209"/>
      <c r="O44" s="43">
        <f>B44</f>
        <v>300</v>
      </c>
      <c r="P44" s="5" t="s">
        <v>5</v>
      </c>
      <c r="Q44" s="5" t="s">
        <v>3</v>
      </c>
      <c r="R44" s="18">
        <f>MROUND(R43*Q43,P45)</f>
        <v>77.5</v>
      </c>
      <c r="S44" s="18">
        <f t="shared" si="21"/>
        <v>77.5</v>
      </c>
      <c r="T44" s="18">
        <f t="shared" si="21"/>
        <v>77.5</v>
      </c>
      <c r="U44" s="18">
        <f t="shared" si="21"/>
        <v>77.5</v>
      </c>
      <c r="V44" s="19">
        <f t="shared" si="21"/>
        <v>77.5</v>
      </c>
      <c r="W44" s="215"/>
      <c r="X44" s="10" t="s">
        <v>6</v>
      </c>
      <c r="Y44" s="17">
        <f>R44*R45+S44*S45+T44*T45+U44*U45+V44*V45</f>
        <v>1162.5</v>
      </c>
    </row>
    <row r="45" spans="1:25" ht="17.25" thickBot="1" x14ac:dyDescent="0.3">
      <c r="A45" s="210"/>
      <c r="B45" s="13"/>
      <c r="C45" s="12">
        <f>P35</f>
        <v>2.5</v>
      </c>
      <c r="D45" s="13" t="s">
        <v>7</v>
      </c>
      <c r="E45" s="54">
        <f xml:space="preserve"> IF(I42="하",0,IF(MROUND(J42/5,1)&lt;=D42,IF(MROUND(J42/5,1)&gt;=C42,MROUND(J42/5,1),C42),D42))</f>
        <v>5</v>
      </c>
      <c r="F45" s="55">
        <f>IF(MROUND((J42-E45)/4,1)&lt;=D42,IF(MROUND((J42-E45)/4,1)&gt;=C42,MROUND((J42-E45)/4,1),C42),D42)</f>
        <v>5</v>
      </c>
      <c r="G45" s="55">
        <f>IF(MROUND((J42-E45-F45)/3,1)&lt;=D42,IF(MROUND((J42-E45-F45)/3,1)&gt;=C42,MROUND((J42-E45-F45)/3,1),C42),D42)</f>
        <v>5</v>
      </c>
      <c r="H45" s="55">
        <f>IF(MROUND((J42-E45-F45-G45)/2,1)&lt;=D42,IF((J42-E45-F45-G45)/2&gt;=C42,MROUND((J42-E45-F45-G45)/2,1),J42-E45-F45-G45),D42)</f>
        <v>5</v>
      </c>
      <c r="I45" s="56">
        <f>IF((J42-(E45+F45+G45+H45))&gt;0,(J42-(E45+F45+G45+H45)),0)</f>
        <v>5</v>
      </c>
      <c r="J45" s="227"/>
      <c r="K45" s="10" t="s">
        <v>10</v>
      </c>
      <c r="L45" s="17">
        <f>SUM(E45:I45)</f>
        <v>25</v>
      </c>
      <c r="N45" s="210"/>
      <c r="O45" s="45" t="str">
        <f>IF(R43&gt;0.9,"ME"," ")</f>
        <v xml:space="preserve"> </v>
      </c>
      <c r="P45" s="12">
        <f>C35</f>
        <v>2.5</v>
      </c>
      <c r="Q45" s="13" t="s">
        <v>7</v>
      </c>
      <c r="R45" s="11">
        <f xml:space="preserve"> IF(V42="하",0,IF(MROUND(W42/5,1)&lt;=Q42,IF(MROUND(W42/5,1)&gt;=P42,MROUND(W42/5,1),P42),Q42))</f>
        <v>3</v>
      </c>
      <c r="S45" s="20">
        <f>IF(MROUND((W42-R45)/4,1)&lt;=Q42,IF(MROUND((W42-R45)/4,1)&gt;=P42,MROUND((W42-R45)/4,1),P42),Q42)</f>
        <v>3</v>
      </c>
      <c r="T45" s="20">
        <f>IF(MROUND((W42-R45-S45)/3,1)&lt;=Q42,IF(MROUND((W42-R45-S45)/3,1)&gt;=P42,MROUND((W42-R45-S45)/3,1),P42),Q42)</f>
        <v>3</v>
      </c>
      <c r="U45" s="20">
        <f>IF(MROUND((W42-R45-S45-T45)/2,1)&lt;=Q42,IF((W42-R45-S45-T45)/2&gt;=P42,MROUND((W42-R45-S45-T45)/2,1),W42-R45-S45-T45),Q42)</f>
        <v>3</v>
      </c>
      <c r="V45" s="21">
        <f>IF((W42-(R45+S45+T45+U45))&gt;0,(W42-(R45+S45+T45+U45)),0)</f>
        <v>3</v>
      </c>
      <c r="W45" s="215"/>
      <c r="X45" s="10" t="s">
        <v>10</v>
      </c>
      <c r="Y45" s="17">
        <f>SUM(R45:V45)</f>
        <v>15</v>
      </c>
    </row>
    <row r="46" spans="1:25" ht="30.75" thickTop="1" thickBot="1" x14ac:dyDescent="0.3">
      <c r="A46" s="223" t="str">
        <f>TEXT(I$7&amp;A48&amp;"/ ME &amp; back off set"&amp;" "&amp;" / Supplement ",0)</f>
        <v xml:space="preserve">상9/ ME &amp; back off set  / Supplement </v>
      </c>
      <c r="B46" s="224"/>
      <c r="C46" s="224"/>
      <c r="D46" s="224"/>
      <c r="E46" s="224"/>
      <c r="F46" s="224"/>
      <c r="G46" s="224"/>
      <c r="H46" s="224"/>
      <c r="I46" s="224"/>
      <c r="J46" s="224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61"/>
      <c r="Y46" s="62"/>
    </row>
    <row r="47" spans="1:25" ht="18" thickTop="1" thickBot="1" x14ac:dyDescent="0.3">
      <c r="A47" s="29">
        <f>L42+L50</f>
        <v>270</v>
      </c>
      <c r="C47" s="23">
        <f>IF(E48&gt;=90%,1,IF(E48&gt;=80%,2,IF(E48&gt;=70%,3,3)))</f>
        <v>2</v>
      </c>
      <c r="D47" s="23">
        <f>IF(E48&gt;=90%,2,IF(E48&gt;=80%,4,IF(E48&gt;=70%,6,6)))</f>
        <v>4</v>
      </c>
      <c r="E47" s="14" t="str">
        <f>E42</f>
        <v>개당</v>
      </c>
      <c r="F47" s="32">
        <f>IF(I47="하",1.39%,1.11%)</f>
        <v>1.11E-2</v>
      </c>
      <c r="G47" s="3" t="s">
        <v>2</v>
      </c>
      <c r="H47" s="4">
        <f>L49/(100%-F47*L50)/L50</f>
        <v>101.23734533183352</v>
      </c>
      <c r="I47" s="15" t="str">
        <f>I42</f>
        <v>상</v>
      </c>
      <c r="J47" s="53">
        <f>IF($I$7="하",$H$1,$D$1)</f>
        <v>10</v>
      </c>
      <c r="K47" s="35" t="s">
        <v>9</v>
      </c>
      <c r="L47" s="35">
        <f>(L42+L50+Y50)</f>
        <v>285</v>
      </c>
      <c r="M47" s="34">
        <f>ROUNDDOWN(L47/(B48/4),0)</f>
        <v>5</v>
      </c>
      <c r="N47" s="29">
        <f>IF(R43&lt;0.9,N42+Y50,Y50)</f>
        <v>135</v>
      </c>
      <c r="P47" s="23">
        <f>IF(R48&gt;=90%,1,IF(R48&gt;=80%,2,IF(R48&gt;=70%,3,3)))</f>
        <v>2</v>
      </c>
      <c r="Q47" s="23">
        <f>IF(R48&gt;=90%,2,IF(R48&gt;=80%,4,IF(R48&gt;=70%,6,6)))</f>
        <v>4</v>
      </c>
      <c r="R47" s="14" t="str">
        <f>R42</f>
        <v>개당</v>
      </c>
      <c r="S47" s="32">
        <f>IF(V47="하",1.39%,1.11%)</f>
        <v>1.11E-2</v>
      </c>
      <c r="T47" s="3" t="s">
        <v>2</v>
      </c>
      <c r="U47" s="4">
        <f>Y49/(100%-S47*Y50)/Y50</f>
        <v>98.980203959208154</v>
      </c>
      <c r="V47" s="15" t="str">
        <f>V42</f>
        <v>상</v>
      </c>
      <c r="W47" s="53">
        <f>IF($I$7="하",$J$1,$F$1)</f>
        <v>15</v>
      </c>
      <c r="X47" s="35" t="s">
        <v>9</v>
      </c>
      <c r="Y47" s="35">
        <f>Y42+Y50</f>
        <v>135</v>
      </c>
    </row>
    <row r="48" spans="1:25" x14ac:dyDescent="0.25">
      <c r="A48" s="208">
        <f>A43+1</f>
        <v>9</v>
      </c>
      <c r="B48" s="42">
        <f>B43</f>
        <v>200</v>
      </c>
      <c r="C48" s="38">
        <v>1</v>
      </c>
      <c r="D48" s="38">
        <v>100</v>
      </c>
      <c r="E48" s="6">
        <f>IF(B50="ME",100%-ROUNDDOWN(L45*0.8,0)*F47,100%-J47*F47)</f>
        <v>0.88900000000000001</v>
      </c>
      <c r="F48" s="7">
        <f>E48</f>
        <v>0.88900000000000001</v>
      </c>
      <c r="G48" s="7">
        <f t="shared" ref="G48:H49" si="23">F48</f>
        <v>0.88900000000000001</v>
      </c>
      <c r="H48" s="7">
        <f t="shared" si="23"/>
        <v>0.88900000000000001</v>
      </c>
      <c r="I48" s="46">
        <f>H48</f>
        <v>0.88900000000000001</v>
      </c>
      <c r="J48" s="211" t="str">
        <f>J38</f>
        <v>ME</v>
      </c>
      <c r="K48" s="9" t="s">
        <v>4</v>
      </c>
      <c r="L48" s="16">
        <f>(E48*E50+F48*F50+G48*G50+H48*H50+I48*I50)/L50</f>
        <v>0.88900000000000001</v>
      </c>
      <c r="N48" s="208">
        <f>N43+1</f>
        <v>9</v>
      </c>
      <c r="O48" s="43">
        <f>B48</f>
        <v>200</v>
      </c>
      <c r="P48" s="33">
        <v>1</v>
      </c>
      <c r="Q48" s="33">
        <v>100</v>
      </c>
      <c r="R48" s="6">
        <f>100%-W47*S47</f>
        <v>0.83350000000000002</v>
      </c>
      <c r="S48" s="7">
        <f t="shared" ref="S48:V49" si="24">R48</f>
        <v>0.83350000000000002</v>
      </c>
      <c r="T48" s="7">
        <f t="shared" si="24"/>
        <v>0.83350000000000002</v>
      </c>
      <c r="U48" s="7">
        <f t="shared" si="24"/>
        <v>0.83350000000000002</v>
      </c>
      <c r="V48" s="8">
        <f t="shared" si="24"/>
        <v>0.83350000000000002</v>
      </c>
      <c r="W48" s="214" t="s">
        <v>19</v>
      </c>
      <c r="X48" s="9" t="s">
        <v>4</v>
      </c>
      <c r="Y48" s="16">
        <f>(R48*R50+S48*S50+T48*T50+U48*U50+V48*V50)/Y50</f>
        <v>0.83350000000000013</v>
      </c>
    </row>
    <row r="49" spans="1:25" x14ac:dyDescent="0.25">
      <c r="A49" s="209"/>
      <c r="B49" s="42">
        <f>B44</f>
        <v>300</v>
      </c>
      <c r="C49" s="5" t="s">
        <v>5</v>
      </c>
      <c r="D49" s="5" t="s">
        <v>3</v>
      </c>
      <c r="E49" s="18">
        <f>MROUND(E48*D48,C50)</f>
        <v>90</v>
      </c>
      <c r="F49" s="18">
        <f t="shared" ref="F49" si="25">E49</f>
        <v>90</v>
      </c>
      <c r="G49" s="18">
        <f t="shared" si="23"/>
        <v>90</v>
      </c>
      <c r="H49" s="18">
        <f t="shared" si="23"/>
        <v>90</v>
      </c>
      <c r="I49" s="47">
        <f>H49</f>
        <v>90</v>
      </c>
      <c r="J49" s="212"/>
      <c r="K49" s="10" t="s">
        <v>6</v>
      </c>
      <c r="L49" s="17">
        <f>E49*E50+F49*F50+G49*G50+H49*H50+I49*I50</f>
        <v>900</v>
      </c>
      <c r="N49" s="209"/>
      <c r="O49" s="43">
        <f>B49</f>
        <v>300</v>
      </c>
      <c r="P49" s="5" t="s">
        <v>5</v>
      </c>
      <c r="Q49" s="5" t="s">
        <v>3</v>
      </c>
      <c r="R49" s="18">
        <f>MROUND(R48*Q48,P50)</f>
        <v>82.5</v>
      </c>
      <c r="S49" s="18">
        <f t="shared" si="24"/>
        <v>82.5</v>
      </c>
      <c r="T49" s="18">
        <f t="shared" si="24"/>
        <v>82.5</v>
      </c>
      <c r="U49" s="18">
        <f t="shared" si="24"/>
        <v>82.5</v>
      </c>
      <c r="V49" s="19">
        <f t="shared" si="24"/>
        <v>82.5</v>
      </c>
      <c r="W49" s="215"/>
      <c r="X49" s="10" t="s">
        <v>6</v>
      </c>
      <c r="Y49" s="17">
        <f>R49*R50+S49*S50+T49*T50+U49*U50+V49*V50</f>
        <v>1237.5</v>
      </c>
    </row>
    <row r="50" spans="1:25" ht="17.25" thickBot="1" x14ac:dyDescent="0.3">
      <c r="A50" s="210"/>
      <c r="B50" s="13"/>
      <c r="C50" s="12">
        <f>C40</f>
        <v>2.5</v>
      </c>
      <c r="D50" s="13" t="s">
        <v>7</v>
      </c>
      <c r="E50" s="54">
        <f xml:space="preserve"> IF(I47="하",0,IF(MROUND(J47/5,1)&lt;=D47,IF(MROUND(J47/5,1)&gt;=C47,MROUND(J47/5,1),C47),D47))</f>
        <v>2</v>
      </c>
      <c r="F50" s="55">
        <f>IF(MROUND((J47-E50)/4,1)&lt;=D47,IF(MROUND((J47-E50)/4,1)&gt;=C47,MROUND((J47-E50)/4,1),C47),D47)</f>
        <v>2</v>
      </c>
      <c r="G50" s="55">
        <f>IF(MROUND((J47-E50-F50)/3,1)&lt;=D47,IF(MROUND((J47-E50-F50)/3,1)&gt;=C47,MROUND((J47-E50-F50)/3,1),C47),D47)</f>
        <v>2</v>
      </c>
      <c r="H50" s="55">
        <f>IF(MROUND((J47-E50-F50-G50)/2,1)&lt;=D47,IF((J47-E50-F50-G50)/2&gt;=C47,MROUND((J47-E50-F50-G50)/2,1),J47-E50-F50-G50),D47)</f>
        <v>2</v>
      </c>
      <c r="I50" s="56">
        <f>IF((J47-(E50+F50+G50+H50))&gt;0,(J47-(E50+F50+G50+H50)),0)</f>
        <v>2</v>
      </c>
      <c r="J50" s="213"/>
      <c r="K50" s="10" t="s">
        <v>10</v>
      </c>
      <c r="L50" s="17">
        <f>SUM(E50:I50)</f>
        <v>10</v>
      </c>
      <c r="N50" s="210"/>
      <c r="O50" s="45" t="str">
        <f>IF(R48&gt;0.9,"ME"," ")</f>
        <v xml:space="preserve"> </v>
      </c>
      <c r="P50" s="12">
        <f>P40</f>
        <v>2.5</v>
      </c>
      <c r="Q50" s="13" t="s">
        <v>7</v>
      </c>
      <c r="R50" s="11">
        <f xml:space="preserve"> IF(V47="하",0,IF(MROUND(W47/5,1)&lt;=Q47,IF(MROUND(W47/5,1)&gt;=P47,MROUND(W47/5,1),P47),Q47))</f>
        <v>3</v>
      </c>
      <c r="S50" s="20">
        <f>IF(MROUND((W47-R50)/4,1)&lt;=Q47,IF(MROUND((W47-R50)/4,1)&gt;=P47,MROUND((W47-R50)/4,1),P47),Q47)</f>
        <v>3</v>
      </c>
      <c r="T50" s="20">
        <f>IF(MROUND((W47-R50-S50)/3,1)&lt;=Q47,IF(MROUND((W47-R50-S50)/3,1)&gt;=P47,MROUND((W47-R50-S50)/3,1),P47),Q47)</f>
        <v>3</v>
      </c>
      <c r="U50" s="20">
        <f>IF(MROUND((W47-R50-S50-T50)/2,1)&lt;=Q47,IF((W47-R50-S50-T50)/2&gt;=P47,MROUND((W47-R50-S50-T50)/2,1),W47-R50-S50-T50),Q47)</f>
        <v>3</v>
      </c>
      <c r="V50" s="21">
        <f>IF((W47-(R50+S50+T50+U50))&gt;0,(W47-(R50+S50+T50+U50)),0)</f>
        <v>3</v>
      </c>
      <c r="W50" s="215"/>
      <c r="X50" s="10" t="s">
        <v>10</v>
      </c>
      <c r="Y50" s="17">
        <f>SUM(R50:V50)</f>
        <v>15</v>
      </c>
    </row>
    <row r="51" spans="1:25" ht="30.75" thickTop="1" thickBot="1" x14ac:dyDescent="0.3">
      <c r="A51" s="223" t="str">
        <f>TEXT(I$7&amp;A53&amp;"/ main lifting DE"&amp;" "&amp;" / Supplement RE",0)</f>
        <v>상10/ main lifting DE  / Supplement RE</v>
      </c>
      <c r="B51" s="224"/>
      <c r="C51" s="224"/>
      <c r="D51" s="224"/>
      <c r="E51" s="224"/>
      <c r="F51" s="224"/>
      <c r="G51" s="224"/>
      <c r="H51" s="224"/>
      <c r="I51" s="224"/>
      <c r="J51" s="224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61"/>
      <c r="Y51" s="62"/>
    </row>
    <row r="52" spans="1:25" ht="18" thickTop="1" thickBot="1" x14ac:dyDescent="0.3">
      <c r="A52" s="29">
        <f>L47+L55</f>
        <v>310</v>
      </c>
      <c r="C52" s="23">
        <f>IF(E53&gt;=90%,1,IF(E53&gt;=80%,2,IF(E53&gt;=70%,3,3)))</f>
        <v>3</v>
      </c>
      <c r="D52" s="23">
        <f>IF(E53&gt;=90%,2,IF(E53&gt;=80%,4,IF(E53&gt;=70%,6,6)))</f>
        <v>6</v>
      </c>
      <c r="E52" s="14" t="str">
        <f>E47</f>
        <v>개당</v>
      </c>
      <c r="F52" s="32">
        <f>IF(I52="하",1.39%,1.11%)</f>
        <v>1.11E-2</v>
      </c>
      <c r="G52" s="3" t="s">
        <v>2</v>
      </c>
      <c r="H52" s="4">
        <f>L54/(100%-F52*L55)/L55</f>
        <v>93.425605536332185</v>
      </c>
      <c r="I52" s="15" t="str">
        <f>I47</f>
        <v>상</v>
      </c>
      <c r="J52" s="53">
        <f>IF($I$7="하",$I$1,$E$1)</f>
        <v>25</v>
      </c>
      <c r="K52" s="35" t="s">
        <v>9</v>
      </c>
      <c r="L52" s="35">
        <f>(L47+L55+Y55)</f>
        <v>325</v>
      </c>
      <c r="M52" s="34">
        <f>ROUNDDOWN(L52/(B53/4),0)</f>
        <v>6</v>
      </c>
      <c r="N52" s="29">
        <f>IF(R48&lt;0.9,N47+Y55,Y55)</f>
        <v>150</v>
      </c>
      <c r="P52" s="23">
        <f>IF(R53&gt;=90%,1,IF(R53&gt;=80%,2,IF(R53&gt;=70%,3,3)))</f>
        <v>2</v>
      </c>
      <c r="Q52" s="23">
        <f>IF(R53&gt;=90%,2,IF(R53&gt;=80%,4,IF(R53&gt;=70%,6,6)))</f>
        <v>4</v>
      </c>
      <c r="R52" s="14" t="str">
        <f>R47</f>
        <v>개당</v>
      </c>
      <c r="S52" s="32">
        <f>IF(V52="하",1.39%,1.11%)</f>
        <v>1.11E-2</v>
      </c>
      <c r="T52" s="3" t="s">
        <v>2</v>
      </c>
      <c r="U52" s="4">
        <f>Y54/(100%-S52*Y55)/Y55</f>
        <v>137.97240551889621</v>
      </c>
      <c r="V52" s="15" t="str">
        <f>V47</f>
        <v>상</v>
      </c>
      <c r="W52" s="53">
        <f>IF($I$7="하",$J$1,$F$1)</f>
        <v>15</v>
      </c>
      <c r="X52" s="35" t="s">
        <v>9</v>
      </c>
      <c r="Y52" s="35">
        <f>Y47+Y55</f>
        <v>150</v>
      </c>
    </row>
    <row r="53" spans="1:25" x14ac:dyDescent="0.25">
      <c r="A53" s="208">
        <f>A48+1</f>
        <v>10</v>
      </c>
      <c r="B53" s="42">
        <f>B48</f>
        <v>200</v>
      </c>
      <c r="C53" s="48" t="str">
        <f>P43</f>
        <v>MP</v>
      </c>
      <c r="D53" s="49">
        <f>U42</f>
        <v>92.98140371925615</v>
      </c>
      <c r="E53" s="6">
        <f>IF(B55="ME",100%-ROUNDDOWN(L50*0.8,0)*F52,100%-J52*F52)</f>
        <v>0.72249999999999992</v>
      </c>
      <c r="F53" s="7">
        <f>E53</f>
        <v>0.72249999999999992</v>
      </c>
      <c r="G53" s="7">
        <f t="shared" ref="G53:H54" si="26">F53</f>
        <v>0.72249999999999992</v>
      </c>
      <c r="H53" s="7">
        <f t="shared" si="26"/>
        <v>0.72249999999999992</v>
      </c>
      <c r="I53" s="46">
        <f>H53</f>
        <v>0.72249999999999992</v>
      </c>
      <c r="J53" s="225" t="s">
        <v>20</v>
      </c>
      <c r="K53" s="9" t="s">
        <v>4</v>
      </c>
      <c r="L53" s="16">
        <f>(E53*E55+F53*F55+G53*G55+H53*H55+I53*I55)/L55</f>
        <v>0.72250000000000003</v>
      </c>
      <c r="N53" s="208">
        <f>N48+1</f>
        <v>10</v>
      </c>
      <c r="O53" s="43">
        <f>B53</f>
        <v>200</v>
      </c>
      <c r="P53" s="50" t="str">
        <f>C43</f>
        <v>WD</v>
      </c>
      <c r="Q53" s="51">
        <f>D43</f>
        <v>137.97240551889621</v>
      </c>
      <c r="R53" s="6">
        <f>100%-W52*S52</f>
        <v>0.83350000000000002</v>
      </c>
      <c r="S53" s="7">
        <f t="shared" ref="S53:V54" si="27">R53</f>
        <v>0.83350000000000002</v>
      </c>
      <c r="T53" s="7">
        <f t="shared" si="27"/>
        <v>0.83350000000000002</v>
      </c>
      <c r="U53" s="7">
        <f t="shared" si="27"/>
        <v>0.83350000000000002</v>
      </c>
      <c r="V53" s="8">
        <f t="shared" si="27"/>
        <v>0.83350000000000002</v>
      </c>
      <c r="W53" s="214" t="s">
        <v>18</v>
      </c>
      <c r="X53" s="9" t="s">
        <v>4</v>
      </c>
      <c r="Y53" s="16">
        <f>(R53*R55+S53*S55+T53*T55+U53*U55+V53*V55)/Y55</f>
        <v>0.83350000000000013</v>
      </c>
    </row>
    <row r="54" spans="1:25" x14ac:dyDescent="0.25">
      <c r="A54" s="209"/>
      <c r="B54" s="42">
        <f>B49</f>
        <v>300</v>
      </c>
      <c r="C54" s="5" t="s">
        <v>5</v>
      </c>
      <c r="D54" s="5" t="s">
        <v>3</v>
      </c>
      <c r="E54" s="18">
        <f>MROUND(E53*D53,C55)</f>
        <v>67.5</v>
      </c>
      <c r="F54" s="18">
        <f t="shared" ref="F54" si="28">E54</f>
        <v>67.5</v>
      </c>
      <c r="G54" s="18">
        <f t="shared" si="26"/>
        <v>67.5</v>
      </c>
      <c r="H54" s="18">
        <f t="shared" si="26"/>
        <v>67.5</v>
      </c>
      <c r="I54" s="47">
        <f>H54</f>
        <v>67.5</v>
      </c>
      <c r="J54" s="226"/>
      <c r="K54" s="10" t="s">
        <v>6</v>
      </c>
      <c r="L54" s="17">
        <f>E54*E55+F54*F55+G54*G55+H54*H55+I54*I55</f>
        <v>1687.5</v>
      </c>
      <c r="N54" s="209"/>
      <c r="O54" s="43">
        <f>B54</f>
        <v>300</v>
      </c>
      <c r="P54" s="5" t="s">
        <v>5</v>
      </c>
      <c r="Q54" s="5" t="s">
        <v>3</v>
      </c>
      <c r="R54" s="18">
        <f>MROUND(R53*Q53,P55)</f>
        <v>115</v>
      </c>
      <c r="S54" s="18">
        <f t="shared" si="27"/>
        <v>115</v>
      </c>
      <c r="T54" s="18">
        <f t="shared" si="27"/>
        <v>115</v>
      </c>
      <c r="U54" s="18">
        <f t="shared" si="27"/>
        <v>115</v>
      </c>
      <c r="V54" s="19">
        <f t="shared" si="27"/>
        <v>115</v>
      </c>
      <c r="W54" s="215"/>
      <c r="X54" s="10" t="s">
        <v>6</v>
      </c>
      <c r="Y54" s="17">
        <f>R54*R55+S54*S55+T54*T55+U54*U55+V54*V55</f>
        <v>1725</v>
      </c>
    </row>
    <row r="55" spans="1:25" ht="17.25" thickBot="1" x14ac:dyDescent="0.3">
      <c r="A55" s="210"/>
      <c r="B55" s="13"/>
      <c r="C55" s="12">
        <f>P45</f>
        <v>2.5</v>
      </c>
      <c r="D55" s="13" t="s">
        <v>7</v>
      </c>
      <c r="E55" s="54">
        <f xml:space="preserve"> IF(I52="하",0,IF(MROUND(J52/5,1)&lt;=D52,IF(MROUND(J52/5,1)&gt;=C52,MROUND(J52/5,1),C52),D52))</f>
        <v>5</v>
      </c>
      <c r="F55" s="55">
        <f>IF(MROUND((J52-E55)/4,1)&lt;=D52,IF(MROUND((J52-E55)/4,1)&gt;=C52,MROUND((J52-E55)/4,1),C52),D52)</f>
        <v>5</v>
      </c>
      <c r="G55" s="55">
        <f>IF(MROUND((J52-E55-F55)/3,1)&lt;=D52,IF(MROUND((J52-E55-F55)/3,1)&gt;=C52,MROUND((J52-E55-F55)/3,1),C52),D52)</f>
        <v>5</v>
      </c>
      <c r="H55" s="55">
        <f>IF(MROUND((J52-E55-F55-G55)/2,1)&lt;=D52,IF((J52-E55-F55-G55)/2&gt;=C52,MROUND((J52-E55-F55-G55)/2,1),J52-E55-F55-G55),D52)</f>
        <v>5</v>
      </c>
      <c r="I55" s="56">
        <f>IF((J52-(E55+F55+G55+H55))&gt;0,(J52-(E55+F55+G55+H55)),0)</f>
        <v>5</v>
      </c>
      <c r="J55" s="227"/>
      <c r="K55" s="10" t="s">
        <v>10</v>
      </c>
      <c r="L55" s="17">
        <f>SUM(E55:I55)</f>
        <v>25</v>
      </c>
      <c r="N55" s="210"/>
      <c r="O55" s="45" t="str">
        <f>IF(R53&gt;0.9,"ME"," ")</f>
        <v xml:space="preserve"> </v>
      </c>
      <c r="P55" s="12">
        <f>C45</f>
        <v>2.5</v>
      </c>
      <c r="Q55" s="13" t="s">
        <v>7</v>
      </c>
      <c r="R55" s="11">
        <f xml:space="preserve"> IF(V52="하",0,IF(MROUND(W52/5,1)&lt;=Q52,IF(MROUND(W52/5,1)&gt;=P52,MROUND(W52/5,1),P52),Q52))</f>
        <v>3</v>
      </c>
      <c r="S55" s="20">
        <f>IF(MROUND((W52-R55)/4,1)&lt;=Q52,IF(MROUND((W52-R55)/4,1)&gt;=P52,MROUND((W52-R55)/4,1),P52),Q52)</f>
        <v>3</v>
      </c>
      <c r="T55" s="20">
        <f>IF(MROUND((W52-R55-S55)/3,1)&lt;=Q52,IF(MROUND((W52-R55-S55)/3,1)&gt;=P52,MROUND((W52-R55-S55)/3,1),P52),Q52)</f>
        <v>3</v>
      </c>
      <c r="U55" s="20">
        <f>IF(MROUND((W52-R55-S55-T55)/2,1)&lt;=Q52,IF((W52-R55-S55-T55)/2&gt;=P52,MROUND((W52-R55-S55-T55)/2,1),W52-R55-S55-T55),Q52)</f>
        <v>3</v>
      </c>
      <c r="V55" s="21">
        <f>IF((W52-(R55+S55+T55+U55))&gt;0,(W52-(R55+S55+T55+U55)),0)</f>
        <v>3</v>
      </c>
      <c r="W55" s="215"/>
      <c r="X55" s="10" t="s">
        <v>10</v>
      </c>
      <c r="Y55" s="17">
        <f>SUM(R55:V55)</f>
        <v>15</v>
      </c>
    </row>
    <row r="56" spans="1:25" ht="30.75" thickTop="1" thickBot="1" x14ac:dyDescent="0.3">
      <c r="A56" s="223" t="str">
        <f>TEXT(I$7&amp;A58&amp;"/ ME &amp; back off set"&amp;" "&amp;" / Supplement ",0)</f>
        <v xml:space="preserve">상11/ ME &amp; back off set  / Supplement </v>
      </c>
      <c r="B56" s="224"/>
      <c r="C56" s="224"/>
      <c r="D56" s="224"/>
      <c r="E56" s="224"/>
      <c r="F56" s="224"/>
      <c r="G56" s="224"/>
      <c r="H56" s="224"/>
      <c r="I56" s="224"/>
      <c r="J56" s="224"/>
      <c r="K56" s="224"/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61"/>
      <c r="Y56" s="62"/>
    </row>
    <row r="57" spans="1:25" ht="18" thickTop="1" thickBot="1" x14ac:dyDescent="0.3">
      <c r="A57" s="29">
        <f>L52+L60</f>
        <v>335</v>
      </c>
      <c r="C57" s="23">
        <f>IF(E58&gt;=90%,1,IF(E58&gt;=80%,2,IF(E58&gt;=70%,3,3)))</f>
        <v>2</v>
      </c>
      <c r="D57" s="23">
        <f>IF(E58&gt;=90%,2,IF(E58&gt;=80%,4,IF(E58&gt;=70%,6,6)))</f>
        <v>4</v>
      </c>
      <c r="E57" s="14" t="str">
        <f>E52</f>
        <v>개당</v>
      </c>
      <c r="F57" s="32">
        <f>IF(I57="하",1.39%,1.11%)</f>
        <v>1.11E-2</v>
      </c>
      <c r="G57" s="3" t="s">
        <v>2</v>
      </c>
      <c r="H57" s="4">
        <f>L59/(100%-F57*L60)/L60</f>
        <v>101.23734533183352</v>
      </c>
      <c r="I57" s="15" t="str">
        <f>I52</f>
        <v>상</v>
      </c>
      <c r="J57" s="53">
        <f>IF($I$7="하",$H$1,$D$1)</f>
        <v>10</v>
      </c>
      <c r="K57" s="35" t="s">
        <v>9</v>
      </c>
      <c r="L57" s="35">
        <f>(L52+L60+Y60)</f>
        <v>350</v>
      </c>
      <c r="M57" s="34">
        <f>ROUNDDOWN(L57/(B58/4),0)</f>
        <v>7</v>
      </c>
      <c r="N57" s="29">
        <f>IF(R53&lt;0.9,N52+Y60,Y60)</f>
        <v>165</v>
      </c>
      <c r="P57" s="23">
        <f>IF(R58&gt;=90%,1,IF(R58&gt;=80%,2,IF(R58&gt;=70%,3,3)))</f>
        <v>2</v>
      </c>
      <c r="Q57" s="23">
        <f>IF(R58&gt;=90%,2,IF(R58&gt;=80%,4,IF(R58&gt;=70%,6,6)))</f>
        <v>4</v>
      </c>
      <c r="R57" s="14" t="str">
        <f>R52</f>
        <v>개당</v>
      </c>
      <c r="S57" s="32">
        <f>IF(V57="하",1.39%,1.11%)</f>
        <v>1.11E-2</v>
      </c>
      <c r="T57" s="3" t="s">
        <v>2</v>
      </c>
      <c r="U57" s="4">
        <f>Y59/(100%-S57*Y60)/Y60</f>
        <v>98.980203959208154</v>
      </c>
      <c r="V57" s="15" t="str">
        <f>V52</f>
        <v>상</v>
      </c>
      <c r="W57" s="53">
        <f>IF($I$7="하",$J$1,$F$1)</f>
        <v>15</v>
      </c>
      <c r="X57" s="35" t="s">
        <v>9</v>
      </c>
      <c r="Y57" s="35">
        <f>Y52+Y60</f>
        <v>165</v>
      </c>
    </row>
    <row r="58" spans="1:25" x14ac:dyDescent="0.25">
      <c r="A58" s="208">
        <f>A53+1</f>
        <v>11</v>
      </c>
      <c r="B58" s="42">
        <f>B53</f>
        <v>200</v>
      </c>
      <c r="C58" s="38">
        <v>1</v>
      </c>
      <c r="D58" s="38">
        <v>100</v>
      </c>
      <c r="E58" s="6">
        <f>IF(B60="ME",100%-ROUNDDOWN(L55*0.8,0)*F57,100%-J57*F57)</f>
        <v>0.88900000000000001</v>
      </c>
      <c r="F58" s="7">
        <f>E58</f>
        <v>0.88900000000000001</v>
      </c>
      <c r="G58" s="7">
        <f t="shared" ref="G58:H59" si="29">F58</f>
        <v>0.88900000000000001</v>
      </c>
      <c r="H58" s="7">
        <f t="shared" si="29"/>
        <v>0.88900000000000001</v>
      </c>
      <c r="I58" s="46">
        <f>H58</f>
        <v>0.88900000000000001</v>
      </c>
      <c r="J58" s="211" t="str">
        <f>J48</f>
        <v>ME</v>
      </c>
      <c r="K58" s="9" t="s">
        <v>4</v>
      </c>
      <c r="L58" s="16">
        <f>(E58*E60+F58*F60+G58*G60+H58*H60+I58*I60)/L60</f>
        <v>0.88900000000000001</v>
      </c>
      <c r="N58" s="208">
        <f>N53+1</f>
        <v>11</v>
      </c>
      <c r="O58" s="43">
        <f>B58</f>
        <v>200</v>
      </c>
      <c r="P58" s="33">
        <v>1</v>
      </c>
      <c r="Q58" s="33">
        <v>100</v>
      </c>
      <c r="R58" s="6">
        <f>100%-W57*S57</f>
        <v>0.83350000000000002</v>
      </c>
      <c r="S58" s="7">
        <f t="shared" ref="S58:V59" si="30">R58</f>
        <v>0.83350000000000002</v>
      </c>
      <c r="T58" s="7">
        <f t="shared" si="30"/>
        <v>0.83350000000000002</v>
      </c>
      <c r="U58" s="7">
        <f t="shared" si="30"/>
        <v>0.83350000000000002</v>
      </c>
      <c r="V58" s="8">
        <f t="shared" si="30"/>
        <v>0.83350000000000002</v>
      </c>
      <c r="W58" s="214" t="s">
        <v>19</v>
      </c>
      <c r="X58" s="9" t="s">
        <v>4</v>
      </c>
      <c r="Y58" s="16">
        <f>(R58*R60+S58*S60+T58*T60+U58*U60+V58*V60)/Y60</f>
        <v>0.83350000000000013</v>
      </c>
    </row>
    <row r="59" spans="1:25" x14ac:dyDescent="0.25">
      <c r="A59" s="209"/>
      <c r="B59" s="42">
        <f>B54</f>
        <v>300</v>
      </c>
      <c r="C59" s="5" t="s">
        <v>5</v>
      </c>
      <c r="D59" s="5" t="s">
        <v>3</v>
      </c>
      <c r="E59" s="18">
        <f>MROUND(E58*D58,C60)</f>
        <v>90</v>
      </c>
      <c r="F59" s="18">
        <f t="shared" ref="F59" si="31">E59</f>
        <v>90</v>
      </c>
      <c r="G59" s="18">
        <f t="shared" si="29"/>
        <v>90</v>
      </c>
      <c r="H59" s="18">
        <f t="shared" si="29"/>
        <v>90</v>
      </c>
      <c r="I59" s="47">
        <f>H59</f>
        <v>90</v>
      </c>
      <c r="J59" s="212"/>
      <c r="K59" s="10" t="s">
        <v>6</v>
      </c>
      <c r="L59" s="17">
        <f>E59*E60+F59*F60+G59*G60+H59*H60+I59*I60</f>
        <v>900</v>
      </c>
      <c r="N59" s="209"/>
      <c r="O59" s="43">
        <f>B59</f>
        <v>300</v>
      </c>
      <c r="P59" s="5" t="s">
        <v>5</v>
      </c>
      <c r="Q59" s="5" t="s">
        <v>3</v>
      </c>
      <c r="R59" s="18">
        <f>MROUND(R58*Q58,P60)</f>
        <v>82.5</v>
      </c>
      <c r="S59" s="18">
        <f t="shared" si="30"/>
        <v>82.5</v>
      </c>
      <c r="T59" s="18">
        <f t="shared" si="30"/>
        <v>82.5</v>
      </c>
      <c r="U59" s="18">
        <f t="shared" si="30"/>
        <v>82.5</v>
      </c>
      <c r="V59" s="19">
        <f t="shared" si="30"/>
        <v>82.5</v>
      </c>
      <c r="W59" s="215"/>
      <c r="X59" s="10" t="s">
        <v>6</v>
      </c>
      <c r="Y59" s="17">
        <f>R59*R60+S59*S60+T59*T60+U59*U60+V59*V60</f>
        <v>1237.5</v>
      </c>
    </row>
    <row r="60" spans="1:25" ht="17.25" thickBot="1" x14ac:dyDescent="0.3">
      <c r="A60" s="210"/>
      <c r="B60" s="13"/>
      <c r="C60" s="12">
        <f>C50</f>
        <v>2.5</v>
      </c>
      <c r="D60" s="13" t="s">
        <v>7</v>
      </c>
      <c r="E60" s="54">
        <f xml:space="preserve"> IF(I57="하",0,IF(MROUND(J57/5,1)&lt;=D57,IF(MROUND(J57/5,1)&gt;=C57,MROUND(J57/5,1),C57),D57))</f>
        <v>2</v>
      </c>
      <c r="F60" s="55">
        <f>IF(MROUND((J57-E60)/4,1)&lt;=D57,IF(MROUND((J57-E60)/4,1)&gt;=C57,MROUND((J57-E60)/4,1),C57),D57)</f>
        <v>2</v>
      </c>
      <c r="G60" s="55">
        <f>IF(MROUND((J57-E60-F60)/3,1)&lt;=D57,IF(MROUND((J57-E60-F60)/3,1)&gt;=C57,MROUND((J57-E60-F60)/3,1),C57),D57)</f>
        <v>2</v>
      </c>
      <c r="H60" s="55">
        <f>IF(MROUND((J57-E60-F60-G60)/2,1)&lt;=D57,IF((J57-E60-F60-G60)/2&gt;=C57,MROUND((J57-E60-F60-G60)/2,1),J57-E60-F60-G60),D57)</f>
        <v>2</v>
      </c>
      <c r="I60" s="56">
        <f>IF((J57-(E60+F60+G60+H60))&gt;0,(J57-(E60+F60+G60+H60)),0)</f>
        <v>2</v>
      </c>
      <c r="J60" s="213"/>
      <c r="K60" s="10" t="s">
        <v>10</v>
      </c>
      <c r="L60" s="17">
        <f>SUM(E60:I60)</f>
        <v>10</v>
      </c>
      <c r="N60" s="210"/>
      <c r="O60" s="45" t="str">
        <f>IF(R58&gt;0.9,"ME"," ")</f>
        <v xml:space="preserve"> </v>
      </c>
      <c r="P60" s="12">
        <f>P50</f>
        <v>2.5</v>
      </c>
      <c r="Q60" s="13" t="s">
        <v>7</v>
      </c>
      <c r="R60" s="11">
        <f xml:space="preserve"> IF(V57="하",0,IF(MROUND(W57/5,1)&lt;=Q57,IF(MROUND(W57/5,1)&gt;=P57,MROUND(W57/5,1),P57),Q57))</f>
        <v>3</v>
      </c>
      <c r="S60" s="20">
        <f>IF(MROUND((W57-R60)/4,1)&lt;=Q57,IF(MROUND((W57-R60)/4,1)&gt;=P57,MROUND((W57-R60)/4,1),P57),Q57)</f>
        <v>3</v>
      </c>
      <c r="T60" s="20">
        <f>IF(MROUND((W57-R60-S60)/3,1)&lt;=Q57,IF(MROUND((W57-R60-S60)/3,1)&gt;=P57,MROUND((W57-R60-S60)/3,1),P57),Q57)</f>
        <v>3</v>
      </c>
      <c r="U60" s="20">
        <f>IF(MROUND((W57-R60-S60-T60)/2,1)&lt;=Q57,IF((W57-R60-S60-T60)/2&gt;=P57,MROUND((W57-R60-S60-T60)/2,1),W57-R60-S60-T60),Q57)</f>
        <v>3</v>
      </c>
      <c r="V60" s="21">
        <f>IF((W57-(R60+S60+T60+U60))&gt;0,(W57-(R60+S60+T60+U60)),0)</f>
        <v>3</v>
      </c>
      <c r="W60" s="215"/>
      <c r="X60" s="10" t="s">
        <v>10</v>
      </c>
      <c r="Y60" s="17">
        <f>SUM(R60:V60)</f>
        <v>15</v>
      </c>
    </row>
    <row r="61" spans="1:25" ht="30.75" thickTop="1" thickBot="1" x14ac:dyDescent="0.3">
      <c r="A61" s="223" t="str">
        <f>TEXT(I$7&amp;A63&amp;"/ main lifting DE"&amp;" "&amp;" / Supplement RE",0)</f>
        <v>상12/ main lifting DE  / Supplement RE</v>
      </c>
      <c r="B61" s="224"/>
      <c r="C61" s="224"/>
      <c r="D61" s="224"/>
      <c r="E61" s="224"/>
      <c r="F61" s="224"/>
      <c r="G61" s="224"/>
      <c r="H61" s="224"/>
      <c r="I61" s="224"/>
      <c r="J61" s="224"/>
      <c r="K61" s="224"/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61"/>
      <c r="Y61" s="62"/>
    </row>
    <row r="62" spans="1:25" ht="18" thickTop="1" thickBot="1" x14ac:dyDescent="0.3">
      <c r="A62" s="29">
        <f>L57+L65</f>
        <v>375</v>
      </c>
      <c r="C62" s="23">
        <f>IF(E63&gt;=90%,1,IF(E63&gt;=80%,2,IF(E63&gt;=70%,3,3)))</f>
        <v>3</v>
      </c>
      <c r="D62" s="23">
        <f>IF(E63&gt;=90%,2,IF(E63&gt;=80%,4,IF(E63&gt;=70%,6,6)))</f>
        <v>6</v>
      </c>
      <c r="E62" s="14" t="str">
        <f>E57</f>
        <v>개당</v>
      </c>
      <c r="F62" s="32">
        <f>IF(I62="하",1.39%,1.11%)</f>
        <v>1.11E-2</v>
      </c>
      <c r="G62" s="3" t="s">
        <v>2</v>
      </c>
      <c r="H62" s="4">
        <f>L64/(100%-F62*L65)/L65</f>
        <v>138.40830449826993</v>
      </c>
      <c r="I62" s="15" t="str">
        <f>I57</f>
        <v>상</v>
      </c>
      <c r="J62" s="53">
        <f>IF($I$7="하",$I$1,$E$1)</f>
        <v>25</v>
      </c>
      <c r="K62" s="35" t="s">
        <v>9</v>
      </c>
      <c r="L62" s="35">
        <f>(L57+L65+Y65)</f>
        <v>390</v>
      </c>
      <c r="M62" s="34">
        <f>ROUNDDOWN(L62/(B63/4),0)</f>
        <v>7</v>
      </c>
      <c r="N62" s="29">
        <f>IF(R58&lt;0.9,N57+Y65,Y65)</f>
        <v>180</v>
      </c>
      <c r="P62" s="23">
        <f>IF(R63&gt;=90%,1,IF(R63&gt;=80%,2,IF(R63&gt;=70%,3,3)))</f>
        <v>2</v>
      </c>
      <c r="Q62" s="23">
        <f>IF(R63&gt;=90%,2,IF(R63&gt;=80%,4,IF(R63&gt;=70%,6,6)))</f>
        <v>4</v>
      </c>
      <c r="R62" s="14" t="str">
        <f>R57</f>
        <v>개당</v>
      </c>
      <c r="S62" s="32">
        <f>IF(V62="하",1.39%,1.11%)</f>
        <v>1.11E-2</v>
      </c>
      <c r="T62" s="3" t="s">
        <v>2</v>
      </c>
      <c r="U62" s="4">
        <f>Y64/(100%-S62*Y65)/Y65</f>
        <v>92.98140371925615</v>
      </c>
      <c r="V62" s="15" t="str">
        <f>V57</f>
        <v>상</v>
      </c>
      <c r="W62" s="53">
        <f>IF($I$7="하",$J$1,$F$1)</f>
        <v>15</v>
      </c>
      <c r="X62" s="35" t="s">
        <v>9</v>
      </c>
      <c r="Y62" s="35">
        <f>Y57+Y65</f>
        <v>180</v>
      </c>
    </row>
    <row r="63" spans="1:25" x14ac:dyDescent="0.25">
      <c r="A63" s="208">
        <f>A58+1</f>
        <v>12</v>
      </c>
      <c r="B63" s="42">
        <f>B58</f>
        <v>200</v>
      </c>
      <c r="C63" s="48" t="str">
        <f>P53</f>
        <v>WD</v>
      </c>
      <c r="D63" s="49">
        <f>U52</f>
        <v>137.97240551889621</v>
      </c>
      <c r="E63" s="6">
        <f>IF(B65="ME",100%-ROUNDDOWN(L60*0.8,0)*F62,100%-J62*F62)</f>
        <v>0.72249999999999992</v>
      </c>
      <c r="F63" s="7">
        <f>E63</f>
        <v>0.72249999999999992</v>
      </c>
      <c r="G63" s="7">
        <f t="shared" ref="G63:H64" si="32">F63</f>
        <v>0.72249999999999992</v>
      </c>
      <c r="H63" s="7">
        <f t="shared" si="32"/>
        <v>0.72249999999999992</v>
      </c>
      <c r="I63" s="46">
        <f>H63</f>
        <v>0.72249999999999992</v>
      </c>
      <c r="J63" s="225" t="s">
        <v>20</v>
      </c>
      <c r="K63" s="9" t="s">
        <v>4</v>
      </c>
      <c r="L63" s="16">
        <f>(E63*E65+F63*F65+G63*G65+H63*H65+I63*I65)/L65</f>
        <v>0.72250000000000003</v>
      </c>
      <c r="N63" s="208">
        <f>N58+1</f>
        <v>12</v>
      </c>
      <c r="O63" s="43">
        <f>B63</f>
        <v>200</v>
      </c>
      <c r="P63" s="50" t="str">
        <f>C53</f>
        <v>MP</v>
      </c>
      <c r="Q63" s="51">
        <f>D53</f>
        <v>92.98140371925615</v>
      </c>
      <c r="R63" s="6">
        <f>100%-W62*S62</f>
        <v>0.83350000000000002</v>
      </c>
      <c r="S63" s="7">
        <f t="shared" ref="S63:V64" si="33">R63</f>
        <v>0.83350000000000002</v>
      </c>
      <c r="T63" s="7">
        <f t="shared" si="33"/>
        <v>0.83350000000000002</v>
      </c>
      <c r="U63" s="7">
        <f t="shared" si="33"/>
        <v>0.83350000000000002</v>
      </c>
      <c r="V63" s="8">
        <f t="shared" si="33"/>
        <v>0.83350000000000002</v>
      </c>
      <c r="W63" s="214" t="s">
        <v>18</v>
      </c>
      <c r="X63" s="9" t="s">
        <v>4</v>
      </c>
      <c r="Y63" s="16">
        <f>(R63*R65+S63*S65+T63*T65+U63*U65+V63*V65)/Y65</f>
        <v>0.83350000000000013</v>
      </c>
    </row>
    <row r="64" spans="1:25" x14ac:dyDescent="0.25">
      <c r="A64" s="209"/>
      <c r="B64" s="42">
        <f>B59</f>
        <v>300</v>
      </c>
      <c r="C64" s="5" t="s">
        <v>5</v>
      </c>
      <c r="D64" s="5" t="s">
        <v>3</v>
      </c>
      <c r="E64" s="18">
        <f>MROUND(E63*D63,C65)</f>
        <v>100</v>
      </c>
      <c r="F64" s="18">
        <f t="shared" ref="F64" si="34">E64</f>
        <v>100</v>
      </c>
      <c r="G64" s="18">
        <f t="shared" si="32"/>
        <v>100</v>
      </c>
      <c r="H64" s="18">
        <f t="shared" si="32"/>
        <v>100</v>
      </c>
      <c r="I64" s="47">
        <f>H64</f>
        <v>100</v>
      </c>
      <c r="J64" s="226"/>
      <c r="K64" s="10" t="s">
        <v>6</v>
      </c>
      <c r="L64" s="17">
        <f>E64*E65+F64*F65+G64*G65+H64*H65+I64*I65</f>
        <v>2500</v>
      </c>
      <c r="N64" s="209"/>
      <c r="O64" s="43">
        <f>B64</f>
        <v>300</v>
      </c>
      <c r="P64" s="5" t="s">
        <v>5</v>
      </c>
      <c r="Q64" s="5" t="s">
        <v>3</v>
      </c>
      <c r="R64" s="18">
        <f>MROUND(R63*Q63,P65)</f>
        <v>77.5</v>
      </c>
      <c r="S64" s="18">
        <f t="shared" si="33"/>
        <v>77.5</v>
      </c>
      <c r="T64" s="18">
        <f t="shared" si="33"/>
        <v>77.5</v>
      </c>
      <c r="U64" s="18">
        <f t="shared" si="33"/>
        <v>77.5</v>
      </c>
      <c r="V64" s="19">
        <f t="shared" si="33"/>
        <v>77.5</v>
      </c>
      <c r="W64" s="215"/>
      <c r="X64" s="10" t="s">
        <v>6</v>
      </c>
      <c r="Y64" s="17">
        <f>R64*R65+S64*S65+T64*T65+U64*U65+V64*V65</f>
        <v>1162.5</v>
      </c>
    </row>
    <row r="65" spans="1:25" ht="17.25" thickBot="1" x14ac:dyDescent="0.3">
      <c r="A65" s="210"/>
      <c r="B65" s="13"/>
      <c r="C65" s="12">
        <f>P55</f>
        <v>2.5</v>
      </c>
      <c r="D65" s="13" t="s">
        <v>7</v>
      </c>
      <c r="E65" s="54">
        <f xml:space="preserve"> IF(I62="하",0,IF(MROUND(J62/5,1)&lt;=D62,IF(MROUND(J62/5,1)&gt;=C62,MROUND(J62/5,1),C62),D62))</f>
        <v>5</v>
      </c>
      <c r="F65" s="55">
        <f>IF(MROUND((J62-E65)/4,1)&lt;=D62,IF(MROUND((J62-E65)/4,1)&gt;=C62,MROUND((J62-E65)/4,1),C62),D62)</f>
        <v>5</v>
      </c>
      <c r="G65" s="55">
        <f>IF(MROUND((J62-E65-F65)/3,1)&lt;=D62,IF(MROUND((J62-E65-F65)/3,1)&gt;=C62,MROUND((J62-E65-F65)/3,1),C62),D62)</f>
        <v>5</v>
      </c>
      <c r="H65" s="55">
        <f>IF(MROUND((J62-E65-F65-G65)/2,1)&lt;=D62,IF((J62-E65-F65-G65)/2&gt;=C62,MROUND((J62-E65-F65-G65)/2,1),J62-E65-F65-G65),D62)</f>
        <v>5</v>
      </c>
      <c r="I65" s="56">
        <f>IF((J62-(E65+F65+G65+H65))&gt;0,(J62-(E65+F65+G65+H65)),0)</f>
        <v>5</v>
      </c>
      <c r="J65" s="227"/>
      <c r="K65" s="10" t="s">
        <v>10</v>
      </c>
      <c r="L65" s="17">
        <f>SUM(E65:I65)</f>
        <v>25</v>
      </c>
      <c r="N65" s="210"/>
      <c r="O65" s="45" t="str">
        <f>IF(R63&gt;0.9,"ME"," ")</f>
        <v xml:space="preserve"> </v>
      </c>
      <c r="P65" s="12">
        <f>C55</f>
        <v>2.5</v>
      </c>
      <c r="Q65" s="13" t="s">
        <v>7</v>
      </c>
      <c r="R65" s="11">
        <f xml:space="preserve"> IF(V62="하",0,IF(MROUND(W62/5,1)&lt;=Q62,IF(MROUND(W62/5,1)&gt;=P62,MROUND(W62/5,1),P62),Q62))</f>
        <v>3</v>
      </c>
      <c r="S65" s="20">
        <f>IF(MROUND((W62-R65)/4,1)&lt;=Q62,IF(MROUND((W62-R65)/4,1)&gt;=P62,MROUND((W62-R65)/4,1),P62),Q62)</f>
        <v>3</v>
      </c>
      <c r="T65" s="20">
        <f>IF(MROUND((W62-R65-S65)/3,1)&lt;=Q62,IF(MROUND((W62-R65-S65)/3,1)&gt;=P62,MROUND((W62-R65-S65)/3,1),P62),Q62)</f>
        <v>3</v>
      </c>
      <c r="U65" s="20">
        <f>IF(MROUND((W62-R65-S65-T65)/2,1)&lt;=Q62,IF((W62-R65-S65-T65)/2&gt;=P62,MROUND((W62-R65-S65-T65)/2,1),W62-R65-S65-T65),Q62)</f>
        <v>3</v>
      </c>
      <c r="V65" s="21">
        <f>IF((W62-(R65+S65+T65+U65))&gt;0,(W62-(R65+S65+T65+U65)),0)</f>
        <v>3</v>
      </c>
      <c r="W65" s="215"/>
      <c r="X65" s="10" t="s">
        <v>10</v>
      </c>
      <c r="Y65" s="17">
        <f>SUM(R65:V65)</f>
        <v>15</v>
      </c>
    </row>
    <row r="66" spans="1:25" ht="17.25" thickTop="1" x14ac:dyDescent="0.25"/>
  </sheetData>
  <mergeCells count="64">
    <mergeCell ref="A8:A10"/>
    <mergeCell ref="J8:J10"/>
    <mergeCell ref="N8:N10"/>
    <mergeCell ref="W8:W10"/>
    <mergeCell ref="C1:C2"/>
    <mergeCell ref="G1:G2"/>
    <mergeCell ref="A3:W3"/>
    <mergeCell ref="N4:N5"/>
    <mergeCell ref="A6:W6"/>
    <mergeCell ref="A23:A25"/>
    <mergeCell ref="J23:J25"/>
    <mergeCell ref="N23:N25"/>
    <mergeCell ref="W23:W25"/>
    <mergeCell ref="A11:W11"/>
    <mergeCell ref="A13:A15"/>
    <mergeCell ref="J13:J15"/>
    <mergeCell ref="N13:N15"/>
    <mergeCell ref="W13:W15"/>
    <mergeCell ref="A16:W16"/>
    <mergeCell ref="A18:A20"/>
    <mergeCell ref="J18:J20"/>
    <mergeCell ref="N18:N20"/>
    <mergeCell ref="W18:W20"/>
    <mergeCell ref="A21:W21"/>
    <mergeCell ref="A38:A40"/>
    <mergeCell ref="J38:J40"/>
    <mergeCell ref="N38:N40"/>
    <mergeCell ref="W38:W40"/>
    <mergeCell ref="A26:W26"/>
    <mergeCell ref="A28:A30"/>
    <mergeCell ref="J28:J30"/>
    <mergeCell ref="N28:N30"/>
    <mergeCell ref="W28:W30"/>
    <mergeCell ref="A31:W31"/>
    <mergeCell ref="A33:A35"/>
    <mergeCell ref="J33:J35"/>
    <mergeCell ref="N33:N35"/>
    <mergeCell ref="W33:W35"/>
    <mergeCell ref="A36:W36"/>
    <mergeCell ref="A53:A55"/>
    <mergeCell ref="J53:J55"/>
    <mergeCell ref="N53:N55"/>
    <mergeCell ref="W53:W55"/>
    <mergeCell ref="A41:W41"/>
    <mergeCell ref="A43:A45"/>
    <mergeCell ref="J43:J45"/>
    <mergeCell ref="N43:N45"/>
    <mergeCell ref="W43:W45"/>
    <mergeCell ref="A46:W46"/>
    <mergeCell ref="A48:A50"/>
    <mergeCell ref="J48:J50"/>
    <mergeCell ref="N48:N50"/>
    <mergeCell ref="W48:W50"/>
    <mergeCell ref="A51:W51"/>
    <mergeCell ref="A63:A65"/>
    <mergeCell ref="J63:J65"/>
    <mergeCell ref="N63:N65"/>
    <mergeCell ref="W63:W65"/>
    <mergeCell ref="A56:W56"/>
    <mergeCell ref="A58:A60"/>
    <mergeCell ref="J58:J60"/>
    <mergeCell ref="N58:N60"/>
    <mergeCell ref="W58:W60"/>
    <mergeCell ref="A61:W61"/>
  </mergeCells>
  <phoneticPr fontId="1" type="noConversion"/>
  <conditionalFormatting sqref="A1">
    <cfRule type="cellIs" dxfId="78" priority="123" operator="equal">
      <formula>"ME"</formula>
    </cfRule>
  </conditionalFormatting>
  <conditionalFormatting sqref="A6 A11">
    <cfRule type="expression" dxfId="77" priority="184">
      <formula>L7&lt;$A$5/4*B8</formula>
    </cfRule>
    <cfRule type="expression" dxfId="76" priority="185">
      <formula>L7&gt;$A$5/4*B9</formula>
    </cfRule>
  </conditionalFormatting>
  <conditionalFormatting sqref="A16 A21">
    <cfRule type="expression" dxfId="75" priority="65">
      <formula>L17&lt;$A$5/4*B18</formula>
    </cfRule>
    <cfRule type="expression" dxfId="74" priority="66">
      <formula>L17&gt;$A$5/4*B19</formula>
    </cfRule>
  </conditionalFormatting>
  <conditionalFormatting sqref="A26">
    <cfRule type="expression" dxfId="73" priority="28">
      <formula>L27&gt;$A$5/4*B29</formula>
    </cfRule>
    <cfRule type="expression" dxfId="72" priority="27">
      <formula>L27&lt;$A$5/4*B28</formula>
    </cfRule>
  </conditionalFormatting>
  <conditionalFormatting sqref="A31">
    <cfRule type="expression" dxfId="71" priority="56">
      <formula>L32&gt;$A$5/4*B34</formula>
    </cfRule>
    <cfRule type="expression" dxfId="70" priority="55">
      <formula>L32&lt;$A$5/4*B33</formula>
    </cfRule>
  </conditionalFormatting>
  <conditionalFormatting sqref="A36">
    <cfRule type="expression" dxfId="69" priority="20">
      <formula>L37&lt;$A$5/4*B38</formula>
    </cfRule>
    <cfRule type="expression" dxfId="68" priority="21">
      <formula>L37&gt;$A$5/4*B39</formula>
    </cfRule>
  </conditionalFormatting>
  <conditionalFormatting sqref="A41">
    <cfRule type="expression" dxfId="67" priority="49">
      <formula>L42&gt;$A$5/4*B44</formula>
    </cfRule>
    <cfRule type="expression" dxfId="66" priority="48">
      <formula>L42&lt;$A$5/4*B43</formula>
    </cfRule>
  </conditionalFormatting>
  <conditionalFormatting sqref="A46">
    <cfRule type="expression" dxfId="65" priority="13">
      <formula>L47&lt;$A$5/4*B48</formula>
    </cfRule>
    <cfRule type="expression" dxfId="64" priority="14">
      <formula>L47&gt;$A$5/4*B49</formula>
    </cfRule>
  </conditionalFormatting>
  <conditionalFormatting sqref="A51">
    <cfRule type="expression" dxfId="63" priority="41">
      <formula>L52&lt;$A$5/4*B53</formula>
    </cfRule>
    <cfRule type="expression" dxfId="62" priority="42">
      <formula>L52&gt;$A$5/4*B54</formula>
    </cfRule>
  </conditionalFormatting>
  <conditionalFormatting sqref="A56">
    <cfRule type="expression" dxfId="61" priority="7">
      <formula>L57&gt;$A$5/4*B59</formula>
    </cfRule>
    <cfRule type="expression" dxfId="60" priority="6">
      <formula>L57&lt;$A$5/4*B58</formula>
    </cfRule>
  </conditionalFormatting>
  <conditionalFormatting sqref="A61">
    <cfRule type="expression" dxfId="59" priority="34">
      <formula>L62&lt;$A$5/4*B63</formula>
    </cfRule>
    <cfRule type="expression" dxfId="58" priority="35">
      <formula>L62&gt;$A$5/4*B64</formula>
    </cfRule>
  </conditionalFormatting>
  <conditionalFormatting sqref="C1">
    <cfRule type="cellIs" dxfId="57" priority="124" operator="equal">
      <formula>"ME"</formula>
    </cfRule>
  </conditionalFormatting>
  <conditionalFormatting sqref="C4:C5 P4:P5 J7:J8 B8:B10 O8:O10 J12:J13 B13:B15 O13:O15">
    <cfRule type="cellIs" dxfId="56" priority="179" operator="equal">
      <formula>"ME"</formula>
    </cfRule>
  </conditionalFormatting>
  <conditionalFormatting sqref="J17:J18 B18:B20 O18:O20 J22:J23 B23:B25 O23:O25 J27:J28 B28:B30 O28:O30 J32:J33 B33:B35 O33:O35 J37:J38 B38:B40 O38:O40 J42:J43 B43:B45 O43:O45 J47:J48 B48:B50 O48:O50 J52:J53 B53:B55 O53:O55 J57:J58 B58:B60 O58:O60 J62:J63 B63:B1048576 O63:O1048576">
    <cfRule type="cellIs" dxfId="55" priority="67" operator="equal">
      <formula>"ME"</formula>
    </cfRule>
  </conditionalFormatting>
  <conditionalFormatting sqref="P1">
    <cfRule type="cellIs" dxfId="54" priority="125" operator="equal">
      <formula>"ME"</formula>
    </cfRule>
  </conditionalFormatting>
  <conditionalFormatting sqref="W7:W8">
    <cfRule type="cellIs" dxfId="53" priority="177" operator="equal">
      <formula>"ME"</formula>
    </cfRule>
  </conditionalFormatting>
  <conditionalFormatting sqref="W12:W13">
    <cfRule type="cellIs" dxfId="52" priority="178" operator="equal">
      <formula>"ME"</formula>
    </cfRule>
  </conditionalFormatting>
  <conditionalFormatting sqref="W17:W18">
    <cfRule type="cellIs" dxfId="51" priority="57" operator="equal">
      <formula>"ME"</formula>
    </cfRule>
  </conditionalFormatting>
  <conditionalFormatting sqref="W22:W23">
    <cfRule type="cellIs" dxfId="50" priority="58" operator="equal">
      <formula>"ME"</formula>
    </cfRule>
  </conditionalFormatting>
  <conditionalFormatting sqref="W27:W28">
    <cfRule type="cellIs" dxfId="49" priority="22" operator="equal">
      <formula>"ME"</formula>
    </cfRule>
  </conditionalFormatting>
  <conditionalFormatting sqref="W32:W33">
    <cfRule type="cellIs" dxfId="48" priority="50" operator="equal">
      <formula>"ME"</formula>
    </cfRule>
  </conditionalFormatting>
  <conditionalFormatting sqref="W37:W38">
    <cfRule type="cellIs" dxfId="47" priority="15" operator="equal">
      <formula>"ME"</formula>
    </cfRule>
  </conditionalFormatting>
  <conditionalFormatting sqref="W42:W43">
    <cfRule type="cellIs" dxfId="46" priority="43" operator="equal">
      <formula>"ME"</formula>
    </cfRule>
  </conditionalFormatting>
  <conditionalFormatting sqref="W47:W48">
    <cfRule type="cellIs" dxfId="45" priority="8" operator="equal">
      <formula>"ME"</formula>
    </cfRule>
  </conditionalFormatting>
  <conditionalFormatting sqref="W52:W53">
    <cfRule type="cellIs" dxfId="44" priority="36" operator="equal">
      <formula>"ME"</formula>
    </cfRule>
  </conditionalFormatting>
  <conditionalFormatting sqref="W57:W58">
    <cfRule type="cellIs" dxfId="43" priority="1" operator="equal">
      <formula>"ME"</formula>
    </cfRule>
  </conditionalFormatting>
  <conditionalFormatting sqref="W62:W63">
    <cfRule type="cellIs" dxfId="42" priority="29" operator="equal">
      <formula>"ME"</formula>
    </cfRule>
  </conditionalFormatting>
  <conditionalFormatting sqref="X6 X11">
    <cfRule type="expression" dxfId="41" priority="181">
      <formula>#REF!&gt;$A$5/4*Y9</formula>
    </cfRule>
    <cfRule type="expression" dxfId="40" priority="180">
      <formula>#REF!&lt;$A$5/4*Y8</formula>
    </cfRule>
  </conditionalFormatting>
  <conditionalFormatting sqref="Y6 Y11">
    <cfRule type="expression" dxfId="21" priority="183">
      <formula>#REF!&gt;$A$5/4*#REF!</formula>
    </cfRule>
    <cfRule type="expression" dxfId="20" priority="182">
      <formula>#REF!&lt;$A$5/4*#REF!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4" id="{496C6BF1-DE0B-6444-BE00-56A8CF5A1D3F}">
            <xm:f>'ver.12 하'!#REF!&gt;$A$5/4*Y19</xm:f>
            <x14:dxf>
              <fill>
                <patternFill>
                  <bgColor theme="0"/>
                </patternFill>
              </fill>
            </x14:dxf>
          </x14:cfRule>
          <x14:cfRule type="expression" priority="63" id="{15D3EB9B-1D1E-7441-8046-D2FF82908ED1}">
            <xm:f>'ver.12 하'!#REF!&lt;$A$5/4*Y18</xm:f>
            <x14:dxf>
              <fill>
                <patternFill>
                  <bgColor theme="0"/>
                </patternFill>
              </fill>
            </x14:dxf>
          </x14:cfRule>
          <xm:sqref>X16 X21</xm:sqref>
        </x14:conditionalFormatting>
        <x14:conditionalFormatting xmlns:xm="http://schemas.microsoft.com/office/excel/2006/main">
          <x14:cfRule type="expression" priority="26" id="{A387A5D7-8C53-0D4B-BC3F-FCED82ABE9DD}">
            <xm:f>'ver.12 하'!#REF!&gt;$A$5/4*Y29</xm:f>
            <x14:dxf>
              <fill>
                <patternFill>
                  <bgColor theme="0"/>
                </patternFill>
              </fill>
            </x14:dxf>
          </x14:cfRule>
          <x14:cfRule type="expression" priority="25" id="{423106CE-D38F-2C4C-9166-E6E7061F7743}">
            <xm:f>'ver.12 하'!#REF!&lt;$A$5/4*Y28</xm:f>
            <x14:dxf>
              <fill>
                <patternFill>
                  <bgColor theme="0"/>
                </patternFill>
              </fill>
            </x14:dxf>
          </x14:cfRule>
          <xm:sqref>X26</xm:sqref>
        </x14:conditionalFormatting>
        <x14:conditionalFormatting xmlns:xm="http://schemas.microsoft.com/office/excel/2006/main">
          <x14:cfRule type="expression" priority="53" id="{D616F904-21FD-CB46-85C7-7931C872050F}">
            <xm:f>'ver.12 하'!#REF!&lt;$A$5/4*Y33</xm:f>
            <x14:dxf>
              <fill>
                <patternFill>
                  <bgColor theme="0"/>
                </patternFill>
              </fill>
            </x14:dxf>
          </x14:cfRule>
          <x14:cfRule type="expression" priority="54" id="{E0B1D23C-4494-1941-9D5F-D72E9B46DBA2}">
            <xm:f>'ver.12 하'!#REF!&gt;$A$5/4*Y34</xm:f>
            <x14:dxf>
              <fill>
                <patternFill>
                  <bgColor theme="0"/>
                </patternFill>
              </fill>
            </x14:dxf>
          </x14:cfRule>
          <xm:sqref>X31</xm:sqref>
        </x14:conditionalFormatting>
        <x14:conditionalFormatting xmlns:xm="http://schemas.microsoft.com/office/excel/2006/main">
          <x14:cfRule type="expression" priority="18" id="{DB0D6702-7FBF-8047-BD00-890110AFC1C0}">
            <xm:f>'ver.12 하'!#REF!&lt;$A$5/4*Y38</xm:f>
            <x14:dxf>
              <fill>
                <patternFill>
                  <bgColor theme="0"/>
                </patternFill>
              </fill>
            </x14:dxf>
          </x14:cfRule>
          <x14:cfRule type="expression" priority="19" id="{51C46887-E1C2-064D-BE48-379577947BA4}">
            <xm:f>'ver.12 하'!#REF!&gt;$A$5/4*Y39</xm:f>
            <x14:dxf>
              <fill>
                <patternFill>
                  <bgColor theme="0"/>
                </patternFill>
              </fill>
            </x14:dxf>
          </x14:cfRule>
          <xm:sqref>X36</xm:sqref>
        </x14:conditionalFormatting>
        <x14:conditionalFormatting xmlns:xm="http://schemas.microsoft.com/office/excel/2006/main">
          <x14:cfRule type="expression" priority="46" id="{5167AE92-2079-7D43-BFCE-9BA7ADEF9616}">
            <xm:f>'ver.12 하'!#REF!&lt;$A$5/4*Y43</xm:f>
            <x14:dxf>
              <fill>
                <patternFill>
                  <bgColor theme="0"/>
                </patternFill>
              </fill>
            </x14:dxf>
          </x14:cfRule>
          <x14:cfRule type="expression" priority="47" id="{9A45590F-9360-854C-AC9D-C080E79856F7}">
            <xm:f>'ver.12 하'!#REF!&gt;$A$5/4*Y44</xm:f>
            <x14:dxf>
              <fill>
                <patternFill>
                  <bgColor theme="0"/>
                </patternFill>
              </fill>
            </x14:dxf>
          </x14:cfRule>
          <xm:sqref>X41</xm:sqref>
        </x14:conditionalFormatting>
        <x14:conditionalFormatting xmlns:xm="http://schemas.microsoft.com/office/excel/2006/main">
          <x14:cfRule type="expression" priority="11" id="{8838BAEB-0DCF-6C40-881D-5CDE5105391A}">
            <xm:f>'ver.12 하'!#REF!&lt;$A$5/4*Y48</xm:f>
            <x14:dxf>
              <fill>
                <patternFill>
                  <bgColor theme="0"/>
                </patternFill>
              </fill>
            </x14:dxf>
          </x14:cfRule>
          <x14:cfRule type="expression" priority="12" id="{7193180F-0E7A-C14B-B666-C69F787B4C8E}">
            <xm:f>'ver.12 하'!#REF!&gt;$A$5/4*Y49</xm:f>
            <x14:dxf>
              <fill>
                <patternFill>
                  <bgColor theme="0"/>
                </patternFill>
              </fill>
            </x14:dxf>
          </x14:cfRule>
          <xm:sqref>X46</xm:sqref>
        </x14:conditionalFormatting>
        <x14:conditionalFormatting xmlns:xm="http://schemas.microsoft.com/office/excel/2006/main">
          <x14:cfRule type="expression" priority="40" id="{BFA83311-DB2A-7D4F-8F1E-25A613AAD181}">
            <xm:f>'ver.12 하'!#REF!&gt;$A$5/4*Y54</xm:f>
            <x14:dxf>
              <fill>
                <patternFill>
                  <bgColor theme="0"/>
                </patternFill>
              </fill>
            </x14:dxf>
          </x14:cfRule>
          <x14:cfRule type="expression" priority="39" id="{FDE45F2E-49E5-914D-8663-7F0368FC9C53}">
            <xm:f>'ver.12 하'!#REF!&lt;$A$5/4*Y53</xm:f>
            <x14:dxf>
              <fill>
                <patternFill>
                  <bgColor theme="0"/>
                </patternFill>
              </fill>
            </x14:dxf>
          </x14:cfRule>
          <xm:sqref>X51</xm:sqref>
        </x14:conditionalFormatting>
        <x14:conditionalFormatting xmlns:xm="http://schemas.microsoft.com/office/excel/2006/main">
          <x14:cfRule type="expression" priority="4" id="{D60447F1-58AF-1D46-892D-0B4E0F144266}">
            <xm:f>'ver.12 하'!#REF!&lt;$A$5/4*Y58</xm:f>
            <x14:dxf>
              <fill>
                <patternFill>
                  <bgColor theme="0"/>
                </patternFill>
              </fill>
            </x14:dxf>
          </x14:cfRule>
          <x14:cfRule type="expression" priority="5" id="{64D1021F-4413-884F-B8D2-817C6618D881}">
            <xm:f>'ver.12 하'!#REF!&gt;$A$5/4*Y59</xm:f>
            <x14:dxf>
              <fill>
                <patternFill>
                  <bgColor theme="0"/>
                </patternFill>
              </fill>
            </x14:dxf>
          </x14:cfRule>
          <xm:sqref>X56</xm:sqref>
        </x14:conditionalFormatting>
        <x14:conditionalFormatting xmlns:xm="http://schemas.microsoft.com/office/excel/2006/main">
          <x14:cfRule type="expression" priority="33" id="{E4E992F7-8A4C-9944-924F-BC339B84D64B}">
            <xm:f>'ver.12 하'!#REF!&gt;$A$5/4*Y64</xm:f>
            <x14:dxf>
              <fill>
                <patternFill>
                  <bgColor theme="0"/>
                </patternFill>
              </fill>
            </x14:dxf>
          </x14:cfRule>
          <x14:cfRule type="expression" priority="32" id="{BE9C2BAC-7CAC-144D-982F-E725E785B2FA}">
            <xm:f>'ver.12 하'!#REF!&lt;$A$5/4*Y63</xm:f>
            <x14:dxf>
              <fill>
                <patternFill>
                  <bgColor theme="0"/>
                </patternFill>
              </fill>
            </x14:dxf>
          </x14:cfRule>
          <xm:sqref>X61</xm:sqref>
        </x14:conditionalFormatting>
        <x14:conditionalFormatting xmlns:xm="http://schemas.microsoft.com/office/excel/2006/main">
          <x14:cfRule type="expression" priority="61" id="{2CA4F322-20FE-AE48-9708-2E244669E24E}">
            <xm:f>'ver.12 하'!#REF!&lt;$A$5/4*'ver.12 하'!#REF!</xm:f>
            <x14:dxf>
              <fill>
                <patternFill>
                  <bgColor theme="0"/>
                </patternFill>
              </fill>
            </x14:dxf>
          </x14:cfRule>
          <x14:cfRule type="expression" priority="62" id="{EA5FA935-E92F-CF41-BB30-E46BD9D8B894}">
            <xm:f>'ver.12 하'!#REF!&gt;$A$5/4*'ver.12 하'!#REF!</xm:f>
            <x14:dxf>
              <fill>
                <patternFill>
                  <bgColor theme="0"/>
                </patternFill>
              </fill>
            </x14:dxf>
          </x14:cfRule>
          <xm:sqref>Y16</xm:sqref>
        </x14:conditionalFormatting>
        <x14:conditionalFormatting xmlns:xm="http://schemas.microsoft.com/office/excel/2006/main">
          <x14:cfRule type="expression" priority="59" id="{496C04E1-D281-3B43-BCB9-0BF7051D1261}">
            <xm:f>'ver.12 하'!#REF!&lt;$A$5/4*'ver.12 하'!#REF!</xm:f>
            <x14:dxf>
              <fill>
                <patternFill>
                  <bgColor theme="0"/>
                </patternFill>
              </fill>
            </x14:dxf>
          </x14:cfRule>
          <x14:cfRule type="expression" priority="60" id="{4335259E-0519-3F4E-863D-BB02F5C0C489}">
            <xm:f>'ver.12 하'!#REF!&gt;$A$5/4*'ver.12 하'!#REF!</xm:f>
            <x14:dxf>
              <fill>
                <patternFill>
                  <bgColor theme="0"/>
                </patternFill>
              </fill>
            </x14:dxf>
          </x14:cfRule>
          <xm:sqref>Y21</xm:sqref>
        </x14:conditionalFormatting>
        <x14:conditionalFormatting xmlns:xm="http://schemas.microsoft.com/office/excel/2006/main">
          <x14:cfRule type="expression" priority="24" id="{2446A657-D190-B945-8870-6AA0CA9F29B3}">
            <xm:f>'ver.12 하'!#REF!&gt;$A$5/4*'ver.12 하'!#REF!</xm:f>
            <x14:dxf>
              <fill>
                <patternFill>
                  <bgColor theme="0"/>
                </patternFill>
              </fill>
            </x14:dxf>
          </x14:cfRule>
          <x14:cfRule type="expression" priority="23" id="{AE46053F-498F-D740-9E8F-FA54E1BE8C9E}">
            <xm:f>'ver.12 하'!#REF!&lt;$A$5/4*'ver.12 하'!#REF!</xm:f>
            <x14:dxf>
              <fill>
                <patternFill>
                  <bgColor theme="0"/>
                </patternFill>
              </fill>
            </x14:dxf>
          </x14:cfRule>
          <xm:sqref>Y26</xm:sqref>
        </x14:conditionalFormatting>
        <x14:conditionalFormatting xmlns:xm="http://schemas.microsoft.com/office/excel/2006/main">
          <x14:cfRule type="expression" priority="51" id="{E0638372-ABC6-A946-9ED7-5990D941FDE6}">
            <xm:f>'ver.12 하'!#REF!&lt;$A$5/4*'ver.12 하'!#REF!</xm:f>
            <x14:dxf>
              <fill>
                <patternFill>
                  <bgColor theme="0"/>
                </patternFill>
              </fill>
            </x14:dxf>
          </x14:cfRule>
          <x14:cfRule type="expression" priority="52" id="{E49C9211-00A2-9748-87A5-B7593A58382C}">
            <xm:f>'ver.12 하'!#REF!&gt;$A$5/4*'ver.12 하'!#REF!</xm:f>
            <x14:dxf>
              <fill>
                <patternFill>
                  <bgColor theme="0"/>
                </patternFill>
              </fill>
            </x14:dxf>
          </x14:cfRule>
          <xm:sqref>Y31</xm:sqref>
        </x14:conditionalFormatting>
        <x14:conditionalFormatting xmlns:xm="http://schemas.microsoft.com/office/excel/2006/main">
          <x14:cfRule type="expression" priority="16" id="{1A35444E-832B-7F49-BDD3-83DBF169578F}">
            <xm:f>'ver.12 하'!#REF!&lt;$A$5/4*'ver.12 하'!#REF!</xm:f>
            <x14:dxf>
              <fill>
                <patternFill>
                  <bgColor theme="0"/>
                </patternFill>
              </fill>
            </x14:dxf>
          </x14:cfRule>
          <x14:cfRule type="expression" priority="17" id="{25FBF2F6-B275-1841-BAC3-7E02E2FB9B51}">
            <xm:f>'ver.12 하'!#REF!&gt;$A$5/4*'ver.12 하'!#REF!</xm:f>
            <x14:dxf>
              <fill>
                <patternFill>
                  <bgColor theme="0"/>
                </patternFill>
              </fill>
            </x14:dxf>
          </x14:cfRule>
          <xm:sqref>Y36</xm:sqref>
        </x14:conditionalFormatting>
        <x14:conditionalFormatting xmlns:xm="http://schemas.microsoft.com/office/excel/2006/main">
          <x14:cfRule type="expression" priority="44" id="{B78AC010-9842-1141-9C82-9F1A4EC07DF3}">
            <xm:f>'ver.12 하'!#REF!&lt;$A$5/4*'ver.12 하'!#REF!</xm:f>
            <x14:dxf>
              <fill>
                <patternFill>
                  <bgColor theme="0"/>
                </patternFill>
              </fill>
            </x14:dxf>
          </x14:cfRule>
          <x14:cfRule type="expression" priority="45" id="{81F66023-6B34-9C45-B27C-885113059FE8}">
            <xm:f>'ver.12 하'!#REF!&gt;$A$5/4*'ver.12 하'!#REF!</xm:f>
            <x14:dxf>
              <fill>
                <patternFill>
                  <bgColor theme="0"/>
                </patternFill>
              </fill>
            </x14:dxf>
          </x14:cfRule>
          <xm:sqref>Y41</xm:sqref>
        </x14:conditionalFormatting>
        <x14:conditionalFormatting xmlns:xm="http://schemas.microsoft.com/office/excel/2006/main">
          <x14:cfRule type="expression" priority="10" id="{554C3A0B-3022-0B41-9CC4-497DE629E968}">
            <xm:f>'ver.12 하'!#REF!&gt;$A$5/4*'ver.12 하'!#REF!</xm:f>
            <x14:dxf>
              <fill>
                <patternFill>
                  <bgColor theme="0"/>
                </patternFill>
              </fill>
            </x14:dxf>
          </x14:cfRule>
          <x14:cfRule type="expression" priority="9" id="{E6EBBA32-0B75-ED4B-8707-A2128A06F40A}">
            <xm:f>'ver.12 하'!#REF!&lt;$A$5/4*'ver.12 하'!#REF!</xm:f>
            <x14:dxf>
              <fill>
                <patternFill>
                  <bgColor theme="0"/>
                </patternFill>
              </fill>
            </x14:dxf>
          </x14:cfRule>
          <xm:sqref>Y46</xm:sqref>
        </x14:conditionalFormatting>
        <x14:conditionalFormatting xmlns:xm="http://schemas.microsoft.com/office/excel/2006/main">
          <x14:cfRule type="expression" priority="38" id="{6703DD64-CC94-0E4F-9F35-F0700E20644A}">
            <xm:f>'ver.12 하'!#REF!&gt;$A$5/4*'ver.12 하'!#REF!</xm:f>
            <x14:dxf>
              <fill>
                <patternFill>
                  <bgColor theme="0"/>
                </patternFill>
              </fill>
            </x14:dxf>
          </x14:cfRule>
          <x14:cfRule type="expression" priority="37" id="{7A7001AA-E1B5-B64E-940A-640449F1BB16}">
            <xm:f>'ver.12 하'!#REF!&lt;$A$5/4*'ver.12 하'!#REF!</xm:f>
            <x14:dxf>
              <fill>
                <patternFill>
                  <bgColor theme="0"/>
                </patternFill>
              </fill>
            </x14:dxf>
          </x14:cfRule>
          <xm:sqref>Y51</xm:sqref>
        </x14:conditionalFormatting>
        <x14:conditionalFormatting xmlns:xm="http://schemas.microsoft.com/office/excel/2006/main">
          <x14:cfRule type="expression" priority="3" id="{D6A33785-A07B-B64B-8D91-D39B3BF72821}">
            <xm:f>'ver.12 하'!#REF!&gt;$A$5/4*'ver.12 하'!#REF!</xm:f>
            <x14:dxf>
              <fill>
                <patternFill>
                  <bgColor theme="0"/>
                </patternFill>
              </fill>
            </x14:dxf>
          </x14:cfRule>
          <x14:cfRule type="expression" priority="2" id="{BCC77704-8547-9041-9FA0-D7127B76396B}">
            <xm:f>'ver.12 하'!#REF!&lt;$A$5/4*'ver.12 하'!#REF!</xm:f>
            <x14:dxf>
              <fill>
                <patternFill>
                  <bgColor theme="0"/>
                </patternFill>
              </fill>
            </x14:dxf>
          </x14:cfRule>
          <xm:sqref>Y56</xm:sqref>
        </x14:conditionalFormatting>
        <x14:conditionalFormatting xmlns:xm="http://schemas.microsoft.com/office/excel/2006/main">
          <x14:cfRule type="expression" priority="31" id="{9827FC0D-3B42-0843-8332-A9EF17A5B56E}">
            <xm:f>'ver.12 하'!#REF!&gt;$A$5/4*'ver.12 하'!#REF!</xm:f>
            <x14:dxf>
              <fill>
                <patternFill>
                  <bgColor theme="0"/>
                </patternFill>
              </fill>
            </x14:dxf>
          </x14:cfRule>
          <x14:cfRule type="expression" priority="30" id="{9B963426-003C-9642-9C7C-5F780DFD3A7D}">
            <xm:f>'ver.12 하'!#REF!&lt;$A$5/4*'ver.12 하'!#REF!</xm:f>
            <x14:dxf>
              <fill>
                <patternFill>
                  <bgColor theme="0"/>
                </patternFill>
              </fill>
            </x14:dxf>
          </x14:cfRule>
          <xm:sqref>Y61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상1분기</vt:lpstr>
      <vt:lpstr>하1분기</vt:lpstr>
      <vt:lpstr>하2분기</vt:lpstr>
      <vt:lpstr>등2분기</vt:lpstr>
      <vt:lpstr>상3cycle</vt:lpstr>
      <vt:lpstr>하3cycle</vt:lpstr>
      <vt:lpstr>상4c</vt:lpstr>
      <vt:lpstr>하4c</vt:lpstr>
      <vt:lpstr>상7c</vt:lpstr>
      <vt:lpstr>하7c</vt:lpstr>
      <vt:lpstr>Ver.17</vt:lpstr>
      <vt:lpstr>Sheet1</vt:lpstr>
      <vt:lpstr>Ver.16</vt:lpstr>
      <vt:lpstr>ver.15</vt:lpstr>
      <vt:lpstr>VER.14</vt:lpstr>
      <vt:lpstr>ver.13</vt:lpstr>
      <vt:lpstr>ver.12 하</vt:lpstr>
      <vt:lpstr>ver.12 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유진 장</dc:creator>
  <cp:lastModifiedBy>.</cp:lastModifiedBy>
  <dcterms:created xsi:type="dcterms:W3CDTF">2023-11-17T12:54:10Z</dcterms:created>
  <dcterms:modified xsi:type="dcterms:W3CDTF">2024-06-20T06:35:28Z</dcterms:modified>
</cp:coreProperties>
</file>