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unter Rohovit\Desktop\TVC Rocket Project\Simulation\"/>
    </mc:Choice>
  </mc:AlternateContent>
  <xr:revisionPtr revIDLastSave="0" documentId="13_ncr:1_{EF2452ED-F494-472B-AC6F-4BBB4FE4124F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K32" i="1"/>
  <c r="I19" i="1"/>
  <c r="I18" i="1"/>
  <c r="M7" i="1" l="1"/>
  <c r="F30" i="1" s="1"/>
  <c r="M9" i="1"/>
  <c r="M4" i="1"/>
  <c r="Q4" i="1" s="1"/>
  <c r="M12" i="1"/>
  <c r="M10" i="1"/>
  <c r="Q10" i="1" s="1"/>
  <c r="F35" i="1"/>
  <c r="M15" i="1"/>
  <c r="M13" i="1"/>
  <c r="M8" i="1"/>
  <c r="E39" i="1"/>
  <c r="E36" i="1"/>
  <c r="E30" i="1"/>
  <c r="E80" i="1"/>
  <c r="E79" i="1"/>
  <c r="K39" i="1"/>
  <c r="K27" i="1"/>
  <c r="E76" i="1"/>
  <c r="E67" i="1"/>
  <c r="E70" i="1" s="1"/>
  <c r="E37" i="1" s="1"/>
  <c r="E64" i="1"/>
  <c r="E57" i="1"/>
  <c r="E58" i="1" s="1"/>
  <c r="I13" i="1"/>
  <c r="E51" i="1"/>
  <c r="E52" i="1" s="1"/>
  <c r="F29" i="1"/>
  <c r="F34" i="1"/>
  <c r="Q6" i="1"/>
  <c r="Q7" i="1"/>
  <c r="Q8" i="1"/>
  <c r="Q9" i="1"/>
  <c r="Q11" i="1"/>
  <c r="M17" i="1"/>
  <c r="Q17" i="1" s="1"/>
  <c r="F38" i="1"/>
  <c r="Q13" i="1"/>
  <c r="F31" i="1"/>
  <c r="F32" i="1"/>
  <c r="M5" i="1"/>
  <c r="Q5" i="1" s="1"/>
  <c r="E5" i="1"/>
  <c r="I5" i="1" s="1"/>
  <c r="E82" i="1" l="1"/>
  <c r="Q12" i="1"/>
  <c r="E83" i="1"/>
  <c r="E28" i="1" s="1"/>
  <c r="F28" i="1"/>
  <c r="F33" i="1"/>
  <c r="F36" i="1"/>
  <c r="Q15" i="1"/>
  <c r="F27" i="1"/>
  <c r="F40" i="1"/>
  <c r="M14" i="1"/>
  <c r="M16" i="1"/>
  <c r="E18" i="1"/>
  <c r="M18" i="1" s="1"/>
  <c r="O27" i="1" l="1"/>
  <c r="O29" i="1" s="1"/>
  <c r="Q16" i="1"/>
  <c r="F39" i="1"/>
  <c r="Q14" i="1"/>
  <c r="F37" i="1"/>
  <c r="Q18" i="1"/>
  <c r="G32" i="1" l="1"/>
  <c r="H32" i="1" s="1"/>
  <c r="G37" i="1"/>
  <c r="H37" i="1" s="1"/>
  <c r="G33" i="1"/>
  <c r="H33" i="1" s="1"/>
  <c r="G40" i="1"/>
  <c r="H40" i="1" s="1"/>
  <c r="G27" i="1"/>
  <c r="H27" i="1" s="1"/>
  <c r="G29" i="1"/>
  <c r="H29" i="1" s="1"/>
  <c r="G28" i="1"/>
  <c r="H28" i="1" s="1"/>
  <c r="G38" i="1"/>
  <c r="H38" i="1" s="1"/>
  <c r="G35" i="1"/>
  <c r="H35" i="1" s="1"/>
  <c r="H30" i="1"/>
  <c r="G34" i="1"/>
  <c r="H34" i="1" s="1"/>
  <c r="G36" i="1"/>
  <c r="H36" i="1" s="1"/>
  <c r="G39" i="1"/>
  <c r="H39" i="1" s="1"/>
  <c r="G31" i="1"/>
  <c r="H31" i="1" s="1"/>
  <c r="H41" i="1" l="1"/>
  <c r="K33" i="1" s="1"/>
  <c r="K29" i="1"/>
  <c r="K30" i="1" s="1"/>
  <c r="K31" i="1" s="1"/>
  <c r="K34" i="1" l="1"/>
  <c r="K35" i="1" s="1"/>
  <c r="K40" i="1" l="1"/>
  <c r="K41" i="1" s="1"/>
</calcChain>
</file>

<file path=xl/sharedStrings.xml><?xml version="1.0" encoding="utf-8"?>
<sst xmlns="http://schemas.openxmlformats.org/spreadsheetml/2006/main" count="267" uniqueCount="100">
  <si>
    <t xml:space="preserve">Name </t>
  </si>
  <si>
    <t>Mass</t>
  </si>
  <si>
    <t>Units</t>
  </si>
  <si>
    <t>Gimbal Mount</t>
  </si>
  <si>
    <t>Cardboard Airframe</t>
  </si>
  <si>
    <t>Nosecone</t>
  </si>
  <si>
    <t xml:space="preserve">Total Wet Mass </t>
  </si>
  <si>
    <t xml:space="preserve">Total Dry Mass </t>
  </si>
  <si>
    <t>Rocket Motor</t>
  </si>
  <si>
    <t>Parachute</t>
  </si>
  <si>
    <t>g</t>
  </si>
  <si>
    <t>Name</t>
  </si>
  <si>
    <t>Distance From Nose Tip</t>
  </si>
  <si>
    <t>Center of Gravity (w/ Wet Mass)</t>
  </si>
  <si>
    <t>Center of Gravity (w/ Dry Mass)</t>
  </si>
  <si>
    <t>Piston Canister Bulkhead</t>
  </si>
  <si>
    <t>Piston Cap</t>
  </si>
  <si>
    <t>Battery + Mount</t>
  </si>
  <si>
    <t>Nosecone Bulkhead</t>
  </si>
  <si>
    <t>Flight Computer + Mount</t>
  </si>
  <si>
    <t>Fasteners</t>
  </si>
  <si>
    <t>Shock Cord</t>
  </si>
  <si>
    <t>Other</t>
  </si>
  <si>
    <t>Launch Pad Mount</t>
  </si>
  <si>
    <t>g/in</t>
  </si>
  <si>
    <t xml:space="preserve">Total Estimated Wet Mass </t>
  </si>
  <si>
    <t>Actual Wet Mass</t>
  </si>
  <si>
    <t>Actual Dry Mass</t>
  </si>
  <si>
    <t>Estimated CG Location</t>
  </si>
  <si>
    <t>Actual CG Location</t>
  </si>
  <si>
    <t>in</t>
  </si>
  <si>
    <t>Cardboard Airframe Length</t>
  </si>
  <si>
    <t>Airframe Linear Density</t>
  </si>
  <si>
    <t>Length of Nosecone</t>
  </si>
  <si>
    <t>Local MOI</t>
  </si>
  <si>
    <t>N*m</t>
  </si>
  <si>
    <t>Moment of Inertia (w/ Wet Mass)</t>
  </si>
  <si>
    <t>Local CG Location (in)</t>
  </si>
  <si>
    <t>Distance to Universal CG (in)</t>
  </si>
  <si>
    <t>Actual MOI</t>
  </si>
  <si>
    <t>Estimated MOI</t>
  </si>
  <si>
    <t>Local MOI (lbm*in^2)</t>
  </si>
  <si>
    <t>MOI about Universal CG (lbm*in^2)</t>
  </si>
  <si>
    <t>**Local MOI &amp;CG found from Solidworks</t>
  </si>
  <si>
    <t>Motor MOI Estimation</t>
  </si>
  <si>
    <t>Motor Length</t>
  </si>
  <si>
    <t>Motor Diameter</t>
  </si>
  <si>
    <t>Motor Weight</t>
  </si>
  <si>
    <t>mm</t>
  </si>
  <si>
    <t>**CG is defined from nose tip of the rocket</t>
  </si>
  <si>
    <t>g*mm^2</t>
  </si>
  <si>
    <t>lbm*in^2</t>
  </si>
  <si>
    <t xml:space="preserve">Total Estimated Dry Mass </t>
  </si>
  <si>
    <t>Parachute MOI Estimation</t>
  </si>
  <si>
    <t>Packed Parachute Length</t>
  </si>
  <si>
    <t>Packed Parachute Diameter</t>
  </si>
  <si>
    <t>Prachute Weight</t>
  </si>
  <si>
    <t>Shock Cord MOI Estimation</t>
  </si>
  <si>
    <t>Packed Shock Cord Length</t>
  </si>
  <si>
    <t>Packed Shock Cord Diameter</t>
  </si>
  <si>
    <t>Shock Cord Weight</t>
  </si>
  <si>
    <t>Fasteners MOI Estimation</t>
  </si>
  <si>
    <t>Fasteners Distribution Length</t>
  </si>
  <si>
    <t>Fasteners Distribution Diameter</t>
  </si>
  <si>
    <t>Total Fasteners Weight</t>
  </si>
  <si>
    <t>"Other" MOI Estimation</t>
  </si>
  <si>
    <t>Distribution Length</t>
  </si>
  <si>
    <t>Distribution Diameter</t>
  </si>
  <si>
    <t>Total Other Weight</t>
  </si>
  <si>
    <t>Gimbal Angle</t>
  </si>
  <si>
    <t>Rocket Motor Thrust</t>
  </si>
  <si>
    <t>Angular Acceleration from Thrust Vectoring</t>
  </si>
  <si>
    <t>Distance From CG to Thrust Vector</t>
  </si>
  <si>
    <t>Angular Acceleration</t>
  </si>
  <si>
    <t>N</t>
  </si>
  <si>
    <t>Rad</t>
  </si>
  <si>
    <t>Degrees</t>
  </si>
  <si>
    <t>Torque</t>
  </si>
  <si>
    <t>m</t>
  </si>
  <si>
    <t>MOI</t>
  </si>
  <si>
    <t>kg*m^2</t>
  </si>
  <si>
    <t>Rad/s^2</t>
  </si>
  <si>
    <t>Degrees/s^2</t>
  </si>
  <si>
    <t>Rotation Maneuver Time</t>
  </si>
  <si>
    <t>Angle</t>
  </si>
  <si>
    <t>Time</t>
  </si>
  <si>
    <t>s</t>
  </si>
  <si>
    <t>Aiframe MOI Estimation</t>
  </si>
  <si>
    <t>Airframe Length</t>
  </si>
  <si>
    <t>Airframe Inner Radius</t>
  </si>
  <si>
    <t>Airframe Outer Radius</t>
  </si>
  <si>
    <t>Aiframe Weight</t>
  </si>
  <si>
    <t>**For a cylinder with uniform mass about its lateral axis</t>
  </si>
  <si>
    <t>Static Margin Calculation</t>
  </si>
  <si>
    <t>Xcp</t>
  </si>
  <si>
    <t>Xcg</t>
  </si>
  <si>
    <t>Diameter</t>
  </si>
  <si>
    <t>**explanation of how CP was found in "CP Calculation"word document</t>
  </si>
  <si>
    <t>Static Margin</t>
  </si>
  <si>
    <t>**Experimentally dervied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</si>
</sst>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11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3" xfId="0" applyFill="1" applyBorder="1"/>
    <xf numFmtId="0" fontId="0" fillId="4" borderId="11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4" xfId="0" applyFill="1" applyBorder="1"/>
    <xf numFmtId="164" fontId="0" fillId="0" borderId="0" xfId="0" applyNumberForma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888ACC3-A252-45E1-9A5B-79C2AD61EB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4123</xdr:colOff>
      <xdr:row>41</xdr:row>
      <xdr:rowOff>86593</xdr:rowOff>
    </xdr:from>
    <xdr:to>
      <xdr:col>4</xdr:col>
      <xdr:colOff>180458</xdr:colOff>
      <xdr:row>45</xdr:row>
      <xdr:rowOff>10358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8574B6-30B0-E6E9-738B-4086C91AE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4902" y="7743703"/>
          <a:ext cx="2160650" cy="670096"/>
        </a:xfrm>
        <a:prstGeom prst="rect">
          <a:avLst/>
        </a:prstGeom>
      </xdr:spPr>
    </xdr:pic>
    <xdr:clientData/>
  </xdr:twoCellAnchor>
  <xdr:twoCellAnchor editAs="oneCell">
    <xdr:from>
      <xdr:col>16</xdr:col>
      <xdr:colOff>112573</xdr:colOff>
      <xdr:row>25</xdr:row>
      <xdr:rowOff>21910</xdr:rowOff>
    </xdr:from>
    <xdr:to>
      <xdr:col>19</xdr:col>
      <xdr:colOff>230</xdr:colOff>
      <xdr:row>29</xdr:row>
      <xdr:rowOff>16210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D1570E-117C-B41E-07B3-C6DCDA867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01312" y="4676736"/>
          <a:ext cx="2565701" cy="75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Z83"/>
  <sheetViews>
    <sheetView tabSelected="1" topLeftCell="F1" zoomScale="85" zoomScaleNormal="85" workbookViewId="0">
      <selection activeCell="G30" sqref="G30"/>
    </sheetView>
  </sheetViews>
  <sheetFormatPr defaultRowHeight="14.5" x14ac:dyDescent="0.35"/>
  <cols>
    <col min="4" max="4" width="28.36328125" customWidth="1"/>
    <col min="5" max="5" width="18.26953125" customWidth="1"/>
    <col min="6" max="6" width="21.08984375" customWidth="1"/>
    <col min="7" max="7" width="24.36328125" customWidth="1"/>
    <col min="8" max="8" width="30.26953125" customWidth="1"/>
    <col min="10" max="10" width="31.08984375" customWidth="1"/>
    <col min="11" max="11" width="19.26953125" customWidth="1"/>
    <col min="12" max="12" width="23.54296875" customWidth="1"/>
    <col min="13" max="13" width="19.90625" customWidth="1"/>
    <col min="14" max="14" width="19.36328125" customWidth="1"/>
    <col min="16" max="16" width="20" customWidth="1"/>
    <col min="17" max="17" width="20.90625" customWidth="1"/>
  </cols>
  <sheetData>
    <row r="1" spans="4:26" ht="15" thickBot="1" x14ac:dyDescent="0.4"/>
    <row r="2" spans="4:26" ht="15" thickBot="1" x14ac:dyDescent="0.4">
      <c r="D2" s="30" t="s">
        <v>6</v>
      </c>
      <c r="E2" s="31"/>
      <c r="F2" s="32"/>
      <c r="H2" s="30" t="s">
        <v>7</v>
      </c>
      <c r="I2" s="31"/>
      <c r="J2" s="32"/>
      <c r="L2" s="30" t="s">
        <v>13</v>
      </c>
      <c r="M2" s="31"/>
      <c r="N2" s="32"/>
      <c r="P2" s="30" t="s">
        <v>14</v>
      </c>
      <c r="Q2" s="31"/>
      <c r="R2" s="32"/>
      <c r="X2" s="1"/>
      <c r="Y2" s="1"/>
      <c r="Z2" s="1"/>
    </row>
    <row r="3" spans="4:26" ht="15" thickBot="1" x14ac:dyDescent="0.4">
      <c r="D3" s="6" t="s">
        <v>0</v>
      </c>
      <c r="E3" s="7" t="s">
        <v>1</v>
      </c>
      <c r="F3" s="8" t="s">
        <v>2</v>
      </c>
      <c r="H3" s="6" t="s">
        <v>0</v>
      </c>
      <c r="I3" s="7" t="s">
        <v>1</v>
      </c>
      <c r="J3" s="8" t="s">
        <v>2</v>
      </c>
      <c r="L3" s="6" t="s">
        <v>11</v>
      </c>
      <c r="M3" s="7" t="s">
        <v>12</v>
      </c>
      <c r="N3" s="8" t="s">
        <v>2</v>
      </c>
      <c r="P3" s="6" t="s">
        <v>11</v>
      </c>
      <c r="Q3" s="7" t="s">
        <v>12</v>
      </c>
      <c r="R3" s="8" t="s">
        <v>2</v>
      </c>
    </row>
    <row r="4" spans="4:26" x14ac:dyDescent="0.35">
      <c r="D4" s="12" t="s">
        <v>3</v>
      </c>
      <c r="E4" s="13">
        <v>85</v>
      </c>
      <c r="F4" s="14" t="s">
        <v>10</v>
      </c>
      <c r="H4" s="12" t="s">
        <v>3</v>
      </c>
      <c r="I4" s="13">
        <v>85</v>
      </c>
      <c r="J4" s="14" t="s">
        <v>10</v>
      </c>
      <c r="L4" s="12" t="s">
        <v>3</v>
      </c>
      <c r="M4">
        <f>0.03+4.07+E21</f>
        <v>34.1</v>
      </c>
      <c r="N4" s="3" t="s">
        <v>30</v>
      </c>
      <c r="P4" s="12" t="s">
        <v>3</v>
      </c>
      <c r="Q4" s="13">
        <f>M4</f>
        <v>34.1</v>
      </c>
      <c r="R4" s="3" t="s">
        <v>30</v>
      </c>
    </row>
    <row r="5" spans="4:26" x14ac:dyDescent="0.35">
      <c r="D5" s="2" t="s">
        <v>4</v>
      </c>
      <c r="E5">
        <f>E21*E22</f>
        <v>195</v>
      </c>
      <c r="F5" s="3" t="s">
        <v>10</v>
      </c>
      <c r="H5" s="2" t="s">
        <v>4</v>
      </c>
      <c r="I5">
        <f>E5</f>
        <v>195</v>
      </c>
      <c r="J5" s="3" t="s">
        <v>10</v>
      </c>
      <c r="L5" s="2" t="s">
        <v>4</v>
      </c>
      <c r="M5">
        <f>E21/2+4.07</f>
        <v>19.07</v>
      </c>
      <c r="N5" s="3" t="s">
        <v>30</v>
      </c>
      <c r="P5" s="2" t="s">
        <v>4</v>
      </c>
      <c r="Q5">
        <f t="shared" ref="Q5:Q17" si="0">M5</f>
        <v>19.07</v>
      </c>
      <c r="R5" s="3" t="s">
        <v>30</v>
      </c>
    </row>
    <row r="6" spans="4:26" x14ac:dyDescent="0.35">
      <c r="D6" s="2" t="s">
        <v>5</v>
      </c>
      <c r="E6">
        <v>36</v>
      </c>
      <c r="F6" s="3" t="s">
        <v>10</v>
      </c>
      <c r="H6" s="2" t="s">
        <v>5</v>
      </c>
      <c r="I6">
        <v>36</v>
      </c>
      <c r="J6" s="3" t="s">
        <v>10</v>
      </c>
      <c r="L6" s="2" t="s">
        <v>5</v>
      </c>
      <c r="M6">
        <v>3.31</v>
      </c>
      <c r="N6" s="3" t="s">
        <v>30</v>
      </c>
      <c r="P6" s="2" t="s">
        <v>5</v>
      </c>
      <c r="Q6">
        <f t="shared" si="0"/>
        <v>3.31</v>
      </c>
      <c r="R6" s="3" t="s">
        <v>30</v>
      </c>
    </row>
    <row r="7" spans="4:26" x14ac:dyDescent="0.35">
      <c r="D7" s="2" t="s">
        <v>8</v>
      </c>
      <c r="E7">
        <v>71</v>
      </c>
      <c r="F7" s="3" t="s">
        <v>10</v>
      </c>
      <c r="H7" s="2" t="s">
        <v>8</v>
      </c>
      <c r="I7">
        <v>31</v>
      </c>
      <c r="J7" s="3" t="s">
        <v>10</v>
      </c>
      <c r="L7" s="2" t="s">
        <v>8</v>
      </c>
      <c r="M7">
        <f>0.95+4.07+E21</f>
        <v>35.020000000000003</v>
      </c>
      <c r="N7" s="3" t="s">
        <v>30</v>
      </c>
      <c r="P7" s="2" t="s">
        <v>8</v>
      </c>
      <c r="Q7">
        <f t="shared" si="0"/>
        <v>35.020000000000003</v>
      </c>
      <c r="R7" s="3" t="s">
        <v>30</v>
      </c>
    </row>
    <row r="8" spans="4:26" x14ac:dyDescent="0.35">
      <c r="D8" s="2" t="s">
        <v>15</v>
      </c>
      <c r="E8">
        <v>28</v>
      </c>
      <c r="F8" s="3" t="s">
        <v>10</v>
      </c>
      <c r="H8" s="2" t="s">
        <v>15</v>
      </c>
      <c r="I8">
        <v>28</v>
      </c>
      <c r="J8" s="3" t="s">
        <v>10</v>
      </c>
      <c r="L8" s="2" t="s">
        <v>15</v>
      </c>
      <c r="M8">
        <f>-0.08+4.07+7.83</f>
        <v>11.82</v>
      </c>
      <c r="N8" s="3" t="s">
        <v>30</v>
      </c>
      <c r="P8" s="2" t="s">
        <v>15</v>
      </c>
      <c r="Q8">
        <f t="shared" si="0"/>
        <v>11.82</v>
      </c>
      <c r="R8" s="3" t="s">
        <v>30</v>
      </c>
    </row>
    <row r="9" spans="4:26" x14ac:dyDescent="0.35">
      <c r="D9" s="2" t="s">
        <v>16</v>
      </c>
      <c r="E9">
        <v>35</v>
      </c>
      <c r="F9" s="3" t="s">
        <v>10</v>
      </c>
      <c r="H9" s="2" t="s">
        <v>16</v>
      </c>
      <c r="I9">
        <v>20</v>
      </c>
      <c r="J9" s="3" t="s">
        <v>10</v>
      </c>
      <c r="L9" s="2" t="s">
        <v>16</v>
      </c>
      <c r="M9">
        <f>0.34+4.07+6</f>
        <v>10.41</v>
      </c>
      <c r="N9" s="3" t="s">
        <v>30</v>
      </c>
      <c r="P9" s="2" t="s">
        <v>16</v>
      </c>
      <c r="Q9">
        <f t="shared" si="0"/>
        <v>10.41</v>
      </c>
      <c r="R9" s="3" t="s">
        <v>30</v>
      </c>
    </row>
    <row r="10" spans="4:26" x14ac:dyDescent="0.35">
      <c r="D10" s="2" t="s">
        <v>17</v>
      </c>
      <c r="E10">
        <v>127</v>
      </c>
      <c r="F10" s="3" t="s">
        <v>10</v>
      </c>
      <c r="H10" s="2" t="s">
        <v>17</v>
      </c>
      <c r="I10">
        <v>127</v>
      </c>
      <c r="J10" s="3" t="s">
        <v>10</v>
      </c>
      <c r="L10" s="2" t="s">
        <v>17</v>
      </c>
      <c r="M10">
        <f>4.07+9.65</f>
        <v>13.72</v>
      </c>
      <c r="N10" s="3" t="s">
        <v>30</v>
      </c>
      <c r="P10" s="2" t="s">
        <v>17</v>
      </c>
      <c r="Q10">
        <f t="shared" si="0"/>
        <v>13.72</v>
      </c>
      <c r="R10" s="3" t="s">
        <v>30</v>
      </c>
    </row>
    <row r="11" spans="4:26" x14ac:dyDescent="0.35">
      <c r="D11" s="2" t="s">
        <v>18</v>
      </c>
      <c r="E11">
        <v>13</v>
      </c>
      <c r="F11" s="3" t="s">
        <v>10</v>
      </c>
      <c r="H11" s="2" t="s">
        <v>18</v>
      </c>
      <c r="I11">
        <v>13</v>
      </c>
      <c r="J11" s="3" t="s">
        <v>10</v>
      </c>
      <c r="L11" s="2" t="s">
        <v>18</v>
      </c>
      <c r="M11">
        <v>4.12</v>
      </c>
      <c r="N11" s="3" t="s">
        <v>30</v>
      </c>
      <c r="P11" s="2" t="s">
        <v>18</v>
      </c>
      <c r="Q11">
        <f t="shared" si="0"/>
        <v>4.12</v>
      </c>
      <c r="R11" s="3" t="s">
        <v>30</v>
      </c>
    </row>
    <row r="12" spans="4:26" x14ac:dyDescent="0.35">
      <c r="D12" s="2" t="s">
        <v>19</v>
      </c>
      <c r="E12">
        <v>86</v>
      </c>
      <c r="F12" s="3" t="s">
        <v>10</v>
      </c>
      <c r="H12" s="2" t="s">
        <v>19</v>
      </c>
      <c r="I12">
        <v>86</v>
      </c>
      <c r="J12" s="3" t="s">
        <v>10</v>
      </c>
      <c r="L12" s="2" t="s">
        <v>19</v>
      </c>
      <c r="M12">
        <f>4.07+14</f>
        <v>18.07</v>
      </c>
      <c r="N12" s="3" t="s">
        <v>30</v>
      </c>
      <c r="P12" s="2" t="s">
        <v>19</v>
      </c>
      <c r="Q12">
        <f t="shared" si="0"/>
        <v>18.07</v>
      </c>
      <c r="R12" s="3" t="s">
        <v>30</v>
      </c>
    </row>
    <row r="13" spans="4:26" x14ac:dyDescent="0.35">
      <c r="D13" s="2" t="s">
        <v>9</v>
      </c>
      <c r="E13">
        <v>65</v>
      </c>
      <c r="F13" s="3" t="s">
        <v>10</v>
      </c>
      <c r="H13" s="2" t="s">
        <v>9</v>
      </c>
      <c r="I13">
        <f>E13</f>
        <v>65</v>
      </c>
      <c r="J13" s="3" t="s">
        <v>10</v>
      </c>
      <c r="L13" s="2" t="s">
        <v>9</v>
      </c>
      <c r="M13">
        <f>3.25+4.07</f>
        <v>7.32</v>
      </c>
      <c r="N13" s="3" t="s">
        <v>30</v>
      </c>
      <c r="P13" s="2" t="s">
        <v>9</v>
      </c>
      <c r="Q13">
        <f t="shared" si="0"/>
        <v>7.32</v>
      </c>
      <c r="R13" s="3" t="s">
        <v>30</v>
      </c>
    </row>
    <row r="14" spans="4:26" x14ac:dyDescent="0.35">
      <c r="D14" s="2" t="s">
        <v>20</v>
      </c>
      <c r="E14">
        <v>15</v>
      </c>
      <c r="F14" s="3" t="s">
        <v>10</v>
      </c>
      <c r="H14" s="2" t="s">
        <v>20</v>
      </c>
      <c r="I14">
        <v>15</v>
      </c>
      <c r="J14" s="3" t="s">
        <v>10</v>
      </c>
      <c r="L14" s="2" t="s">
        <v>20</v>
      </c>
      <c r="M14">
        <f>M5</f>
        <v>19.07</v>
      </c>
      <c r="N14" s="3" t="s">
        <v>30</v>
      </c>
      <c r="P14" s="2" t="s">
        <v>20</v>
      </c>
      <c r="Q14">
        <f t="shared" si="0"/>
        <v>19.07</v>
      </c>
      <c r="R14" s="3" t="s">
        <v>30</v>
      </c>
    </row>
    <row r="15" spans="4:26" x14ac:dyDescent="0.35">
      <c r="D15" s="2" t="s">
        <v>21</v>
      </c>
      <c r="E15">
        <v>54</v>
      </c>
      <c r="F15" s="3" t="s">
        <v>10</v>
      </c>
      <c r="H15" s="2" t="s">
        <v>21</v>
      </c>
      <c r="I15">
        <v>54</v>
      </c>
      <c r="J15" s="3" t="s">
        <v>10</v>
      </c>
      <c r="L15" s="2" t="s">
        <v>21</v>
      </c>
      <c r="M15">
        <f>3.25+4.07</f>
        <v>7.32</v>
      </c>
      <c r="N15" s="3" t="s">
        <v>30</v>
      </c>
      <c r="P15" s="2" t="s">
        <v>21</v>
      </c>
      <c r="Q15">
        <f t="shared" si="0"/>
        <v>7.32</v>
      </c>
      <c r="R15" s="3" t="s">
        <v>30</v>
      </c>
    </row>
    <row r="16" spans="4:26" x14ac:dyDescent="0.35">
      <c r="D16" s="2" t="s">
        <v>22</v>
      </c>
      <c r="E16">
        <v>50</v>
      </c>
      <c r="F16" s="3" t="s">
        <v>10</v>
      </c>
      <c r="H16" s="2" t="s">
        <v>22</v>
      </c>
      <c r="I16">
        <v>30</v>
      </c>
      <c r="J16" s="3" t="s">
        <v>10</v>
      </c>
      <c r="L16" s="2" t="s">
        <v>22</v>
      </c>
      <c r="M16">
        <f>(M8+M4)/2</f>
        <v>22.96</v>
      </c>
      <c r="N16" s="3" t="s">
        <v>30</v>
      </c>
      <c r="P16" s="2" t="s">
        <v>22</v>
      </c>
      <c r="Q16">
        <f t="shared" si="0"/>
        <v>22.96</v>
      </c>
      <c r="R16" s="3" t="s">
        <v>30</v>
      </c>
    </row>
    <row r="17" spans="4:18" ht="15" thickBot="1" x14ac:dyDescent="0.4">
      <c r="D17" s="2" t="s">
        <v>23</v>
      </c>
      <c r="E17">
        <v>10</v>
      </c>
      <c r="F17" s="3" t="s">
        <v>10</v>
      </c>
      <c r="G17" s="1"/>
      <c r="H17" s="2" t="s">
        <v>23</v>
      </c>
      <c r="I17">
        <v>10</v>
      </c>
      <c r="J17" s="3" t="s">
        <v>10</v>
      </c>
      <c r="K17" s="1"/>
      <c r="L17" s="2" t="s">
        <v>23</v>
      </c>
      <c r="M17" s="22">
        <f>-0.25+E21+4.07</f>
        <v>33.82</v>
      </c>
      <c r="N17" s="3" t="s">
        <v>30</v>
      </c>
      <c r="P17" s="2" t="s">
        <v>23</v>
      </c>
      <c r="Q17">
        <f t="shared" si="0"/>
        <v>33.82</v>
      </c>
      <c r="R17" s="3" t="s">
        <v>30</v>
      </c>
    </row>
    <row r="18" spans="4:18" ht="15" thickBot="1" x14ac:dyDescent="0.4">
      <c r="D18" s="15" t="s">
        <v>25</v>
      </c>
      <c r="E18" s="16">
        <f>SUM(E4:E17)</f>
        <v>870</v>
      </c>
      <c r="F18" s="17" t="s">
        <v>10</v>
      </c>
      <c r="H18" s="9" t="s">
        <v>52</v>
      </c>
      <c r="I18" s="10">
        <f>SUM(I4:I17)</f>
        <v>795</v>
      </c>
      <c r="J18" s="11" t="s">
        <v>10</v>
      </c>
      <c r="L18" s="9" t="s">
        <v>28</v>
      </c>
      <c r="M18" s="10">
        <f>SUMPRODUCT(M4:M17,E4:E17)/E18</f>
        <v>18.288954022988506</v>
      </c>
      <c r="N18" s="11" t="s">
        <v>30</v>
      </c>
      <c r="P18" s="9" t="s">
        <v>28</v>
      </c>
      <c r="Q18" s="10">
        <f>SUMPRODUCT(Q4:Q17,I4:I17)/I18</f>
        <v>17.478289308176102</v>
      </c>
      <c r="R18" s="11" t="s">
        <v>30</v>
      </c>
    </row>
    <row r="19" spans="4:18" ht="15" thickBot="1" x14ac:dyDescent="0.4">
      <c r="D19" s="18" t="s">
        <v>26</v>
      </c>
      <c r="E19" s="19">
        <v>884</v>
      </c>
      <c r="F19" s="20" t="s">
        <v>10</v>
      </c>
      <c r="H19" s="18" t="s">
        <v>27</v>
      </c>
      <c r="I19" s="19">
        <f>E19-40</f>
        <v>844</v>
      </c>
      <c r="J19" s="20" t="s">
        <v>10</v>
      </c>
      <c r="L19" s="18" t="s">
        <v>29</v>
      </c>
      <c r="M19" s="19">
        <v>18.757999999999999</v>
      </c>
      <c r="N19" s="20" t="s">
        <v>30</v>
      </c>
      <c r="P19" s="18" t="s">
        <v>29</v>
      </c>
      <c r="Q19" s="19"/>
      <c r="R19" s="20" t="s">
        <v>30</v>
      </c>
    </row>
    <row r="20" spans="4:18" ht="15" thickBot="1" x14ac:dyDescent="0.4"/>
    <row r="21" spans="4:18" x14ac:dyDescent="0.35">
      <c r="D21" s="12" t="s">
        <v>31</v>
      </c>
      <c r="E21" s="13">
        <v>30</v>
      </c>
      <c r="F21" s="14" t="s">
        <v>30</v>
      </c>
      <c r="L21" t="s">
        <v>49</v>
      </c>
    </row>
    <row r="22" spans="4:18" x14ac:dyDescent="0.35">
      <c r="D22" s="2" t="s">
        <v>32</v>
      </c>
      <c r="E22">
        <v>6.5</v>
      </c>
      <c r="F22" s="3" t="s">
        <v>24</v>
      </c>
    </row>
    <row r="23" spans="4:18" ht="15" thickBot="1" x14ac:dyDescent="0.4">
      <c r="D23" s="4" t="s">
        <v>33</v>
      </c>
      <c r="E23" s="5">
        <v>4.07</v>
      </c>
      <c r="F23" s="21" t="s">
        <v>30</v>
      </c>
      <c r="O23">
        <v>16.899999999999999</v>
      </c>
    </row>
    <row r="25" spans="4:18" ht="15" thickBot="1" x14ac:dyDescent="0.4">
      <c r="D25" s="33" t="s">
        <v>36</v>
      </c>
      <c r="E25" s="34"/>
      <c r="F25" s="34"/>
      <c r="G25" s="34"/>
      <c r="H25" s="34"/>
      <c r="J25" s="35" t="s">
        <v>71</v>
      </c>
      <c r="K25" s="35"/>
      <c r="L25" s="35"/>
      <c r="N25" s="35" t="s">
        <v>93</v>
      </c>
      <c r="O25" s="35"/>
      <c r="P25" s="35"/>
      <c r="Q25" t="s">
        <v>97</v>
      </c>
    </row>
    <row r="26" spans="4:18" ht="15" thickBot="1" x14ac:dyDescent="0.4">
      <c r="D26" s="12" t="s">
        <v>11</v>
      </c>
      <c r="E26" s="13" t="s">
        <v>41</v>
      </c>
      <c r="F26" s="14" t="s">
        <v>37</v>
      </c>
      <c r="G26" s="13" t="s">
        <v>38</v>
      </c>
      <c r="H26" s="14" t="s">
        <v>42</v>
      </c>
      <c r="J26" s="12" t="s">
        <v>69</v>
      </c>
      <c r="K26" s="13">
        <v>5</v>
      </c>
      <c r="L26" s="14" t="s">
        <v>76</v>
      </c>
      <c r="N26" s="12" t="s">
        <v>94</v>
      </c>
      <c r="O26" s="13">
        <v>15.84</v>
      </c>
      <c r="P26" s="14" t="s">
        <v>30</v>
      </c>
    </row>
    <row r="27" spans="4:18" x14ac:dyDescent="0.35">
      <c r="D27" s="12" t="s">
        <v>3</v>
      </c>
      <c r="E27" s="13">
        <v>0.24</v>
      </c>
      <c r="F27" s="13">
        <f>M4</f>
        <v>34.1</v>
      </c>
      <c r="G27" s="13">
        <f>F27-$M$18</f>
        <v>15.811045977011496</v>
      </c>
      <c r="H27" s="14">
        <f>E27+CONVERT(E4,"g", "lbm")*(G27)^2</f>
        <v>47.086202164753274</v>
      </c>
      <c r="J27" s="2"/>
      <c r="K27">
        <f>RADIANS(K26)</f>
        <v>8.7266462599716474E-2</v>
      </c>
      <c r="L27" s="3" t="s">
        <v>75</v>
      </c>
      <c r="N27" s="2" t="s">
        <v>95</v>
      </c>
      <c r="O27">
        <f>M18</f>
        <v>18.288954022988506</v>
      </c>
      <c r="P27" s="3" t="s">
        <v>30</v>
      </c>
    </row>
    <row r="28" spans="4:18" ht="15" thickBot="1" x14ac:dyDescent="0.4">
      <c r="D28" s="2" t="s">
        <v>4</v>
      </c>
      <c r="E28" s="29">
        <f>E83</f>
        <v>32.742634923510721</v>
      </c>
      <c r="F28">
        <f t="shared" ref="F28:F40" si="1">M5</f>
        <v>19.07</v>
      </c>
      <c r="G28">
        <f t="shared" ref="G28:G40" si="2">F28-$M$18</f>
        <v>0.78104597701149459</v>
      </c>
      <c r="H28" s="3">
        <f t="shared" ref="H28:H38" si="3">E28+CONVERT(E5,"g", "lbm")*(G28)^2</f>
        <v>33.004888892972637</v>
      </c>
      <c r="J28" s="2" t="s">
        <v>70</v>
      </c>
      <c r="K28">
        <v>9</v>
      </c>
      <c r="L28" s="3" t="s">
        <v>74</v>
      </c>
      <c r="N28" s="2" t="s">
        <v>96</v>
      </c>
      <c r="O28">
        <v>3.1</v>
      </c>
      <c r="P28" s="3" t="s">
        <v>30</v>
      </c>
    </row>
    <row r="29" spans="4:18" ht="15" thickBot="1" x14ac:dyDescent="0.4">
      <c r="D29" s="2" t="s">
        <v>5</v>
      </c>
      <c r="E29">
        <v>0.2</v>
      </c>
      <c r="F29">
        <f t="shared" si="1"/>
        <v>3.31</v>
      </c>
      <c r="G29">
        <f t="shared" si="2"/>
        <v>-14.978954022988505</v>
      </c>
      <c r="H29" s="3">
        <f>E29+CONVERT(E6,"g", "lbm")*(G29)^2</f>
        <v>18.007368079010956</v>
      </c>
      <c r="J29" s="2" t="s">
        <v>72</v>
      </c>
      <c r="K29">
        <f>G27</f>
        <v>15.811045977011496</v>
      </c>
      <c r="L29" s="3" t="s">
        <v>30</v>
      </c>
      <c r="N29" s="6" t="s">
        <v>98</v>
      </c>
      <c r="O29" s="10">
        <f>(O26-O27)/O28</f>
        <v>-0.78998516870596958</v>
      </c>
      <c r="P29" s="11"/>
    </row>
    <row r="30" spans="4:18" x14ac:dyDescent="0.35">
      <c r="D30" s="2" t="s">
        <v>8</v>
      </c>
      <c r="E30" s="29">
        <f>E52</f>
        <v>0.14534988137269059</v>
      </c>
      <c r="F30">
        <f t="shared" si="1"/>
        <v>35.020000000000003</v>
      </c>
      <c r="G30">
        <f>F30-$M$19</f>
        <v>16.262000000000004</v>
      </c>
      <c r="H30" s="3">
        <f t="shared" si="3"/>
        <v>41.5396478586513</v>
      </c>
      <c r="J30" s="2"/>
      <c r="K30">
        <f>CONVERT(K29,"in", "m")</f>
        <v>0.40160056781609199</v>
      </c>
      <c r="L30" s="3" t="s">
        <v>78</v>
      </c>
    </row>
    <row r="31" spans="4:18" x14ac:dyDescent="0.35">
      <c r="D31" s="2" t="s">
        <v>15</v>
      </c>
      <c r="E31">
        <v>0.03</v>
      </c>
      <c r="F31">
        <f t="shared" si="1"/>
        <v>11.82</v>
      </c>
      <c r="G31">
        <f t="shared" si="2"/>
        <v>-6.4689540229885054</v>
      </c>
      <c r="H31" s="3">
        <f t="shared" si="3"/>
        <v>2.6132142023092158</v>
      </c>
      <c r="J31" s="2" t="s">
        <v>77</v>
      </c>
      <c r="K31">
        <f>K28*SIN(K27)*K30</f>
        <v>0.31501616198303484</v>
      </c>
      <c r="L31" s="3" t="s">
        <v>35</v>
      </c>
    </row>
    <row r="32" spans="4:18" x14ac:dyDescent="0.35">
      <c r="D32" s="2" t="s">
        <v>16</v>
      </c>
      <c r="E32">
        <v>3.5000000000000003E-2</v>
      </c>
      <c r="F32">
        <f t="shared" si="1"/>
        <v>10.41</v>
      </c>
      <c r="G32">
        <f t="shared" si="2"/>
        <v>-7.8789540229885056</v>
      </c>
      <c r="H32" s="3">
        <f t="shared" si="3"/>
        <v>4.8250432658795308</v>
      </c>
      <c r="J32" s="2" t="s">
        <v>79</v>
      </c>
      <c r="K32">
        <f>H42</f>
        <v>222.36</v>
      </c>
      <c r="L32" s="3" t="s">
        <v>51</v>
      </c>
    </row>
    <row r="33" spans="4:12" ht="15" thickBot="1" x14ac:dyDescent="0.4">
      <c r="D33" s="2" t="s">
        <v>17</v>
      </c>
      <c r="E33">
        <v>0.375</v>
      </c>
      <c r="F33">
        <f t="shared" si="1"/>
        <v>13.72</v>
      </c>
      <c r="G33">
        <f t="shared" si="2"/>
        <v>-4.5689540229885051</v>
      </c>
      <c r="H33" s="3">
        <f t="shared" si="3"/>
        <v>6.2198255859136724</v>
      </c>
      <c r="J33" s="2"/>
      <c r="K33">
        <f>K32*0.0002926397</f>
        <v>6.5071363692000006E-2</v>
      </c>
      <c r="L33" s="3" t="s">
        <v>80</v>
      </c>
    </row>
    <row r="34" spans="4:12" x14ac:dyDescent="0.35">
      <c r="D34" s="2" t="s">
        <v>18</v>
      </c>
      <c r="E34">
        <v>0.01</v>
      </c>
      <c r="F34">
        <f t="shared" si="1"/>
        <v>4.12</v>
      </c>
      <c r="G34">
        <f t="shared" si="2"/>
        <v>-14.168954022988505</v>
      </c>
      <c r="H34" s="3">
        <f t="shared" si="3"/>
        <v>5.7637792255462932</v>
      </c>
      <c r="J34" s="12" t="s">
        <v>73</v>
      </c>
      <c r="K34" s="13">
        <f>K31/K33</f>
        <v>4.8410874478378805</v>
      </c>
      <c r="L34" s="14" t="s">
        <v>81</v>
      </c>
    </row>
    <row r="35" spans="4:12" ht="15" thickBot="1" x14ac:dyDescent="0.4">
      <c r="D35" s="2" t="s">
        <v>19</v>
      </c>
      <c r="E35">
        <v>0.39</v>
      </c>
      <c r="F35">
        <f t="shared" si="1"/>
        <v>18.07</v>
      </c>
      <c r="G35">
        <f t="shared" si="2"/>
        <v>-0.21895402298850541</v>
      </c>
      <c r="H35" s="3">
        <f t="shared" si="3"/>
        <v>0.39908947017721041</v>
      </c>
      <c r="J35" s="4"/>
      <c r="K35" s="28">
        <f>DEGREES(K34)</f>
        <v>277.3738790148696</v>
      </c>
      <c r="L35" s="27" t="s">
        <v>82</v>
      </c>
    </row>
    <row r="36" spans="4:12" x14ac:dyDescent="0.35">
      <c r="D36" s="2" t="s">
        <v>9</v>
      </c>
      <c r="E36" s="29">
        <f>E58</f>
        <v>0.17016930862395235</v>
      </c>
      <c r="F36">
        <f t="shared" si="1"/>
        <v>7.32</v>
      </c>
      <c r="G36">
        <f t="shared" si="2"/>
        <v>-10.968954022988505</v>
      </c>
      <c r="H36" s="3">
        <f t="shared" si="3"/>
        <v>17.411788481579443</v>
      </c>
    </row>
    <row r="37" spans="4:12" ht="15" thickBot="1" x14ac:dyDescent="0.4">
      <c r="D37" s="2" t="s">
        <v>20</v>
      </c>
      <c r="E37" s="29">
        <f>E70</f>
        <v>2.5174034563235708</v>
      </c>
      <c r="F37">
        <f t="shared" si="1"/>
        <v>19.07</v>
      </c>
      <c r="G37">
        <f t="shared" si="2"/>
        <v>0.78104597701149459</v>
      </c>
      <c r="H37" s="3">
        <f t="shared" si="3"/>
        <v>2.5375768385898723</v>
      </c>
      <c r="J37" s="35" t="s">
        <v>83</v>
      </c>
      <c r="K37" s="35"/>
      <c r="L37" s="35"/>
    </row>
    <row r="38" spans="4:12" x14ac:dyDescent="0.35">
      <c r="D38" s="2" t="s">
        <v>21</v>
      </c>
      <c r="E38">
        <v>6.9440000000000002E-2</v>
      </c>
      <c r="F38">
        <f t="shared" si="1"/>
        <v>7.32</v>
      </c>
      <c r="G38">
        <f t="shared" si="2"/>
        <v>-10.968954022988505</v>
      </c>
      <c r="H38" s="3">
        <f t="shared" si="3"/>
        <v>14.393246697532254</v>
      </c>
      <c r="J38" s="12" t="s">
        <v>84</v>
      </c>
      <c r="K38" s="13">
        <v>5</v>
      </c>
      <c r="L38" s="14" t="s">
        <v>76</v>
      </c>
    </row>
    <row r="39" spans="4:12" x14ac:dyDescent="0.35">
      <c r="D39" s="2" t="s">
        <v>22</v>
      </c>
      <c r="E39" s="29">
        <f>E76</f>
        <v>1.8601503371849046</v>
      </c>
      <c r="F39">
        <f t="shared" si="1"/>
        <v>22.96</v>
      </c>
      <c r="G39">
        <f t="shared" si="2"/>
        <v>4.6710459770114952</v>
      </c>
      <c r="H39" s="3">
        <f>E39+CONVERT(E16,"g", "lbm")*(G39)^2</f>
        <v>4.2652470674666851</v>
      </c>
      <c r="J39" s="2"/>
      <c r="K39">
        <f>RADIANS(K38)</f>
        <v>8.7266462599716474E-2</v>
      </c>
      <c r="L39" s="3" t="s">
        <v>75</v>
      </c>
    </row>
    <row r="40" spans="4:12" ht="15" thickBot="1" x14ac:dyDescent="0.4">
      <c r="D40" s="4" t="s">
        <v>23</v>
      </c>
      <c r="E40" s="23">
        <v>0.02</v>
      </c>
      <c r="F40" s="5">
        <f t="shared" si="1"/>
        <v>33.82</v>
      </c>
      <c r="G40" s="5">
        <f t="shared" si="2"/>
        <v>15.531045977011495</v>
      </c>
      <c r="H40" s="21">
        <f>E40+CONVERT(E17,"g", "lbm")*(G40)^2</f>
        <v>5.3378449439095483</v>
      </c>
      <c r="I40" s="22"/>
      <c r="J40" s="2" t="s">
        <v>73</v>
      </c>
      <c r="K40">
        <f>K34</f>
        <v>4.8410874478378805</v>
      </c>
      <c r="L40" s="3" t="s">
        <v>81</v>
      </c>
    </row>
    <row r="41" spans="4:12" ht="15" thickBot="1" x14ac:dyDescent="0.4">
      <c r="E41" t="s">
        <v>43</v>
      </c>
      <c r="G41" s="26" t="s">
        <v>40</v>
      </c>
      <c r="H41" s="27">
        <f>SUM(H27:H40)</f>
        <v>203.4047627742919</v>
      </c>
      <c r="J41" s="6" t="s">
        <v>85</v>
      </c>
      <c r="K41" s="10">
        <f>SQRT(2*K39/K40)</f>
        <v>0.18987475214572577</v>
      </c>
      <c r="L41" s="11" t="s">
        <v>86</v>
      </c>
    </row>
    <row r="42" spans="4:12" ht="15" thickBot="1" x14ac:dyDescent="0.4">
      <c r="G42" s="24" t="s">
        <v>39</v>
      </c>
      <c r="H42" s="25">
        <v>222.36</v>
      </c>
    </row>
    <row r="43" spans="4:12" x14ac:dyDescent="0.35">
      <c r="H43" t="s">
        <v>99</v>
      </c>
    </row>
    <row r="46" spans="4:12" x14ac:dyDescent="0.35">
      <c r="D46" t="s">
        <v>92</v>
      </c>
    </row>
    <row r="47" spans="4:12" ht="15" thickBot="1" x14ac:dyDescent="0.4">
      <c r="D47" s="35" t="s">
        <v>44</v>
      </c>
      <c r="E47" s="35"/>
      <c r="F47" s="35"/>
    </row>
    <row r="48" spans="4:12" x14ac:dyDescent="0.35">
      <c r="D48" s="12" t="s">
        <v>45</v>
      </c>
      <c r="E48" s="13">
        <v>92</v>
      </c>
      <c r="F48" s="14" t="s">
        <v>48</v>
      </c>
    </row>
    <row r="49" spans="4:6" x14ac:dyDescent="0.35">
      <c r="D49" s="2" t="s">
        <v>46</v>
      </c>
      <c r="E49">
        <v>29</v>
      </c>
      <c r="F49" s="3" t="s">
        <v>48</v>
      </c>
    </row>
    <row r="50" spans="4:6" x14ac:dyDescent="0.35">
      <c r="D50" s="2" t="s">
        <v>47</v>
      </c>
      <c r="E50">
        <v>71</v>
      </c>
      <c r="F50" s="3" t="s">
        <v>10</v>
      </c>
    </row>
    <row r="51" spans="4:6" x14ac:dyDescent="0.35">
      <c r="D51" s="2" t="s">
        <v>34</v>
      </c>
      <c r="E51">
        <f>1/12*E50*(3*(E48/2)^2+E49^2)</f>
        <v>42534.916666666664</v>
      </c>
      <c r="F51" s="3" t="s">
        <v>50</v>
      </c>
    </row>
    <row r="52" spans="4:6" ht="15" thickBot="1" x14ac:dyDescent="0.4">
      <c r="D52" s="4"/>
      <c r="E52" s="5">
        <f>E51/453.59/(25.4^2)</f>
        <v>0.14534988137269059</v>
      </c>
      <c r="F52" s="21" t="s">
        <v>51</v>
      </c>
    </row>
    <row r="54" spans="4:6" ht="15" thickBot="1" x14ac:dyDescent="0.4">
      <c r="D54" s="35" t="s">
        <v>53</v>
      </c>
      <c r="E54" s="35"/>
      <c r="F54" s="35"/>
    </row>
    <row r="55" spans="4:6" x14ac:dyDescent="0.35">
      <c r="D55" s="12" t="s">
        <v>54</v>
      </c>
      <c r="E55" s="13">
        <v>4</v>
      </c>
      <c r="F55" s="14" t="s">
        <v>30</v>
      </c>
    </row>
    <row r="56" spans="4:6" x14ac:dyDescent="0.35">
      <c r="D56" s="2" t="s">
        <v>55</v>
      </c>
      <c r="E56">
        <v>1.5</v>
      </c>
      <c r="F56" s="3" t="s">
        <v>30</v>
      </c>
    </row>
    <row r="57" spans="4:6" x14ac:dyDescent="0.35">
      <c r="D57" s="2" t="s">
        <v>56</v>
      </c>
      <c r="E57">
        <f>E13</f>
        <v>65</v>
      </c>
      <c r="F57" s="3" t="s">
        <v>10</v>
      </c>
    </row>
    <row r="58" spans="4:6" ht="15" thickBot="1" x14ac:dyDescent="0.4">
      <c r="D58" s="4" t="s">
        <v>34</v>
      </c>
      <c r="E58" s="5">
        <f>1/12*CONVERT(E57,"g","lbm")*(3*(E55/2)^2+E56^2)</f>
        <v>0.17016930862395235</v>
      </c>
      <c r="F58" s="21" t="s">
        <v>51</v>
      </c>
    </row>
    <row r="60" spans="4:6" ht="15" thickBot="1" x14ac:dyDescent="0.4">
      <c r="D60" s="35" t="s">
        <v>57</v>
      </c>
      <c r="E60" s="35"/>
      <c r="F60" s="35"/>
    </row>
    <row r="61" spans="4:6" x14ac:dyDescent="0.35">
      <c r="D61" s="12" t="s">
        <v>58</v>
      </c>
      <c r="E61" s="13">
        <v>2</v>
      </c>
      <c r="F61" s="14" t="s">
        <v>30</v>
      </c>
    </row>
    <row r="62" spans="4:6" x14ac:dyDescent="0.35">
      <c r="D62" s="2" t="s">
        <v>59</v>
      </c>
      <c r="E62">
        <v>2</v>
      </c>
      <c r="F62" s="3" t="s">
        <v>30</v>
      </c>
    </row>
    <row r="63" spans="4:6" x14ac:dyDescent="0.35">
      <c r="D63" s="2" t="s">
        <v>60</v>
      </c>
      <c r="E63">
        <v>54</v>
      </c>
      <c r="F63" s="3" t="s">
        <v>10</v>
      </c>
    </row>
    <row r="64" spans="4:6" ht="15" thickBot="1" x14ac:dyDescent="0.4">
      <c r="D64" s="4" t="s">
        <v>34</v>
      </c>
      <c r="E64" s="5">
        <f>1/12*CONVERT(E63,"g","lbm")*(3*(E61/2)^2+E62^2)</f>
        <v>6.9445612588236436E-2</v>
      </c>
      <c r="F64" s="21" t="s">
        <v>51</v>
      </c>
    </row>
    <row r="66" spans="4:6" ht="15" thickBot="1" x14ac:dyDescent="0.4">
      <c r="D66" s="35" t="s">
        <v>61</v>
      </c>
      <c r="E66" s="35"/>
      <c r="F66" s="35"/>
    </row>
    <row r="67" spans="4:6" x14ac:dyDescent="0.35">
      <c r="D67" s="12" t="s">
        <v>62</v>
      </c>
      <c r="E67" s="13">
        <f>E21</f>
        <v>30</v>
      </c>
      <c r="F67" s="14" t="s">
        <v>30</v>
      </c>
    </row>
    <row r="68" spans="4:6" x14ac:dyDescent="0.35">
      <c r="D68" s="2" t="s">
        <v>63</v>
      </c>
      <c r="E68">
        <v>3</v>
      </c>
      <c r="F68" s="3" t="s">
        <v>30</v>
      </c>
    </row>
    <row r="69" spans="4:6" x14ac:dyDescent="0.35">
      <c r="D69" s="2" t="s">
        <v>64</v>
      </c>
      <c r="E69">
        <v>15</v>
      </c>
      <c r="F69" s="3" t="s">
        <v>10</v>
      </c>
    </row>
    <row r="70" spans="4:6" ht="15" thickBot="1" x14ac:dyDescent="0.4">
      <c r="D70" s="4" t="s">
        <v>34</v>
      </c>
      <c r="E70" s="5">
        <f>CONVERT(E69,"g","lbm")*((E68/2)^2/2+E67^2/12)</f>
        <v>2.5174034563235708</v>
      </c>
      <c r="F70" s="21" t="s">
        <v>51</v>
      </c>
    </row>
    <row r="72" spans="4:6" ht="15" thickBot="1" x14ac:dyDescent="0.4">
      <c r="D72" s="35" t="s">
        <v>65</v>
      </c>
      <c r="E72" s="35"/>
      <c r="F72" s="35"/>
    </row>
    <row r="73" spans="4:6" x14ac:dyDescent="0.35">
      <c r="D73" s="12" t="s">
        <v>66</v>
      </c>
      <c r="E73" s="13">
        <v>18</v>
      </c>
      <c r="F73" s="14" t="s">
        <v>30</v>
      </c>
    </row>
    <row r="74" spans="4:6" x14ac:dyDescent="0.35">
      <c r="D74" s="2" t="s">
        <v>67</v>
      </c>
      <c r="E74">
        <v>3</v>
      </c>
      <c r="F74" s="3" t="s">
        <v>30</v>
      </c>
    </row>
    <row r="75" spans="4:6" x14ac:dyDescent="0.35">
      <c r="D75" s="2" t="s">
        <v>68</v>
      </c>
      <c r="E75">
        <v>30</v>
      </c>
      <c r="F75" s="3" t="s">
        <v>10</v>
      </c>
    </row>
    <row r="76" spans="4:6" ht="15" thickBot="1" x14ac:dyDescent="0.4">
      <c r="D76" s="4" t="s">
        <v>34</v>
      </c>
      <c r="E76" s="5">
        <f>CONVERT(E75,"g","lbm")*((E74/2)^2/2+E73^2/12)</f>
        <v>1.8601503371849046</v>
      </c>
      <c r="F76" s="21" t="s">
        <v>51</v>
      </c>
    </row>
    <row r="78" spans="4:6" ht="15" thickBot="1" x14ac:dyDescent="0.4">
      <c r="D78" s="35" t="s">
        <v>87</v>
      </c>
      <c r="E78" s="35"/>
      <c r="F78" s="35"/>
    </row>
    <row r="79" spans="4:6" x14ac:dyDescent="0.35">
      <c r="D79" s="12" t="s">
        <v>88</v>
      </c>
      <c r="E79" s="13">
        <f>E21</f>
        <v>30</v>
      </c>
      <c r="F79" s="14" t="s">
        <v>30</v>
      </c>
    </row>
    <row r="80" spans="4:6" x14ac:dyDescent="0.35">
      <c r="D80" s="2" t="s">
        <v>89</v>
      </c>
      <c r="E80">
        <f>1.5</f>
        <v>1.5</v>
      </c>
      <c r="F80" s="3" t="s">
        <v>30</v>
      </c>
    </row>
    <row r="81" spans="4:6" x14ac:dyDescent="0.35">
      <c r="D81" s="2" t="s">
        <v>90</v>
      </c>
      <c r="E81">
        <v>1.55</v>
      </c>
      <c r="F81" s="3" t="s">
        <v>30</v>
      </c>
    </row>
    <row r="82" spans="4:6" x14ac:dyDescent="0.35">
      <c r="D82" s="2" t="s">
        <v>91</v>
      </c>
      <c r="E82">
        <f>E5</f>
        <v>195</v>
      </c>
      <c r="F82" s="3" t="s">
        <v>10</v>
      </c>
    </row>
    <row r="83" spans="4:6" ht="15" thickBot="1" x14ac:dyDescent="0.4">
      <c r="D83" s="4" t="s">
        <v>34</v>
      </c>
      <c r="E83" s="5">
        <f>1/12*CONVERT(E82,"g","lbm")*(3*(E81^2+E80^2)+E79^2)</f>
        <v>32.742634923510721</v>
      </c>
      <c r="F83" s="21" t="s">
        <v>51</v>
      </c>
    </row>
  </sheetData>
  <mergeCells count="14">
    <mergeCell ref="J37:L37"/>
    <mergeCell ref="D78:F78"/>
    <mergeCell ref="N25:P25"/>
    <mergeCell ref="D47:F47"/>
    <mergeCell ref="D54:F54"/>
    <mergeCell ref="D60:F60"/>
    <mergeCell ref="D66:F66"/>
    <mergeCell ref="D72:F72"/>
    <mergeCell ref="D2:F2"/>
    <mergeCell ref="H2:J2"/>
    <mergeCell ref="L2:N2"/>
    <mergeCell ref="P2:R2"/>
    <mergeCell ref="D25:H25"/>
    <mergeCell ref="J25:L2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Rohovit</dc:creator>
  <cp:lastModifiedBy>Hunter Rohovit</cp:lastModifiedBy>
  <dcterms:created xsi:type="dcterms:W3CDTF">2015-06-05T18:17:20Z</dcterms:created>
  <dcterms:modified xsi:type="dcterms:W3CDTF">2025-07-29T05:43:21Z</dcterms:modified>
</cp:coreProperties>
</file>