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alcs"/>
    <sheet r:id="rId2" sheetId="2" name="DataTable"/>
  </sheets>
  <definedNames>
    <definedName name="solver_adj" localSheetId="0">Calcs!$E$16:$E$19</definedName>
    <definedName name="solver_cvg" localSheetId="0">0.0001</definedName>
    <definedName name="solver_drv" localSheetId="0">2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Calcs!$E$16:$E$19</definedName>
    <definedName name="solver_lhs2" localSheetId="0">Calcs!$E$19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1</definedName>
    <definedName name="solver_nwt" localSheetId="0">1</definedName>
    <definedName name="solver_opt" localSheetId="0">Calcs!$K$17</definedName>
    <definedName name="solver_pre" localSheetId="0">0.000001</definedName>
    <definedName name="solver_rbv" localSheetId="0">2</definedName>
    <definedName name="solver_rel1" localSheetId="0">3</definedName>
    <definedName name="solver_rel2" localSheetId="0">2</definedName>
    <definedName name="solver_rhs1" localSheetId="0">0</definedName>
    <definedName name="solver_rhs2" localSheetId="0">0</definedName>
    <definedName name="solver_rlx" localSheetId="0">2</definedName>
    <definedName name="solver_rsd" localSheetId="0">0</definedName>
    <definedName name="solver_scl" localSheetId="0">2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2</definedName>
    <definedName name="solver_val" localSheetId="0">5</definedName>
    <definedName name="solver_ver" localSheetId="0">3</definedName>
  </definedNames>
  <calcPr fullCalcOnLoad="1"/>
</workbook>
</file>

<file path=xl/sharedStrings.xml><?xml version="1.0" encoding="utf-8"?>
<sst xmlns="http://schemas.openxmlformats.org/spreadsheetml/2006/main" count="537" uniqueCount="275">
  <si>
    <t>% N</t>
  </si>
  <si>
    <t>C:N ratio</t>
  </si>
  <si>
    <t>Moisture</t>
  </si>
  <si>
    <t>Bulk density</t>
  </si>
  <si>
    <t>Most data from http://compost.css.cornell.edu/OnFarmHandbook/apa.taba1.html</t>
  </si>
  <si>
    <t>Type of</t>
  </si>
  <si>
    <t>(dry</t>
  </si>
  <si>
    <t>(weight</t>
  </si>
  <si>
    <t>content %</t>
  </si>
  <si>
    <t>(pounds per</t>
  </si>
  <si>
    <t>Material</t>
  </si>
  <si>
    <t>value</t>
  </si>
  <si>
    <t>weight)</t>
  </si>
  <si>
    <t>to weight)</t>
  </si>
  <si>
    <t>(wet weight)</t>
  </si>
  <si>
    <t>cubic yard)</t>
  </si>
  <si>
    <t>Crop residues and fruit/vegetable-processing wastes</t>
  </si>
  <si>
    <t>Apple filter cake</t>
  </si>
  <si>
    <t>Typical</t>
  </si>
  <si>
    <t>Apple pomace</t>
  </si>
  <si>
    <t>Apple-processing sludge</t>
  </si>
  <si>
    <t>Cocoa shells</t>
  </si>
  <si>
    <t>Coffee grounds</t>
  </si>
  <si>
    <t>-</t>
  </si>
  <si>
    <t>%N: http://www.sunset.com/garden/earth-friendly/starbucks-coffee-compost-test-00400000016986/; %Moisture: http://www.google.com/patents/US3823487</t>
  </si>
  <si>
    <t>Corn cobs Range</t>
  </si>
  <si>
    <t>Range</t>
  </si>
  <si>
    <t>0.4-0.8</t>
  </si>
  <si>
    <t>56-123</t>
  </si>
  <si>
    <t>9-18</t>
  </si>
  <si>
    <t>Corn cobs</t>
  </si>
  <si>
    <t>Average</t>
  </si>
  <si>
    <t>Corn stalks</t>
  </si>
  <si>
    <t>Cottonseed meal</t>
  </si>
  <si>
    <t>Cranberry filter cake</t>
  </si>
  <si>
    <t>Cranberry filter cake with rice hulls</t>
  </si>
  <si>
    <t>Cranberry plant (stems, leaves)</t>
  </si>
  <si>
    <t>Cull potatoes</t>
  </si>
  <si>
    <t>Fruit wastes Range</t>
  </si>
  <si>
    <t>0.9-2.6</t>
  </si>
  <si>
    <t>20-49</t>
  </si>
  <si>
    <t>62-88</t>
  </si>
  <si>
    <t>Fruit wastes</t>
  </si>
  <si>
    <t>Olive husks</t>
  </si>
  <si>
    <t>Potato-processing sludge</t>
  </si>
  <si>
    <t>Potato tops</t>
  </si>
  <si>
    <t>Rice hulls Range</t>
  </si>
  <si>
    <t>0-0.4</t>
  </si>
  <si>
    <t>113-1120</t>
  </si>
  <si>
    <t>7-12</t>
  </si>
  <si>
    <t>Rice hulls</t>
  </si>
  <si>
    <t>Soybean meal</t>
  </si>
  <si>
    <t>Tomato-processing waste</t>
  </si>
  <si>
    <t>Vegetable produce</t>
  </si>
  <si>
    <t>Vegetable wastes</t>
  </si>
  <si>
    <t>Fish and meat processing</t>
  </si>
  <si>
    <t>Blood wastes (slaughterhouse waste and dried blood)</t>
  </si>
  <si>
    <t>Crab and lobster wastes range</t>
  </si>
  <si>
    <t>4.6-8.2</t>
  </si>
  <si>
    <t>4.0-5.4</t>
  </si>
  <si>
    <t>35-61</t>
  </si>
  <si>
    <t>Crab and lobster wastes</t>
  </si>
  <si>
    <t>Fish-breading crumbs</t>
  </si>
  <si>
    <t>Fish-processing sludge</t>
  </si>
  <si>
    <t>Fish wastes (gurry, racks, and so on) range</t>
  </si>
  <si>
    <t>6.5-14.2</t>
  </si>
  <si>
    <t>2.6-5.0</t>
  </si>
  <si>
    <t>50-81</t>
  </si>
  <si>
    <t>Fish wastes (gurry, racks, and so on)</t>
  </si>
  <si>
    <t>Mixed slaughterhouse waste</t>
  </si>
  <si>
    <t>Mussel wastes</t>
  </si>
  <si>
    <t>Poultry carcasses</t>
  </si>
  <si>
    <t>Paunch manure</t>
  </si>
  <si>
    <t>Shrimp wastes</t>
  </si>
  <si>
    <t>Manures</t>
  </si>
  <si>
    <t>Broiler litter range</t>
  </si>
  <si>
    <t>1.6-3.9</t>
  </si>
  <si>
    <t>12-15 a</t>
  </si>
  <si>
    <t>22-46</t>
  </si>
  <si>
    <t>756-1,026</t>
  </si>
  <si>
    <t>Broiler litter</t>
  </si>
  <si>
    <t>Cattle range</t>
  </si>
  <si>
    <t>1.5-4.2</t>
  </si>
  <si>
    <t>11-30</t>
  </si>
  <si>
    <t>67-87</t>
  </si>
  <si>
    <t>1,323-1,674</t>
  </si>
  <si>
    <t>Cattle manure</t>
  </si>
  <si>
    <t>Dairy tie stall manure</t>
  </si>
  <si>
    <t>Dairy free stall manure</t>
  </si>
  <si>
    <t>Horse-general range</t>
  </si>
  <si>
    <t>1.4-2.3</t>
  </si>
  <si>
    <t>22-50</t>
  </si>
  <si>
    <t>59-79</t>
  </si>
  <si>
    <t>1,215-1,620</t>
  </si>
  <si>
    <t>Horse-general manure</t>
  </si>
  <si>
    <t>Horse-race track range</t>
  </si>
  <si>
    <t>0.8-1.7</t>
  </si>
  <si>
    <t>29-56</t>
  </si>
  <si>
    <t>52-67</t>
  </si>
  <si>
    <t>Horse-race track manure</t>
  </si>
  <si>
    <t>Laying hens range</t>
  </si>
  <si>
    <t>4-10</t>
  </si>
  <si>
    <t>3-10</t>
  </si>
  <si>
    <t>62-75</t>
  </si>
  <si>
    <t>1,377-1,620</t>
  </si>
  <si>
    <t>Laying hens manure</t>
  </si>
  <si>
    <t>Sheep range</t>
  </si>
  <si>
    <t>1.3-3.9</t>
  </si>
  <si>
    <t>13-20</t>
  </si>
  <si>
    <t>60-75</t>
  </si>
  <si>
    <t>Sheep manure</t>
  </si>
  <si>
    <t>Swine range</t>
  </si>
  <si>
    <t>1.9-4.3</t>
  </si>
  <si>
    <t>9-19</t>
  </si>
  <si>
    <t>65-91</t>
  </si>
  <si>
    <t>Swine manure</t>
  </si>
  <si>
    <t>Turkey litter</t>
  </si>
  <si>
    <t>Municipal wastes</t>
  </si>
  <si>
    <t>Garbage (food waste)</t>
  </si>
  <si>
    <t>*Bulk Density Assumed From Above</t>
  </si>
  <si>
    <t>Night soil</t>
  </si>
  <si>
    <t>Paper from domestic refuse</t>
  </si>
  <si>
    <t>Pharmaceutical wastes</t>
  </si>
  <si>
    <t>Refuse (mixed food, paper,</t>
  </si>
  <si>
    <t>and so on)</t>
  </si>
  <si>
    <t>Sewage sludge</t>
  </si>
  <si>
    <t>2-6.9</t>
  </si>
  <si>
    <t>5-16</t>
  </si>
  <si>
    <t>72-84</t>
  </si>
  <si>
    <t>1,075-1,750</t>
  </si>
  <si>
    <t>Activated sludge</t>
  </si>
  <si>
    <t>Digested sludge</t>
  </si>
  <si>
    <t>Straw, hay, silage</t>
  </si>
  <si>
    <t>Corn silage</t>
  </si>
  <si>
    <t>Hay-general range</t>
  </si>
  <si>
    <t>0.7-3.6</t>
  </si>
  <si>
    <t>15-32</t>
  </si>
  <si>
    <t>8-10</t>
  </si>
  <si>
    <t>Hay-general</t>
  </si>
  <si>
    <t>Hay-legume range</t>
  </si>
  <si>
    <t>1.8-3.6</t>
  </si>
  <si>
    <t>15-19</t>
  </si>
  <si>
    <t>Hay-legume</t>
  </si>
  <si>
    <t>Hay-non-legume range</t>
  </si>
  <si>
    <t>0.7-2.5</t>
  </si>
  <si>
    <t>Hay-non-legume</t>
  </si>
  <si>
    <t>Straw-general range</t>
  </si>
  <si>
    <t>0.3-1.1</t>
  </si>
  <si>
    <t>48-150</t>
  </si>
  <si>
    <t>4-27</t>
  </si>
  <si>
    <t>58-378</t>
  </si>
  <si>
    <t>Straw-general</t>
  </si>
  <si>
    <t>Straw-oat range</t>
  </si>
  <si>
    <t>0.6-1.1</t>
  </si>
  <si>
    <t>48-98</t>
  </si>
  <si>
    <t>Straw-oat</t>
  </si>
  <si>
    <t>Straw-wheat range</t>
  </si>
  <si>
    <t>0.3-0.5</t>
  </si>
  <si>
    <t>100-150</t>
  </si>
  <si>
    <t>Straw-wheat</t>
  </si>
  <si>
    <t>Wood and paper</t>
  </si>
  <si>
    <t>Bark-hardwoods range</t>
  </si>
  <si>
    <t>0.10-0.41</t>
  </si>
  <si>
    <t>116-436</t>
  </si>
  <si>
    <t>Bark-hardwoods</t>
  </si>
  <si>
    <t>Bark-softwoods range</t>
  </si>
  <si>
    <t>0.04-0.39</t>
  </si>
  <si>
    <t>131-1,285</t>
  </si>
  <si>
    <t>Bark-softwoods</t>
  </si>
  <si>
    <t>Corrugated cardboard</t>
  </si>
  <si>
    <t>Lumbermill waste</t>
  </si>
  <si>
    <t>Newsprint</t>
  </si>
  <si>
    <t>Paper fiber sludge</t>
  </si>
  <si>
    <t>Paper mill sludge</t>
  </si>
  <si>
    <t>Paper pulp</t>
  </si>
  <si>
    <t>Sawdust range</t>
  </si>
  <si>
    <t>0.06-0.8</t>
  </si>
  <si>
    <t>200-750</t>
  </si>
  <si>
    <t>19-65</t>
  </si>
  <si>
    <t>350-450</t>
  </si>
  <si>
    <t>Sawdust</t>
  </si>
  <si>
    <t>Telephone books</t>
  </si>
  <si>
    <t>Wood chips</t>
  </si>
  <si>
    <t>Wood-hardwoods</t>
  </si>
  <si>
    <t>0.06-0.11</t>
  </si>
  <si>
    <t>451-819</t>
  </si>
  <si>
    <t>Hardwood (chips, shavings, and so on)</t>
  </si>
  <si>
    <t>Wood-softwoods</t>
  </si>
  <si>
    <t>0.04-0.23</t>
  </si>
  <si>
    <t>212-1,313</t>
  </si>
  <si>
    <t>Softwood (chips, shavings, and so on)</t>
  </si>
  <si>
    <t>Yard wastes and other vegetation</t>
  </si>
  <si>
    <t>Grass clippings range</t>
  </si>
  <si>
    <t>2.0-6.0</t>
  </si>
  <si>
    <t>9-25</t>
  </si>
  <si>
    <t>Grass clippings</t>
  </si>
  <si>
    <t>Grass clippings, Loose</t>
  </si>
  <si>
    <t>Grass clippings, Compacted</t>
  </si>
  <si>
    <t>Leaves range</t>
  </si>
  <si>
    <t>0.5-1.3</t>
  </si>
  <si>
    <t>40-80</t>
  </si>
  <si>
    <t>Leaves</t>
  </si>
  <si>
    <t>Leaves, Loose and dry</t>
  </si>
  <si>
    <t>Moisture: http://web.aces.uiuc.edu/vista/pdf_pubs/LEAFDISP.PDF</t>
  </si>
  <si>
    <t>Leaves, Compacted and moist</t>
  </si>
  <si>
    <t>Seaweed range</t>
  </si>
  <si>
    <t>1.2-3.0</t>
  </si>
  <si>
    <t>5-27</t>
  </si>
  <si>
    <t>Seaweed</t>
  </si>
  <si>
    <t>Shrub trimmings</t>
  </si>
  <si>
    <t>Tree trimmings</t>
  </si>
  <si>
    <t>Water hyacinth-fresh</t>
  </si>
  <si>
    <t>Water</t>
  </si>
  <si>
    <t>Urine</t>
  </si>
  <si>
    <t>http://www.jenkinspublishing.com/messages/messages/4/14.html?1136373979</t>
  </si>
  <si>
    <t>Moisture and Carbon/Nitrogen Ratio Calculation Spreadsheet (updated March 2014)</t>
  </si>
  <si>
    <t>Developed by Tom Richard, Department of Agricultural and Biological Engineering, Cornell University</t>
  </si>
  <si>
    <t xml:space="preserve">Shamelessly modified by Jake Kruger,      </t>
  </si>
  <si>
    <t>The Homestead Laboratory</t>
  </si>
  <si>
    <t xml:space="preserve">To use this spreadsheet, select your ingredients in cells A16 to A18 (up to four ingredients).  </t>
  </si>
  <si>
    <t>The spreadsheet then calculates the mixture moisture content and C/N ratio.</t>
  </si>
  <si>
    <t>Alternatively, the spreadsheet will calculate the proper proportions for moisture and/or  C/N goals (see below).</t>
  </si>
  <si>
    <t xml:space="preserve">For further explanations of the formulas embedded in this worksheet, see the Science and Engineering section of the </t>
  </si>
  <si>
    <t>Cornell Composting web site:</t>
  </si>
  <si>
    <t>http://www.cals.cornell.edu/dept/compost/</t>
  </si>
  <si>
    <t xml:space="preserve">NOTE - do not copy and paste the existing data out of the table, as the formulas may remain tied to the old data. </t>
  </si>
  <si>
    <t>Input areas are shaded blue or purple.  Formula results are in red cells.</t>
  </si>
  <si>
    <r>
      <t>gal/yd</t>
    </r>
    <r>
      <rPr>
        <sz val="11"/>
        <color rgb="FF000000"/>
        <rFont val="Calibri"/>
        <family val="2"/>
        <scheme val="minor"/>
      </rPr>
      <t>3</t>
    </r>
  </si>
  <si>
    <t>Ingredient</t>
  </si>
  <si>
    <t>% Moisture</t>
  </si>
  <si>
    <t>% Carbon</t>
  </si>
  <si>
    <t>% Nitrogen</t>
  </si>
  <si>
    <t xml:space="preserve"> Mass (lbs.)</t>
  </si>
  <si>
    <t>Volume (gal)</t>
  </si>
  <si>
    <t xml:space="preserve">}  Note: </t>
  </si>
  <si>
    <t>Optimizer Error</t>
  </si>
  <si>
    <t>&lt;---------Use Excel's Solver function to minimize this cell by changing cells E16:E19.  Check multiple starting points to avoid local minima.</t>
  </si>
  <si>
    <t>}   these masses are solved for in</t>
  </si>
  <si>
    <t>}   some of the equations below.</t>
  </si>
  <si>
    <t>cube</t>
  </si>
  <si>
    <t>Calculated mixture moisture content:</t>
  </si>
  <si>
    <t>(masses as specified)</t>
  </si>
  <si>
    <t>cylinder</t>
  </si>
  <si>
    <t>Calculated mixture C/N ratio:</t>
  </si>
  <si>
    <t>Calculated mixture volume:</t>
  </si>
  <si>
    <t>(gallons)</t>
  </si>
  <si>
    <t>yes</t>
  </si>
  <si>
    <t>no</t>
  </si>
  <si>
    <t>The required mass of the third material can be determined given characteristics, the masses of the first two, and goals:</t>
  </si>
  <si>
    <t>moisture goal:</t>
  </si>
  <si>
    <t>(set these goals to match your requirements)</t>
  </si>
  <si>
    <t>C/N ratio goal:</t>
  </si>
  <si>
    <t>volume goal (gal):</t>
  </si>
  <si>
    <t>Calculated mass of third ingredient:</t>
  </si>
  <si>
    <t>To achieve moisture goal:</t>
  </si>
  <si>
    <t>To achieve C/N goal:</t>
  </si>
  <si>
    <t>For these same moisture and C/N goals, the required mass of the fourth material can be determined given</t>
  </si>
  <si>
    <t xml:space="preserve"> the masses of the first three:</t>
  </si>
  <si>
    <t>Calculated mass of fourth ingredient:</t>
  </si>
  <si>
    <t>Notes:  negative numbers indicate that the characteristics of the added ingredient are not</t>
  </si>
  <si>
    <t xml:space="preserve"> on the opposite side of the goal from the initial mixture.  A "divide by zero" error will </t>
  </si>
  <si>
    <t>occur if you try to add water to balance the C/N ratio .</t>
  </si>
  <si>
    <t>The simultaneous solution for moisture and C/N ratios (goals as above) for a three ingredient mixture,</t>
  </si>
  <si>
    <t>given the mass of the first material, is:</t>
  </si>
  <si>
    <t>Calculated mass of second ingredient:</t>
  </si>
  <si>
    <t>Note:  A negative number indicates that a simultaneous solution for these goals is not possible</t>
  </si>
  <si>
    <t xml:space="preserve">with the mixture of ingredients selected.  Try some different ingredients, re-evaluate your goals, </t>
  </si>
  <si>
    <t>or add a fourth ingredient using the formula below.</t>
  </si>
  <si>
    <t>You can check these solutions by plugging the calculated masses into the table at the top of this spreadsheet.</t>
  </si>
  <si>
    <t>Similarly, the simultaneous solution for moisture and C/N ratios (goals as above) for a four ingredient mixture,</t>
  </si>
  <si>
    <t>given the mass of the first and second materials, is:</t>
  </si>
  <si>
    <t xml:space="preserve">Note:  A negative number indicates that a simultaneous solution for these goals is not  </t>
  </si>
  <si>
    <t>possible with the mixture of ingredients selected.  Try some different ingredients, or</t>
  </si>
  <si>
    <t xml:space="preserve"> re-evaluate your goals.</t>
  </si>
  <si>
    <t>Again, you can check these solutions by plugging the calculated masses into the table at the top of this spreadsheet.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</si>
</sst>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.00000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Geneva"/>
      <family val="2"/>
    </font>
    <font>
      <sz val="10"/>
      <color rgb="FF000000"/>
      <name val="Geneva"/>
      <family val="2"/>
    </font>
    <font>
      <sz val="11"/>
      <color rgb="FF000000"/>
      <name val="Calibri"/>
      <family val="2"/>
    </font>
    <font>
      <sz val="10"/>
      <color rgb="FFa6a6a6"/>
      <name val="Geneva"/>
      <family val="2"/>
    </font>
    <font>
      <u/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cc99ff"/>
      </patternFill>
    </fill>
    <fill>
      <patternFill patternType="solid">
        <fgColor rgb="FFc3d69b"/>
      </patternFill>
    </fill>
    <fill>
      <patternFill patternType="solid">
        <fgColor rgb="FFff8080"/>
      </patternFill>
    </fill>
    <fill>
      <patternFill patternType="solid">
        <fgColor rgb="FFc6d9f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4">
    <xf xfId="0" numFmtId="0" borderId="0" fontId="0" fillId="0"/>
    <xf xfId="0" numFmtId="0" borderId="0" fontId="0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center" wrapText="1"/>
    </xf>
    <xf xfId="0" numFmtId="4" applyNumberFormat="1" borderId="1" applyBorder="1" fontId="2" applyFont="1" fillId="0" applyAlignment="1">
      <alignment horizontal="center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center" wrapText="1"/>
    </xf>
    <xf xfId="0" numFmtId="0" borderId="1" applyBorder="1" fontId="4" applyFont="1" fillId="0" applyAlignment="1">
      <alignment horizontal="left" wrapText="1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 wrapText="1"/>
    </xf>
    <xf xfId="0" numFmtId="4" applyNumberFormat="1" borderId="1" applyBorder="1" fontId="4" applyFont="1" fillId="0" applyAlignment="1">
      <alignment horizontal="right" wrapText="1"/>
    </xf>
    <xf xfId="0" numFmtId="3" applyNumberFormat="1" borderId="1" applyBorder="1" fontId="4" applyFont="1" fillId="0" applyAlignment="1">
      <alignment horizontal="right" wrapText="1"/>
    </xf>
    <xf xfId="0" numFmtId="3" applyNumberFormat="1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3" applyNumberFormat="1" borderId="1" applyBorder="1" fontId="5" applyFont="1" fillId="0" applyAlignment="1">
      <alignment horizontal="left" wrapText="1"/>
    </xf>
    <xf xfId="0" numFmtId="4" applyNumberFormat="1" borderId="1" applyBorder="1" fontId="5" applyFont="1" fillId="0" applyAlignment="1">
      <alignment horizontal="left" wrapText="1"/>
    </xf>
    <xf xfId="0" numFmtId="3" applyNumberFormat="1" borderId="1" applyBorder="1" fontId="5" applyFont="1" fillId="0" applyAlignment="1">
      <alignment horizontal="right" wrapText="1"/>
    </xf>
    <xf xfId="0" numFmtId="0" borderId="1" applyBorder="1" fontId="5" applyFont="1" fillId="0" applyAlignment="1">
      <alignment horizontal="left"/>
    </xf>
    <xf xfId="0" numFmtId="4" applyNumberFormat="1" borderId="1" applyBorder="1" fontId="4" applyFont="1" fillId="0" applyAlignment="1">
      <alignment horizontal="left" wrapText="1"/>
    </xf>
    <xf xfId="0" numFmtId="164" applyNumberFormat="1" borderId="1" applyBorder="1" fontId="4" applyFont="1" fillId="0" applyAlignment="1">
      <alignment horizontal="left" wrapText="1"/>
    </xf>
    <xf xfId="0" numFmtId="164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2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5" applyNumberFormat="1" borderId="1" applyBorder="1" fontId="4" applyFont="1" fillId="0" applyAlignment="1">
      <alignment horizontal="right"/>
    </xf>
    <xf xfId="0" numFmtId="164" applyNumberFormat="1" borderId="1" applyBorder="1" fontId="7" applyFont="1" fillId="0" applyAlignment="1">
      <alignment horizontal="right"/>
    </xf>
    <xf xfId="0" numFmtId="166" applyNumberFormat="1" borderId="1" applyBorder="1" fontId="4" applyFont="1" fillId="0" applyAlignment="1">
      <alignment horizontal="right"/>
    </xf>
    <xf xfId="0" numFmtId="0" borderId="3" applyBorder="1" fontId="4" applyFont="1" fillId="0" applyAlignment="1">
      <alignment horizontal="left"/>
    </xf>
    <xf xfId="0" numFmtId="164" applyNumberFormat="1" borderId="3" applyBorder="1" fontId="4" applyFont="1" fillId="0" applyAlignment="1">
      <alignment horizontal="center"/>
    </xf>
    <xf xfId="0" numFmtId="4" applyNumberFormat="1" borderId="3" applyBorder="1" fontId="4" applyFont="1" fillId="0" applyAlignment="1">
      <alignment horizontal="center"/>
    </xf>
    <xf xfId="0" numFmtId="165" applyNumberFormat="1" borderId="1" applyBorder="1" fontId="7" applyFont="1" fillId="0" applyAlignment="1">
      <alignment horizontal="right"/>
    </xf>
    <xf xfId="0" numFmtId="0" borderId="4" applyBorder="1" fontId="4" applyFont="1" fillId="2" applyFill="1" applyAlignment="1">
      <alignment horizontal="left"/>
    </xf>
    <xf xfId="0" numFmtId="164" applyNumberFormat="1" borderId="4" applyBorder="1" fontId="4" applyFont="1" fillId="2" applyFill="1" applyAlignment="1">
      <alignment horizontal="center"/>
    </xf>
    <xf xfId="0" numFmtId="4" applyNumberFormat="1" borderId="4" applyBorder="1" fontId="4" applyFont="1" fillId="2" applyFill="1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4" applyNumberFormat="1" borderId="4" applyBorder="1" fontId="4" applyFont="1" fillId="3" applyFill="1" applyAlignment="1">
      <alignment horizontal="center"/>
    </xf>
    <xf xfId="0" numFmtId="4" applyNumberFormat="1" borderId="1" applyBorder="1" fontId="4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4" applyNumberFormat="1" borderId="4" applyBorder="1" fontId="4" applyFont="1" fillId="4" applyFill="1" applyAlignment="1">
      <alignment horizontal="right"/>
    </xf>
    <xf xfId="0" numFmtId="0" borderId="1" applyBorder="1" fontId="4" applyFont="1" fillId="0" applyAlignment="1">
      <alignment horizontal="center" vertical="top" wrapText="1"/>
    </xf>
    <xf xfId="0" numFmtId="0" borderId="1" applyBorder="1" fontId="4" applyFont="1" fillId="0" applyAlignment="1">
      <alignment horizontal="center" wrapText="1"/>
    </xf>
    <xf xfId="0" numFmtId="0" borderId="1" applyBorder="1" fontId="9" applyFont="1" fillId="0" applyAlignment="1">
      <alignment horizontal="left"/>
    </xf>
    <xf xfId="0" numFmtId="164" applyNumberFormat="1" borderId="4" applyBorder="1" fontId="2" applyFont="1" fillId="5" applyFill="1" applyAlignment="1">
      <alignment horizontal="right"/>
    </xf>
    <xf xfId="0" numFmtId="164" applyNumberFormat="1" borderId="4" applyBorder="1" fontId="4" applyFont="1" fillId="2" applyFill="1" applyAlignment="1">
      <alignment horizontal="right"/>
    </xf>
    <xf xfId="0" numFmtId="164" applyNumberFormat="1" borderId="4" applyBorder="1" fontId="4" applyFont="1" fillId="6" applyFill="1" applyAlignment="1">
      <alignment horizontal="right"/>
    </xf>
    <xf xfId="0" numFmtId="4" applyNumberFormat="1" borderId="4" applyBorder="1" fontId="2" applyFont="1" fillId="5" applyFill="1" applyAlignment="1">
      <alignment horizontal="right"/>
    </xf>
    <xf xfId="0" numFmtId="4" applyNumberFormat="1" borderId="4" applyBorder="1" fontId="2" applyFont="1" fillId="5" applyFill="1" applyAlignment="1">
      <alignment horizontal="lef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58"/>
  <sheetViews>
    <sheetView workbookViewId="0"/>
  </sheetViews>
  <sheetFormatPr defaultRowHeight="15" x14ac:dyDescent="0.25"/>
  <cols>
    <col min="1" max="1" style="32" width="22.14785714285714" customWidth="1" bestFit="1"/>
    <col min="2" max="2" style="62" width="13.147857142857141" customWidth="1" bestFit="1"/>
    <col min="3" max="3" style="62" width="10.719285714285713" customWidth="1" bestFit="1"/>
    <col min="4" max="4" style="62" width="10.719285714285713" customWidth="1" bestFit="1"/>
    <col min="5" max="5" style="63" width="12.576428571428572" customWidth="1" bestFit="1"/>
    <col min="6" max="6" style="63" width="32.29071428571429" customWidth="1" bestFit="1"/>
    <col min="7" max="7" style="63" width="12.005" customWidth="1" bestFit="1"/>
    <col min="8" max="8" style="32" width="14.147857142857141" customWidth="1" bestFit="1"/>
    <col min="9" max="9" style="63" width="14.147857142857141" customWidth="1" bestFit="1"/>
    <col min="10" max="10" style="32" width="16.719285714285714" customWidth="1" bestFit="1"/>
    <col min="11" max="11" style="63" width="14.147857142857141" customWidth="1" bestFit="1"/>
    <col min="12" max="12" style="28" width="34.86214285714286" customWidth="1" bestFit="1"/>
    <col min="13" max="13" style="32" width="12.719285714285713" customWidth="1" bestFit="1"/>
    <col min="14" max="14" style="32" width="14.147857142857141" customWidth="1" bestFit="1"/>
    <col min="15" max="15" style="32" width="19.290714285714284" customWidth="1" bestFit="1"/>
    <col min="16" max="16" style="32" width="9.147857142857141" customWidth="1" bestFit="1"/>
    <col min="17" max="17" style="32" width="14.147857142857141" customWidth="1" bestFit="1"/>
    <col min="18" max="18" style="32" width="14.147857142857141" customWidth="1" bestFit="1"/>
    <col min="19" max="19" style="32" width="14.147857142857141" customWidth="1" bestFit="1"/>
    <col min="20" max="20" style="32" width="14.147857142857141" customWidth="1" bestFit="1"/>
    <col min="21" max="21" style="32" width="12.005" customWidth="1" bestFit="1"/>
    <col min="22" max="22" style="32" width="14.147857142857141" customWidth="1" bestFit="1"/>
    <col min="23" max="23" style="32" width="14.147857142857141" customWidth="1" bestFit="1"/>
    <col min="24" max="24" style="32" width="14.147857142857141" customWidth="1" bestFit="1"/>
    <col min="25" max="25" style="32" width="14.147857142857141" customWidth="1" bestFit="1"/>
    <col min="26" max="26" style="32" width="14.147857142857141" customWidth="1" bestFit="1"/>
    <col min="27" max="27" style="32" width="14.147857142857141" customWidth="1" bestFit="1"/>
  </cols>
  <sheetData>
    <row x14ac:dyDescent="0.25" r="1" customHeight="1" ht="19.5">
      <c r="A1" s="10" t="s">
        <v>215</v>
      </c>
      <c r="B1" s="33"/>
      <c r="C1" s="33"/>
      <c r="D1" s="33"/>
      <c r="E1" s="33"/>
      <c r="F1" s="34"/>
      <c r="G1" s="34"/>
      <c r="H1" s="5"/>
      <c r="I1" s="34"/>
      <c r="J1" s="5"/>
      <c r="K1" s="34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x14ac:dyDescent="0.25" r="2" customHeight="1" ht="19.5">
      <c r="A2" s="5" t="s">
        <v>216</v>
      </c>
      <c r="B2" s="33"/>
      <c r="C2" s="33"/>
      <c r="D2" s="33"/>
      <c r="E2" s="33"/>
      <c r="F2" s="34"/>
      <c r="G2" s="34"/>
      <c r="H2" s="5"/>
      <c r="I2" s="34"/>
      <c r="J2" s="5"/>
      <c r="K2" s="34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19.5">
      <c r="A3" s="5" t="s">
        <v>217</v>
      </c>
      <c r="B3" s="33"/>
      <c r="C3" s="35" t="s">
        <v>218</v>
      </c>
      <c r="D3" s="33"/>
      <c r="E3" s="33"/>
      <c r="F3" s="34"/>
      <c r="G3" s="34"/>
      <c r="H3" s="5"/>
      <c r="I3" s="34"/>
      <c r="J3" s="5"/>
      <c r="K3" s="34"/>
      <c r="L3" s="2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19.5">
      <c r="A4" s="5"/>
      <c r="B4" s="33"/>
      <c r="C4" s="33"/>
      <c r="D4" s="33"/>
      <c r="E4" s="33"/>
      <c r="F4" s="34"/>
      <c r="G4" s="34"/>
      <c r="H4" s="5"/>
      <c r="I4" s="34"/>
      <c r="J4" s="5"/>
      <c r="K4" s="34"/>
      <c r="L4" s="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x14ac:dyDescent="0.25" r="5" customHeight="1" ht="19.5">
      <c r="A5" s="5" t="s">
        <v>219</v>
      </c>
      <c r="B5" s="33"/>
      <c r="C5" s="33"/>
      <c r="D5" s="33"/>
      <c r="E5" s="33"/>
      <c r="F5" s="34"/>
      <c r="G5" s="34"/>
      <c r="H5" s="5"/>
      <c r="I5" s="34"/>
      <c r="J5" s="5"/>
      <c r="K5" s="34"/>
      <c r="L5" s="2"/>
      <c r="M5" s="3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7" t="s">
        <v>130</v>
      </c>
    </row>
    <row x14ac:dyDescent="0.25" r="6" customHeight="1" ht="19.5">
      <c r="A6" s="5" t="s">
        <v>220</v>
      </c>
      <c r="B6" s="33"/>
      <c r="C6" s="33"/>
      <c r="D6" s="33"/>
      <c r="E6" s="33"/>
      <c r="F6" s="34"/>
      <c r="G6" s="34"/>
      <c r="H6" s="5"/>
      <c r="I6" s="34"/>
      <c r="J6" s="5"/>
      <c r="K6" s="34"/>
      <c r="L6" s="2"/>
      <c r="M6" s="2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7" t="s">
        <v>17</v>
      </c>
    </row>
    <row x14ac:dyDescent="0.25" r="7" customHeight="1" ht="19.5">
      <c r="A7" s="5" t="s">
        <v>221</v>
      </c>
      <c r="B7" s="33"/>
      <c r="C7" s="33"/>
      <c r="D7" s="33"/>
      <c r="E7" s="33"/>
      <c r="F7" s="34"/>
      <c r="G7" s="34"/>
      <c r="H7" s="5"/>
      <c r="I7" s="34"/>
      <c r="J7" s="5"/>
      <c r="K7" s="34"/>
      <c r="L7" s="2"/>
      <c r="M7" s="3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7" t="s">
        <v>19</v>
      </c>
    </row>
    <row x14ac:dyDescent="0.25" r="8" customHeight="1" ht="19.5">
      <c r="A8" s="5"/>
      <c r="B8" s="33"/>
      <c r="C8" s="33"/>
      <c r="D8" s="33"/>
      <c r="E8" s="33"/>
      <c r="F8" s="34"/>
      <c r="G8" s="34"/>
      <c r="H8" s="5"/>
      <c r="I8" s="34"/>
      <c r="J8" s="5"/>
      <c r="K8" s="34"/>
      <c r="L8" s="2"/>
      <c r="M8" s="2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7" t="s">
        <v>20</v>
      </c>
    </row>
    <row x14ac:dyDescent="0.25" r="9" customHeight="1" ht="19.5">
      <c r="A9" s="5" t="s">
        <v>222</v>
      </c>
      <c r="B9" s="33"/>
      <c r="C9" s="33"/>
      <c r="D9" s="33"/>
      <c r="E9" s="33"/>
      <c r="F9" s="34"/>
      <c r="G9" s="34"/>
      <c r="H9" s="5"/>
      <c r="I9" s="34"/>
      <c r="J9" s="5"/>
      <c r="K9" s="34"/>
      <c r="L9" s="2"/>
      <c r="M9" s="2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17" t="s">
        <v>164</v>
      </c>
    </row>
    <row x14ac:dyDescent="0.25" r="10" customHeight="1" ht="19.5">
      <c r="A10" s="5"/>
      <c r="B10" s="37" t="s">
        <v>223</v>
      </c>
      <c r="C10" s="33"/>
      <c r="D10" s="33"/>
      <c r="E10" s="38" t="s">
        <v>224</v>
      </c>
      <c r="F10" s="34"/>
      <c r="G10" s="34"/>
      <c r="H10" s="5"/>
      <c r="I10" s="34"/>
      <c r="J10" s="5"/>
      <c r="K10" s="34"/>
      <c r="L10" s="2"/>
      <c r="M10" s="3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7" t="s">
        <v>168</v>
      </c>
    </row>
    <row x14ac:dyDescent="0.25" r="11" customHeight="1" ht="19.5">
      <c r="A11" s="5"/>
      <c r="B11" s="33"/>
      <c r="C11" s="33"/>
      <c r="D11" s="33"/>
      <c r="E11" s="33"/>
      <c r="F11" s="34"/>
      <c r="G11" s="34"/>
      <c r="H11" s="5"/>
      <c r="I11" s="34"/>
      <c r="J11" s="5"/>
      <c r="K11" s="34"/>
      <c r="L11" s="2"/>
      <c r="M11" s="4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7" t="s">
        <v>56</v>
      </c>
    </row>
    <row x14ac:dyDescent="0.25" r="12" customHeight="1" ht="19.5">
      <c r="A12" s="5" t="s">
        <v>225</v>
      </c>
      <c r="B12" s="33"/>
      <c r="C12" s="33"/>
      <c r="D12" s="33"/>
      <c r="E12" s="33"/>
      <c r="F12" s="34"/>
      <c r="G12" s="34"/>
      <c r="H12" s="5"/>
      <c r="I12" s="34"/>
      <c r="J12" s="5"/>
      <c r="K12" s="34"/>
      <c r="L12" s="2"/>
      <c r="M12" s="3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7" t="s">
        <v>80</v>
      </c>
    </row>
    <row x14ac:dyDescent="0.25" r="13" customHeight="1" ht="19.5">
      <c r="A13" s="5"/>
      <c r="B13" s="37" t="s">
        <v>226</v>
      </c>
      <c r="C13" s="33"/>
      <c r="D13" s="33"/>
      <c r="E13" s="33"/>
      <c r="F13" s="34"/>
      <c r="G13" s="34"/>
      <c r="H13" s="5"/>
      <c r="I13" s="34"/>
      <c r="J13" s="5"/>
      <c r="K13" s="34"/>
      <c r="L13" s="2"/>
      <c r="M13" s="3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7" t="s">
        <v>86</v>
      </c>
    </row>
    <row x14ac:dyDescent="0.25" r="14" customHeight="1" ht="19.5">
      <c r="A14" s="5"/>
      <c r="B14" s="33"/>
      <c r="C14" s="33"/>
      <c r="D14" s="33"/>
      <c r="E14" s="33"/>
      <c r="F14" s="34"/>
      <c r="G14" s="34"/>
      <c r="H14" s="5"/>
      <c r="I14" s="38" t="s">
        <v>227</v>
      </c>
      <c r="J14" s="5"/>
      <c r="K14" s="34"/>
      <c r="L14" s="2"/>
      <c r="M14" s="4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7" t="s">
        <v>21</v>
      </c>
    </row>
    <row x14ac:dyDescent="0.25" r="15" customHeight="1" ht="19.5">
      <c r="A15" s="42" t="s">
        <v>228</v>
      </c>
      <c r="B15" s="43" t="s">
        <v>229</v>
      </c>
      <c r="C15" s="43" t="s">
        <v>230</v>
      </c>
      <c r="D15" s="43" t="s">
        <v>231</v>
      </c>
      <c r="E15" s="44" t="s">
        <v>232</v>
      </c>
      <c r="F15" s="34"/>
      <c r="G15" s="38" t="s">
        <v>233</v>
      </c>
      <c r="H15" s="5"/>
      <c r="I15" s="26">
        <f>1/0.0049511</f>
      </c>
      <c r="J15" s="5"/>
      <c r="K15" s="34"/>
      <c r="L15" s="2"/>
      <c r="M15" s="4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7" t="s">
        <v>22</v>
      </c>
    </row>
    <row x14ac:dyDescent="0.25" r="16" customHeight="1" ht="19.5">
      <c r="A16" s="46" t="s">
        <v>213</v>
      </c>
      <c r="B16" s="47">
        <f>VLOOKUP(A16,DataTable!$A$4:$G$146,5,FALSE)</f>
      </c>
      <c r="C16" s="47">
        <f>VLOOKUP(A16,DataTable!$A$4:$G$146,3,FALSE)*VLOOKUP(A16,DataTable!$A$4:$G$146,4,FALSE)</f>
      </c>
      <c r="D16" s="47">
        <f>VLOOKUP(A16,DataTable!$A$4:$G$146,3,FALSE)</f>
      </c>
      <c r="E16" s="48">
        <v>175.67586744431026</v>
      </c>
      <c r="F16" s="25"/>
      <c r="G16" s="49">
        <f>E16/VLOOKUP(A16,DataTable!$A$4:$G$146,6,FALSE)*$I$15</f>
      </c>
      <c r="H16" s="5"/>
      <c r="I16" s="34"/>
      <c r="J16" s="5"/>
      <c r="K16" s="34"/>
      <c r="L16" s="2"/>
      <c r="M16" s="39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7" t="s">
        <v>30</v>
      </c>
    </row>
    <row x14ac:dyDescent="0.25" r="17" customHeight="1" ht="15">
      <c r="A17" s="46" t="s">
        <v>202</v>
      </c>
      <c r="B17" s="47">
        <f>VLOOKUP(A17,DataTable!$A$4:$G$145,5,FALSE)</f>
      </c>
      <c r="C17" s="47">
        <f>VLOOKUP(A17,DataTable!$A$4:$G$145,3,FALSE)*VLOOKUP(A17,DataTable!$A$4:$G$145,4,FALSE)</f>
      </c>
      <c r="D17" s="47">
        <f>VLOOKUP(A17,DataTable!$A$4:$G$145,3,FALSE)</f>
      </c>
      <c r="E17" s="50">
        <v>162.2247933976734</v>
      </c>
      <c r="F17" s="51" t="s">
        <v>234</v>
      </c>
      <c r="G17" s="49">
        <f>E17/VLOOKUP(A17,DataTable!$A$4:$G$146,6,FALSE)*$I$15</f>
      </c>
      <c r="H17" s="5"/>
      <c r="I17" s="34"/>
      <c r="J17" s="52" t="s">
        <v>235</v>
      </c>
      <c r="K17" s="53">
        <f>(E21-C26)^2+(E22-C27)^2+(E23-C28)^2</f>
      </c>
      <c r="L17" s="54" t="s">
        <v>236</v>
      </c>
      <c r="M17" s="39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7" t="s">
        <v>133</v>
      </c>
    </row>
    <row x14ac:dyDescent="0.25" r="18" customHeight="1" ht="19.5">
      <c r="A18" s="46" t="s">
        <v>118</v>
      </c>
      <c r="B18" s="47">
        <f>VLOOKUP(A18,DataTable!$A$4:$G$145,5,FALSE)</f>
      </c>
      <c r="C18" s="47">
        <f>VLOOKUP(A18,DataTable!$A$4:$G$145,3,FALSE)*VLOOKUP(A18,DataTable!$A$4:$G$145,4,FALSE)</f>
      </c>
      <c r="D18" s="47">
        <f>VLOOKUP(A18,DataTable!$A$4:$G$145,3,FALSE)</f>
      </c>
      <c r="E18" s="50">
        <v>137.69961169914427</v>
      </c>
      <c r="F18" s="51" t="s">
        <v>237</v>
      </c>
      <c r="G18" s="49">
        <f>E18/VLOOKUP(A18,DataTable!$A$4:$G$146,6,FALSE)*$I$15</f>
      </c>
      <c r="H18" s="5"/>
      <c r="I18" s="34"/>
      <c r="J18" s="5"/>
      <c r="K18" s="34"/>
      <c r="L18" s="55"/>
      <c r="M18" s="41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7" t="s">
        <v>32</v>
      </c>
    </row>
    <row x14ac:dyDescent="0.25" r="19" customHeight="1" ht="19.5">
      <c r="A19" s="46" t="s">
        <v>212</v>
      </c>
      <c r="B19" s="47">
        <f>VLOOKUP(A19,DataTable!$A$4:$G$145,5,FALSE)</f>
      </c>
      <c r="C19" s="47">
        <f>VLOOKUP(A19,DataTable!$A$4:$G$145,3,FALSE)*VLOOKUP(A19,DataTable!$A$4:$G$145,4,FALSE)</f>
      </c>
      <c r="D19" s="47">
        <f>VLOOKUP(A19,DataTable!$A$4:$G$145,3,FALSE)</f>
      </c>
      <c r="E19" s="50">
        <v>0</v>
      </c>
      <c r="F19" s="51" t="s">
        <v>238</v>
      </c>
      <c r="G19" s="49">
        <f>E19/VLOOKUP(A19,DataTable!$A$4:$G$146,6,FALSE)*$I$15</f>
      </c>
      <c r="H19" s="5"/>
      <c r="I19" s="34"/>
      <c r="J19" s="5"/>
      <c r="K19" s="34"/>
      <c r="L19" s="5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7" t="s">
        <v>169</v>
      </c>
    </row>
    <row x14ac:dyDescent="0.25" r="20" customHeight="1" ht="19.5">
      <c r="A20" s="5"/>
      <c r="B20" s="25"/>
      <c r="C20" s="25"/>
      <c r="D20" s="25"/>
      <c r="E20" s="25"/>
      <c r="F20" s="34"/>
      <c r="G20" s="34"/>
      <c r="H20" s="5"/>
      <c r="I20" s="34"/>
      <c r="J20" s="5"/>
      <c r="K20" s="34"/>
      <c r="L20" s="5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6" t="s">
        <v>239</v>
      </c>
      <c r="AA20" s="17" t="s">
        <v>61</v>
      </c>
    </row>
    <row x14ac:dyDescent="0.25" r="21" customHeight="1" ht="19.5">
      <c r="A21" s="5"/>
      <c r="B21" s="33"/>
      <c r="C21" s="25"/>
      <c r="D21" s="25" t="s">
        <v>240</v>
      </c>
      <c r="E21" s="57">
        <f>(E16*B16+E17*B17+E18*B18+E19*B19)/(E16+E17+E18+E19)</f>
      </c>
      <c r="F21" s="51" t="s">
        <v>241</v>
      </c>
      <c r="G21" s="34"/>
      <c r="H21" s="5"/>
      <c r="I21" s="34"/>
      <c r="J21" s="5"/>
      <c r="K21" s="34"/>
      <c r="L21" s="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6" t="s">
        <v>242</v>
      </c>
      <c r="AA21" s="17" t="s">
        <v>35</v>
      </c>
    </row>
    <row x14ac:dyDescent="0.25" r="22" customHeight="1" ht="19.5">
      <c r="A22" s="5"/>
      <c r="B22" s="33"/>
      <c r="C22" s="25"/>
      <c r="D22" s="25" t="s">
        <v>243</v>
      </c>
      <c r="E22" s="57">
        <f>(E16*C16*(100-B16)+E17*C17*(100-B17)+E18*C18*(100-B18)+E19*C19*(100-B19))/(E16*D16*(100-B16)+E17*D17*(100-B17)+E18*D18*(100-B18)+E19*D19*(100-B19))</f>
      </c>
      <c r="F22" s="51" t="s">
        <v>241</v>
      </c>
      <c r="G22" s="34"/>
      <c r="H22" s="5"/>
      <c r="I22" s="34"/>
      <c r="J22" s="5"/>
      <c r="K22" s="34"/>
      <c r="L22" s="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6"/>
      <c r="AA22" s="17" t="s">
        <v>36</v>
      </c>
    </row>
    <row x14ac:dyDescent="0.25" r="23" customHeight="1" ht="19.5">
      <c r="A23" s="5"/>
      <c r="B23" s="33"/>
      <c r="C23" s="33"/>
      <c r="D23" s="25" t="s">
        <v>244</v>
      </c>
      <c r="E23" s="57">
        <f>SUM(G16:G19)</f>
      </c>
      <c r="F23" s="51" t="s">
        <v>245</v>
      </c>
      <c r="G23" s="34"/>
      <c r="H23" s="5"/>
      <c r="I23" s="34"/>
      <c r="J23" s="5"/>
      <c r="K23" s="34"/>
      <c r="L23" s="2"/>
      <c r="M23" s="4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6" t="s">
        <v>246</v>
      </c>
      <c r="AA23" s="17" t="s">
        <v>88</v>
      </c>
    </row>
    <row x14ac:dyDescent="0.25" r="24" customHeight="1" ht="19.5">
      <c r="A24" s="5"/>
      <c r="B24" s="33"/>
      <c r="C24" s="33"/>
      <c r="D24" s="33"/>
      <c r="E24" s="33"/>
      <c r="F24" s="34"/>
      <c r="G24" s="34"/>
      <c r="H24" s="5"/>
      <c r="I24" s="34"/>
      <c r="J24" s="5"/>
      <c r="K24" s="34"/>
      <c r="L24" s="2"/>
      <c r="M24" s="4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6" t="s">
        <v>247</v>
      </c>
      <c r="AA24" s="17" t="s">
        <v>87</v>
      </c>
    </row>
    <row x14ac:dyDescent="0.25" r="25" customHeight="1" ht="19.5">
      <c r="A25" s="5" t="s">
        <v>248</v>
      </c>
      <c r="B25" s="25"/>
      <c r="C25" s="25"/>
      <c r="D25" s="25"/>
      <c r="E25" s="25"/>
      <c r="F25" s="34"/>
      <c r="G25" s="34"/>
      <c r="H25" s="5"/>
      <c r="I25" s="34"/>
      <c r="J25" s="5"/>
      <c r="K25" s="34"/>
      <c r="L25" s="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7" t="s">
        <v>131</v>
      </c>
    </row>
    <row x14ac:dyDescent="0.25" r="26" customHeight="1" ht="19.5">
      <c r="A26" s="5"/>
      <c r="B26" s="25" t="s">
        <v>249</v>
      </c>
      <c r="C26" s="58">
        <v>60</v>
      </c>
      <c r="D26" s="37" t="s">
        <v>250</v>
      </c>
      <c r="E26" s="33"/>
      <c r="F26" s="25"/>
      <c r="G26" s="34"/>
      <c r="H26" s="5"/>
      <c r="I26" s="34"/>
      <c r="J26" s="5"/>
      <c r="K26" s="34"/>
      <c r="L26" s="2"/>
      <c r="M26" s="2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7" t="s">
        <v>68</v>
      </c>
    </row>
    <row x14ac:dyDescent="0.25" r="27" customHeight="1" ht="19.5">
      <c r="A27" s="5"/>
      <c r="B27" s="25" t="s">
        <v>251</v>
      </c>
      <c r="C27" s="58">
        <v>35</v>
      </c>
      <c r="D27" s="25"/>
      <c r="E27" s="25"/>
      <c r="F27" s="25"/>
      <c r="G27" s="34"/>
      <c r="H27" s="5"/>
      <c r="I27" s="34"/>
      <c r="J27" s="5"/>
      <c r="K27" s="34"/>
      <c r="L27" s="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7" t="s">
        <v>62</v>
      </c>
    </row>
    <row x14ac:dyDescent="0.25" r="28" customHeight="1" ht="19.5">
      <c r="A28" s="5"/>
      <c r="B28" s="25" t="s">
        <v>252</v>
      </c>
      <c r="C28" s="59">
        <f>I15</f>
      </c>
      <c r="D28" s="25"/>
      <c r="E28" s="25"/>
      <c r="F28" s="34"/>
      <c r="G28" s="34"/>
      <c r="H28" s="5"/>
      <c r="I28" s="34"/>
      <c r="J28" s="5"/>
      <c r="K28" s="34"/>
      <c r="L28" s="2"/>
      <c r="M28" s="3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7" t="s">
        <v>63</v>
      </c>
    </row>
    <row x14ac:dyDescent="0.25" r="29" customHeight="1" ht="19.5">
      <c r="A29" s="5"/>
      <c r="B29" s="25"/>
      <c r="C29" s="25"/>
      <c r="D29" s="25"/>
      <c r="E29" s="25"/>
      <c r="F29" s="34"/>
      <c r="G29" s="34"/>
      <c r="H29" s="5"/>
      <c r="I29" s="34"/>
      <c r="J29" s="5"/>
      <c r="K29" s="34"/>
      <c r="L29" s="2"/>
      <c r="M29" s="4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7" t="s">
        <v>42</v>
      </c>
    </row>
    <row x14ac:dyDescent="0.25" r="30" customHeight="1" ht="19.5">
      <c r="A30" s="5"/>
      <c r="B30" s="25"/>
      <c r="C30" s="25"/>
      <c r="D30" s="25"/>
      <c r="E30" s="26" t="s">
        <v>253</v>
      </c>
      <c r="F30" s="51">
        <f>A18</f>
      </c>
      <c r="G30" s="34"/>
      <c r="H30" s="5"/>
      <c r="I30" s="34"/>
      <c r="J30" s="5"/>
      <c r="K30" s="34"/>
      <c r="L30" s="2"/>
      <c r="M30" s="41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17" t="s">
        <v>118</v>
      </c>
    </row>
    <row x14ac:dyDescent="0.25" r="31" customHeight="1" ht="19.5">
      <c r="A31" s="5"/>
      <c r="B31" s="25"/>
      <c r="C31" s="25"/>
      <c r="D31" s="25"/>
      <c r="E31" s="25"/>
      <c r="F31" s="34"/>
      <c r="G31" s="34"/>
      <c r="H31" s="5"/>
      <c r="I31" s="34"/>
      <c r="J31" s="5"/>
      <c r="K31" s="34"/>
      <c r="L31" s="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17" t="s">
        <v>197</v>
      </c>
    </row>
    <row x14ac:dyDescent="0.25" r="32" customHeight="1" ht="19.5">
      <c r="A32" s="5"/>
      <c r="B32" s="33"/>
      <c r="C32" s="33"/>
      <c r="D32" s="25"/>
      <c r="E32" s="26" t="s">
        <v>254</v>
      </c>
      <c r="F32" s="60">
        <f>(C26*E16+C26*E17-B16*E16-B17*E17)/(B18-C26)</f>
      </c>
      <c r="G32" s="34"/>
      <c r="H32" s="5"/>
      <c r="I32" s="34"/>
      <c r="J32" s="5"/>
      <c r="K32" s="34"/>
      <c r="L32" s="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7" t="s">
        <v>196</v>
      </c>
    </row>
    <row x14ac:dyDescent="0.25" r="33" customHeight="1" ht="19.5">
      <c r="A33" s="5"/>
      <c r="B33" s="25"/>
      <c r="C33" s="33"/>
      <c r="D33" s="25"/>
      <c r="E33" s="25"/>
      <c r="F33" s="25"/>
      <c r="G33" s="34"/>
      <c r="H33" s="5"/>
      <c r="I33" s="34"/>
      <c r="J33" s="5"/>
      <c r="K33" s="34"/>
      <c r="L33" s="2"/>
      <c r="M33" s="5"/>
      <c r="N33" s="2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17" t="s">
        <v>186</v>
      </c>
    </row>
    <row x14ac:dyDescent="0.25" r="34" customHeight="1" ht="19.5">
      <c r="A34" s="5"/>
      <c r="B34" s="33"/>
      <c r="C34" s="33"/>
      <c r="D34" s="25"/>
      <c r="E34" s="26" t="s">
        <v>255</v>
      </c>
      <c r="F34" s="60">
        <f>(C27*E16*D16*(100-B16)+C27*E17*D17*(100-B17)-E16*C16*(100-B16)-E17*C17*(100-B17))/(C18*(100-B18)-C27*D18*(100-B18))</f>
      </c>
      <c r="G34" s="34"/>
      <c r="H34" s="5"/>
      <c r="I34" s="34"/>
      <c r="J34" s="5"/>
      <c r="K34" s="34"/>
      <c r="L34" s="2"/>
      <c r="M34" s="5"/>
      <c r="N34" s="25"/>
      <c r="O34" s="2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7" t="s">
        <v>138</v>
      </c>
    </row>
    <row x14ac:dyDescent="0.25" r="35" customHeight="1" ht="19.5">
      <c r="A35" s="5"/>
      <c r="B35" s="33"/>
      <c r="C35" s="33"/>
      <c r="D35" s="33"/>
      <c r="E35" s="25"/>
      <c r="F35" s="34"/>
      <c r="G35" s="34"/>
      <c r="H35" s="5"/>
      <c r="I35" s="34"/>
      <c r="J35" s="5"/>
      <c r="K35" s="34"/>
      <c r="L35" s="2"/>
      <c r="M35" s="5"/>
      <c r="N35" s="25"/>
      <c r="O35" s="2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17" t="s">
        <v>142</v>
      </c>
    </row>
    <row x14ac:dyDescent="0.25" r="36" customHeight="1" ht="19.5">
      <c r="A36" s="5" t="s">
        <v>256</v>
      </c>
      <c r="B36" s="33"/>
      <c r="C36" s="33"/>
      <c r="D36" s="33"/>
      <c r="E36" s="25"/>
      <c r="F36" s="34"/>
      <c r="G36" s="34"/>
      <c r="H36" s="5"/>
      <c r="I36" s="34"/>
      <c r="J36" s="5"/>
      <c r="K36" s="34"/>
      <c r="L36" s="2"/>
      <c r="M36" s="5"/>
      <c r="N36" s="25"/>
      <c r="O36" s="2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7" t="s">
        <v>145</v>
      </c>
    </row>
    <row x14ac:dyDescent="0.25" r="37" customHeight="1" ht="19.5">
      <c r="A37" s="5" t="s">
        <v>257</v>
      </c>
      <c r="B37" s="33"/>
      <c r="C37" s="33"/>
      <c r="D37" s="33"/>
      <c r="E37" s="25"/>
      <c r="F37" s="34"/>
      <c r="G37" s="34"/>
      <c r="H37" s="5"/>
      <c r="I37" s="34"/>
      <c r="J37" s="5"/>
      <c r="K37" s="34"/>
      <c r="L37" s="2"/>
      <c r="M37" s="5"/>
      <c r="N37" s="25"/>
      <c r="O37" s="2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7" t="s">
        <v>94</v>
      </c>
    </row>
    <row x14ac:dyDescent="0.25" r="38" customHeight="1" ht="19.5">
      <c r="A38" s="5"/>
      <c r="B38" s="33"/>
      <c r="C38" s="33"/>
      <c r="D38" s="33"/>
      <c r="E38" s="26" t="s">
        <v>258</v>
      </c>
      <c r="F38" s="34">
        <f>A19</f>
      </c>
      <c r="G38" s="34"/>
      <c r="H38" s="5"/>
      <c r="I38" s="34"/>
      <c r="J38" s="5"/>
      <c r="K38" s="34"/>
      <c r="L38" s="2"/>
      <c r="M38" s="5"/>
      <c r="N38" s="25"/>
      <c r="O38" s="2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17" t="s">
        <v>99</v>
      </c>
    </row>
    <row x14ac:dyDescent="0.25" r="39" customHeight="1" ht="19.5">
      <c r="A39" s="5"/>
      <c r="B39" s="33"/>
      <c r="C39" s="33"/>
      <c r="D39" s="33"/>
      <c r="E39" s="25"/>
      <c r="F39" s="34"/>
      <c r="G39" s="34"/>
      <c r="H39" s="5"/>
      <c r="I39" s="34"/>
      <c r="J39" s="5"/>
      <c r="K39" s="34"/>
      <c r="L39" s="2"/>
      <c r="M39" s="5"/>
      <c r="N39" s="25"/>
      <c r="O39" s="2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7" t="s">
        <v>105</v>
      </c>
    </row>
    <row x14ac:dyDescent="0.25" r="40" customHeight="1" ht="19.5">
      <c r="A40" s="5"/>
      <c r="B40" s="33"/>
      <c r="C40" s="33"/>
      <c r="D40" s="33"/>
      <c r="E40" s="26" t="s">
        <v>254</v>
      </c>
      <c r="F40" s="60">
        <f>(C26*E16+C26*E17+C26*E18-B16*E16-B17*E17-B18*E18)/(B19-C26)</f>
      </c>
      <c r="G40" s="34"/>
      <c r="H40" s="5"/>
      <c r="I40" s="34"/>
      <c r="J40" s="5"/>
      <c r="K40" s="34"/>
      <c r="L40" s="2"/>
      <c r="M40" s="5"/>
      <c r="N40" s="25"/>
      <c r="O40" s="2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17" t="s">
        <v>204</v>
      </c>
    </row>
    <row x14ac:dyDescent="0.25" r="41" customHeight="1" ht="19.5">
      <c r="A41" s="5"/>
      <c r="B41" s="33"/>
      <c r="C41" s="33"/>
      <c r="D41" s="33"/>
      <c r="E41" s="25"/>
      <c r="F41" s="26"/>
      <c r="G41" s="34"/>
      <c r="H41" s="5"/>
      <c r="I41" s="34"/>
      <c r="J41" s="5"/>
      <c r="K41" s="34"/>
      <c r="L41" s="2"/>
      <c r="M41" s="5"/>
      <c r="N41" s="25"/>
      <c r="O41" s="2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7" t="s">
        <v>202</v>
      </c>
    </row>
    <row x14ac:dyDescent="0.25" r="42" customHeight="1" ht="19.5">
      <c r="A42" s="5"/>
      <c r="B42" s="33"/>
      <c r="C42" s="33"/>
      <c r="D42" s="33"/>
      <c r="E42" s="26" t="s">
        <v>255</v>
      </c>
      <c r="F42" s="61">
        <f>(C27*E16*D16*(100-B16)+C27*E17*D17*(100-B17)+C27*E18*D18*(100-B18)-E16*C16*(100-B16)-E17*C17*(100-B17)-E18*C18*(100-B18))/(C19*(100-B19)-C27*D19*(100-B19))</f>
      </c>
      <c r="G42" s="34"/>
      <c r="H42" s="5"/>
      <c r="I42" s="34"/>
      <c r="J42" s="5"/>
      <c r="K42" s="34"/>
      <c r="L42" s="2"/>
      <c r="M42" s="5"/>
      <c r="N42" s="25"/>
      <c r="O42" s="2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17" t="s">
        <v>170</v>
      </c>
    </row>
    <row x14ac:dyDescent="0.25" r="43" customHeight="1" ht="19.5">
      <c r="A43" s="5"/>
      <c r="B43" s="33"/>
      <c r="C43" s="33"/>
      <c r="D43" s="33"/>
      <c r="E43" s="26"/>
      <c r="F43" s="34"/>
      <c r="G43" s="34"/>
      <c r="H43" s="5"/>
      <c r="I43" s="34"/>
      <c r="J43" s="5"/>
      <c r="K43" s="34"/>
      <c r="L43" s="2"/>
      <c r="M43" s="5"/>
      <c r="N43" s="25"/>
      <c r="O43" s="2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17" t="s">
        <v>70</v>
      </c>
    </row>
    <row x14ac:dyDescent="0.25" r="44" customHeight="1" ht="19.5">
      <c r="A44" s="5"/>
      <c r="B44" s="37" t="s">
        <v>259</v>
      </c>
      <c r="C44" s="33"/>
      <c r="D44" s="33"/>
      <c r="E44" s="26"/>
      <c r="F44" s="34"/>
      <c r="G44" s="34"/>
      <c r="H44" s="5"/>
      <c r="I44" s="34"/>
      <c r="J44" s="5"/>
      <c r="K44" s="34"/>
      <c r="L44" s="2"/>
      <c r="M44" s="5"/>
      <c r="N44" s="25"/>
      <c r="O44" s="2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17" t="s">
        <v>171</v>
      </c>
    </row>
    <row x14ac:dyDescent="0.25" r="45" customHeight="1" ht="19.5">
      <c r="A45" s="5"/>
      <c r="B45" s="37" t="s">
        <v>260</v>
      </c>
      <c r="C45" s="33"/>
      <c r="D45" s="33"/>
      <c r="E45" s="26"/>
      <c r="F45" s="34"/>
      <c r="G45" s="34"/>
      <c r="H45" s="5"/>
      <c r="I45" s="34"/>
      <c r="J45" s="5"/>
      <c r="K45" s="34"/>
      <c r="L45" s="2"/>
      <c r="M45" s="5"/>
      <c r="N45" s="25"/>
      <c r="O45" s="2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17" t="s">
        <v>43</v>
      </c>
    </row>
    <row x14ac:dyDescent="0.25" r="46" customHeight="1" ht="19.5">
      <c r="A46" s="5"/>
      <c r="B46" s="37" t="s">
        <v>261</v>
      </c>
      <c r="C46" s="33"/>
      <c r="D46" s="33"/>
      <c r="E46" s="26"/>
      <c r="F46" s="34"/>
      <c r="G46" s="34"/>
      <c r="H46" s="5"/>
      <c r="I46" s="34"/>
      <c r="J46" s="5"/>
      <c r="K46" s="34"/>
      <c r="L46" s="2"/>
      <c r="M46" s="5"/>
      <c r="N46" s="25"/>
      <c r="O46" s="2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7" t="s">
        <v>121</v>
      </c>
    </row>
    <row x14ac:dyDescent="0.25" r="47" customHeight="1" ht="19.5">
      <c r="A47" s="5"/>
      <c r="B47" s="33"/>
      <c r="C47" s="33"/>
      <c r="D47" s="33"/>
      <c r="E47" s="26"/>
      <c r="F47" s="34"/>
      <c r="G47" s="34"/>
      <c r="H47" s="5"/>
      <c r="I47" s="34"/>
      <c r="J47" s="5"/>
      <c r="K47" s="34"/>
      <c r="L47" s="2"/>
      <c r="M47" s="5"/>
      <c r="N47" s="25"/>
      <c r="O47" s="2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7" t="s">
        <v>173</v>
      </c>
    </row>
    <row x14ac:dyDescent="0.25" r="48" customHeight="1" ht="19.5">
      <c r="A48" s="5" t="s">
        <v>262</v>
      </c>
      <c r="B48" s="33"/>
      <c r="C48" s="33"/>
      <c r="D48" s="33"/>
      <c r="E48" s="26"/>
      <c r="F48" s="34"/>
      <c r="G48" s="34"/>
      <c r="H48" s="5"/>
      <c r="I48" s="34"/>
      <c r="J48" s="5"/>
      <c r="K48" s="34"/>
      <c r="L48" s="2"/>
      <c r="M48" s="5"/>
      <c r="N48" s="25"/>
      <c r="O48" s="2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7" t="s">
        <v>174</v>
      </c>
    </row>
    <row x14ac:dyDescent="0.25" r="49" customHeight="1" ht="19.5">
      <c r="A49" s="5" t="s">
        <v>263</v>
      </c>
      <c r="B49" s="33"/>
      <c r="C49" s="33"/>
      <c r="D49" s="33"/>
      <c r="E49" s="26"/>
      <c r="F49" s="34"/>
      <c r="G49" s="34"/>
      <c r="H49" s="5"/>
      <c r="I49" s="34"/>
      <c r="J49" s="5"/>
      <c r="K49" s="34"/>
      <c r="L49" s="2"/>
      <c r="M49" s="5"/>
      <c r="N49" s="25"/>
      <c r="O49" s="2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7" t="s">
        <v>72</v>
      </c>
    </row>
    <row x14ac:dyDescent="0.25" r="50" customHeight="1" ht="19.5">
      <c r="A50" s="5"/>
      <c r="B50" s="33"/>
      <c r="C50" s="33"/>
      <c r="D50" s="33"/>
      <c r="E50" s="26" t="s">
        <v>264</v>
      </c>
      <c r="F50" s="51">
        <f>A17</f>
      </c>
      <c r="G50" s="34"/>
      <c r="H50" s="5"/>
      <c r="I50" s="34"/>
      <c r="J50" s="5"/>
      <c r="K50" s="34"/>
      <c r="L50" s="2"/>
      <c r="M50" s="5"/>
      <c r="N50" s="25"/>
      <c r="O50" s="2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7" t="s">
        <v>44</v>
      </c>
    </row>
    <row x14ac:dyDescent="0.25" r="51" customHeight="1" ht="19.5">
      <c r="A51" s="5"/>
      <c r="B51" s="33"/>
      <c r="C51" s="33"/>
      <c r="D51" s="33"/>
      <c r="E51" s="33"/>
      <c r="F51" s="60">
        <f>-(-B16*C18*(100-B18)+B16*C27*D18*(100-B18)+B18*C16*(100-B16)-C27*D18*(100-B18)*C26+C27*D16*(100-B16)*C26-C16*(100-B16)*C26+C18*(100-B18)*C26-B18*C27*D16*(100-B16))*E16/(C27*D17*(100-B17)*C26-C27*D17*(100-B17)*B18-C27*D18*(100-B18)*C26+C27*D18*(100-B18)*B17-C17*(100-B17)*C26+C17*(100-B17)*B18+C18*(100-B18)*C26-C18*(100-B18)*B17)</f>
      </c>
      <c r="G51" s="34"/>
      <c r="H51" s="5"/>
      <c r="I51" s="34"/>
      <c r="J51" s="5"/>
      <c r="K51" s="34"/>
      <c r="L51" s="2"/>
      <c r="M51" s="5"/>
      <c r="N51" s="25"/>
      <c r="O51" s="2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7" t="s">
        <v>71</v>
      </c>
    </row>
    <row x14ac:dyDescent="0.25" r="52" customHeight="1" ht="19.5">
      <c r="A52" s="5"/>
      <c r="B52" s="33"/>
      <c r="C52" s="33"/>
      <c r="D52" s="33"/>
      <c r="E52" s="33"/>
      <c r="F52" s="26"/>
      <c r="G52" s="34"/>
      <c r="H52" s="5"/>
      <c r="I52" s="34"/>
      <c r="J52" s="5"/>
      <c r="K52" s="34"/>
      <c r="L52" s="2"/>
      <c r="M52" s="5"/>
      <c r="N52" s="25"/>
      <c r="O52" s="2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7" t="s">
        <v>50</v>
      </c>
    </row>
    <row x14ac:dyDescent="0.25" r="53" customHeight="1" ht="19.5">
      <c r="A53" s="5"/>
      <c r="B53" s="33"/>
      <c r="C53" s="33"/>
      <c r="D53" s="33"/>
      <c r="E53" s="26" t="s">
        <v>253</v>
      </c>
      <c r="F53" s="34">
        <f>A18</f>
      </c>
      <c r="G53" s="34"/>
      <c r="H53" s="5"/>
      <c r="I53" s="34"/>
      <c r="J53" s="5"/>
      <c r="K53" s="34"/>
      <c r="L53" s="2"/>
      <c r="M53" s="5"/>
      <c r="N53" s="25"/>
      <c r="O53" s="2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7" t="s">
        <v>180</v>
      </c>
    </row>
    <row x14ac:dyDescent="0.25" r="54" customHeight="1" ht="19.5">
      <c r="A54" s="5"/>
      <c r="B54" s="33"/>
      <c r="C54" s="33"/>
      <c r="D54" s="33"/>
      <c r="E54" s="33"/>
      <c r="F54" s="60">
        <f>-E16*(-C27*D16*(100-B16)*C26+C27*D16*(100-B16)*B17+C27*D17*(100-B17)*C26-C27*D17*(100-B17)*B16+C16*(100-B16)*C26-C16*(100-B16)*B17-C17*(100-B17)*C26+C17*(100-B17)*B16)/(C27*D17*(100-B17)*C26-C27*D17*(100-B17)*B18-C27*D18*(100-B18)*C26+C27*D18*(100-B18)*B17-C17*(100-B17)*C26+C17*(100-B17)*B18+C18*(100-B18)*C26-C18*(100-B18)*B17)</f>
      </c>
      <c r="G54" s="34"/>
      <c r="H54" s="5"/>
      <c r="I54" s="34"/>
      <c r="J54" s="5"/>
      <c r="K54" s="34"/>
      <c r="L54" s="2"/>
      <c r="M54" s="5"/>
      <c r="N54" s="25"/>
      <c r="O54" s="2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7" t="s">
        <v>208</v>
      </c>
    </row>
    <row x14ac:dyDescent="0.25" r="55" customHeight="1" ht="19.5">
      <c r="A55" s="5"/>
      <c r="B55" s="33"/>
      <c r="C55" s="33"/>
      <c r="D55" s="33"/>
      <c r="E55" s="33"/>
      <c r="F55" s="34"/>
      <c r="G55" s="34"/>
      <c r="H55" s="5"/>
      <c r="I55" s="34"/>
      <c r="J55" s="5"/>
      <c r="K55" s="34"/>
      <c r="L55" s="2"/>
      <c r="M55" s="5"/>
      <c r="N55" s="25"/>
      <c r="O55" s="2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7" t="s">
        <v>110</v>
      </c>
    </row>
    <row x14ac:dyDescent="0.25" r="56" customHeight="1" ht="19.5">
      <c r="A56" s="5"/>
      <c r="B56" s="37" t="s">
        <v>265</v>
      </c>
      <c r="C56" s="33"/>
      <c r="D56" s="33"/>
      <c r="E56" s="33"/>
      <c r="F56" s="34"/>
      <c r="G56" s="34"/>
      <c r="H56" s="5"/>
      <c r="I56" s="34"/>
      <c r="J56" s="5"/>
      <c r="K56" s="34"/>
      <c r="L56" s="2"/>
      <c r="M56" s="5"/>
      <c r="N56" s="25"/>
      <c r="O56" s="2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7" t="s">
        <v>73</v>
      </c>
    </row>
    <row x14ac:dyDescent="0.25" r="57" customHeight="1" ht="19.5">
      <c r="A57" s="5"/>
      <c r="B57" s="37" t="s">
        <v>266</v>
      </c>
      <c r="C57" s="33"/>
      <c r="D57" s="33"/>
      <c r="E57" s="33"/>
      <c r="F57" s="34"/>
      <c r="G57" s="34"/>
      <c r="H57" s="5"/>
      <c r="I57" s="34"/>
      <c r="J57" s="5"/>
      <c r="K57" s="34"/>
      <c r="L57" s="2"/>
      <c r="M57" s="5"/>
      <c r="N57" s="25"/>
      <c r="O57" s="2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7" t="s">
        <v>209</v>
      </c>
    </row>
    <row x14ac:dyDescent="0.25" r="58" customHeight="1" ht="19.5">
      <c r="A58" s="5"/>
      <c r="B58" s="37" t="s">
        <v>267</v>
      </c>
      <c r="C58" s="33"/>
      <c r="D58" s="33"/>
      <c r="E58" s="33"/>
      <c r="F58" s="34"/>
      <c r="G58" s="34"/>
      <c r="H58" s="5"/>
      <c r="I58" s="34"/>
      <c r="J58" s="5"/>
      <c r="K58" s="34"/>
      <c r="L58" s="2"/>
      <c r="M58" s="5"/>
      <c r="N58" s="25"/>
      <c r="O58" s="2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7" t="s">
        <v>190</v>
      </c>
    </row>
    <row x14ac:dyDescent="0.25" r="59" customHeight="1" ht="19.5">
      <c r="A59" s="5"/>
      <c r="B59" s="33"/>
      <c r="C59" s="33"/>
      <c r="D59" s="33"/>
      <c r="E59" s="33"/>
      <c r="F59" s="34"/>
      <c r="G59" s="34"/>
      <c r="H59" s="5"/>
      <c r="I59" s="34"/>
      <c r="J59" s="5"/>
      <c r="K59" s="34"/>
      <c r="L59" s="2"/>
      <c r="M59" s="5"/>
      <c r="N59" s="25"/>
      <c r="O59" s="2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7" t="s">
        <v>151</v>
      </c>
    </row>
    <row x14ac:dyDescent="0.25" r="60" customHeight="1" ht="19.5">
      <c r="A60" s="5" t="s">
        <v>268</v>
      </c>
      <c r="B60" s="33"/>
      <c r="C60" s="33"/>
      <c r="D60" s="33"/>
      <c r="E60" s="33"/>
      <c r="F60" s="34"/>
      <c r="G60" s="34"/>
      <c r="H60" s="5"/>
      <c r="I60" s="34"/>
      <c r="J60" s="5"/>
      <c r="K60" s="34"/>
      <c r="L60" s="2"/>
      <c r="M60" s="5"/>
      <c r="N60" s="25"/>
      <c r="O60" s="2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7" t="s">
        <v>155</v>
      </c>
    </row>
    <row x14ac:dyDescent="0.25" r="61" customHeight="1" ht="19.5">
      <c r="A61" s="5"/>
      <c r="B61" s="33"/>
      <c r="C61" s="33"/>
      <c r="D61" s="33"/>
      <c r="E61" s="33"/>
      <c r="F61" s="34"/>
      <c r="G61" s="34"/>
      <c r="H61" s="5"/>
      <c r="I61" s="34"/>
      <c r="J61" s="5"/>
      <c r="K61" s="34"/>
      <c r="L61" s="2"/>
      <c r="M61" s="5"/>
      <c r="N61" s="25"/>
      <c r="O61" s="2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7" t="s">
        <v>159</v>
      </c>
    </row>
    <row x14ac:dyDescent="0.25" r="62" customHeight="1" ht="19.5">
      <c r="A62" s="5" t="s">
        <v>269</v>
      </c>
      <c r="B62" s="33"/>
      <c r="C62" s="33"/>
      <c r="D62" s="33"/>
      <c r="E62" s="26"/>
      <c r="F62" s="34"/>
      <c r="G62" s="34"/>
      <c r="H62" s="5"/>
      <c r="I62" s="34"/>
      <c r="J62" s="5"/>
      <c r="K62" s="34"/>
      <c r="L62" s="2"/>
      <c r="M62" s="5"/>
      <c r="N62" s="25"/>
      <c r="O62" s="2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7" t="s">
        <v>115</v>
      </c>
    </row>
    <row x14ac:dyDescent="0.25" r="63" customHeight="1" ht="19.5">
      <c r="A63" s="5" t="s">
        <v>270</v>
      </c>
      <c r="B63" s="33"/>
      <c r="C63" s="33"/>
      <c r="D63" s="33"/>
      <c r="E63" s="26"/>
      <c r="F63" s="34"/>
      <c r="G63" s="34"/>
      <c r="H63" s="5"/>
      <c r="I63" s="34"/>
      <c r="J63" s="5"/>
      <c r="K63" s="34"/>
      <c r="L63" s="2"/>
      <c r="M63" s="5"/>
      <c r="N63" s="25"/>
      <c r="O63" s="2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7" t="s">
        <v>181</v>
      </c>
    </row>
    <row x14ac:dyDescent="0.25" r="64" customHeight="1" ht="19.5">
      <c r="A64" s="5"/>
      <c r="B64" s="33"/>
      <c r="C64" s="33"/>
      <c r="D64" s="33"/>
      <c r="E64" s="26"/>
      <c r="F64" s="34"/>
      <c r="G64" s="34"/>
      <c r="H64" s="5"/>
      <c r="I64" s="34"/>
      <c r="J64" s="5"/>
      <c r="K64" s="34"/>
      <c r="L64" s="2"/>
      <c r="M64" s="5"/>
      <c r="N64" s="25"/>
      <c r="O64" s="2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7" t="s">
        <v>52</v>
      </c>
    </row>
    <row x14ac:dyDescent="0.25" r="65" customHeight="1" ht="19.5">
      <c r="A65" s="5"/>
      <c r="B65" s="33"/>
      <c r="C65" s="33"/>
      <c r="D65" s="33"/>
      <c r="E65" s="26" t="s">
        <v>253</v>
      </c>
      <c r="F65" s="51">
        <f>A18</f>
      </c>
      <c r="G65" s="34"/>
      <c r="H65" s="5"/>
      <c r="I65" s="34"/>
      <c r="J65" s="5"/>
      <c r="K65" s="34"/>
      <c r="L65" s="2"/>
      <c r="M65" s="5"/>
      <c r="N65" s="25"/>
      <c r="O65" s="2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7" t="s">
        <v>210</v>
      </c>
    </row>
    <row x14ac:dyDescent="0.25" r="66" customHeight="1" ht="19.5">
      <c r="A66" s="5"/>
      <c r="B66" s="33"/>
      <c r="C66" s="33"/>
      <c r="D66" s="33"/>
      <c r="E66" s="33"/>
      <c r="F66" s="60">
        <f>-(E16*C19*(100-B19)*C26+E17*C19*(100-B19)*C26-E17*C17*(100-B17)*C26-E16*C16*(100-B16)*C26-E16*C27*D19*(100-B19)*C26-E17*C27*D19*(100-B19)*C26+C27*E16*D16*(100-B16)*C26+C27*E17*D17*(100-B17)*C26-B19*C27*E16*D16*(100-B16)-B16*E16*C19*(100-B19)+B19*E16*C16*(100-B16)-B17*E17*C19*(100-B19)-B19*C27*E17*D17*(100-B17)+B16*E16*C27*D19*(100-B19)+B19*E17*C17*(100-B17)+B17*E17*C27*D19*(100-B19))/(C27*D18*(100-B18)*C26-C27*D18*(100-B18)*B19-C18*(100-B18)*C26+C18*(100-B18)*B19-C27*D19*(100-B19)*C26+C27*D19*(100-B19)*B18+C19*(100-B19)*C26-C19*(100-B19)*B18)</f>
      </c>
      <c r="G66" s="34"/>
      <c r="H66" s="5"/>
      <c r="I66" s="34"/>
      <c r="J66" s="5"/>
      <c r="K66" s="34"/>
      <c r="L66" s="2"/>
      <c r="M66" s="5"/>
      <c r="N66" s="25"/>
      <c r="O66" s="2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7" t="s">
        <v>116</v>
      </c>
    </row>
    <row x14ac:dyDescent="0.25" r="67" customHeight="1" ht="19.5">
      <c r="A67" s="5"/>
      <c r="B67" s="33"/>
      <c r="C67" s="33"/>
      <c r="D67" s="33"/>
      <c r="E67" s="33"/>
      <c r="F67" s="26"/>
      <c r="G67" s="34"/>
      <c r="H67" s="5"/>
      <c r="I67" s="34"/>
      <c r="J67" s="5"/>
      <c r="K67" s="34"/>
      <c r="L67" s="2"/>
      <c r="M67" s="5"/>
      <c r="N67" s="25"/>
      <c r="O67" s="2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7" t="s">
        <v>213</v>
      </c>
    </row>
    <row x14ac:dyDescent="0.25" r="68" customHeight="1" ht="19.5">
      <c r="A68" s="5"/>
      <c r="B68" s="33"/>
      <c r="C68" s="33"/>
      <c r="D68" s="33"/>
      <c r="E68" s="26" t="s">
        <v>258</v>
      </c>
      <c r="F68" s="34">
        <f>A19</f>
      </c>
      <c r="G68" s="34"/>
      <c r="H68" s="5"/>
      <c r="I68" s="34"/>
      <c r="J68" s="5"/>
      <c r="K68" s="34"/>
      <c r="L68" s="2"/>
      <c r="M68" s="5"/>
      <c r="N68" s="25"/>
      <c r="O68" s="2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7" t="s">
        <v>212</v>
      </c>
    </row>
    <row x14ac:dyDescent="0.25" r="69" customHeight="1" ht="19.5">
      <c r="A69" s="5"/>
      <c r="B69" s="33"/>
      <c r="C69" s="33"/>
      <c r="D69" s="33"/>
      <c r="E69" s="33"/>
      <c r="F69" s="60">
        <f>(-C27*D18*(100-B18)*C26*E16-C27*D18*(100-B18)*C26*E17+C27*D18*(100-B18)*B16*E16+C27*D18*(100-B18)*B17*E17+C18*(100-B18)*C26*E16+C18*(100-B18)*C26*E17-C18*(100-B18)*B16*E16-C18*(100-B18)*B17*E17+C27*E16*D16*(100-B16)*C26-C27*E16*D16*(100-B16)*B18+C27*E17*D17*(100-B17)*C26-C27*E17*D17*(100-B17)*B18-E16*C16*(100-B16)*C26+E16*C16*(100-B16)*B18-E17*C17*(100-B17)*C26+E17*C17*(100-B17)*B18)/(C27*D18*(100-B18)*C26-C27*D18*(100-B18)*B19-C18*(100-B18)*C26+C18*(100-B18)*B19-C27*D19*(100-B19)*C26+C27*D19*(100-B19)*B18+C19*(100-B19)*C26-C19*(100-B19)*B18)</f>
      </c>
      <c r="G69" s="34"/>
      <c r="H69" s="5"/>
      <c r="I69" s="34"/>
      <c r="J69" s="5"/>
      <c r="K69" s="34"/>
      <c r="L69" s="2"/>
      <c r="M69" s="5"/>
      <c r="N69" s="25"/>
      <c r="O69" s="2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7"/>
    </row>
    <row x14ac:dyDescent="0.25" r="70" customHeight="1" ht="19.5">
      <c r="A70" s="5"/>
      <c r="B70" s="33"/>
      <c r="C70" s="33"/>
      <c r="D70" s="33"/>
      <c r="E70" s="33"/>
      <c r="F70" s="34"/>
      <c r="G70" s="34"/>
      <c r="H70" s="5"/>
      <c r="I70" s="34"/>
      <c r="J70" s="5"/>
      <c r="K70" s="34"/>
      <c r="L70" s="2"/>
      <c r="M70" s="5"/>
      <c r="N70" s="25"/>
      <c r="O70" s="2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x14ac:dyDescent="0.25" r="71" customHeight="1" ht="19.5">
      <c r="A71" s="5"/>
      <c r="B71" s="37" t="s">
        <v>271</v>
      </c>
      <c r="C71" s="33"/>
      <c r="D71" s="33"/>
      <c r="E71" s="33"/>
      <c r="F71" s="34"/>
      <c r="G71" s="34"/>
      <c r="H71" s="5"/>
      <c r="I71" s="34"/>
      <c r="J71" s="5"/>
      <c r="K71" s="34"/>
      <c r="L71" s="2"/>
      <c r="M71" s="5"/>
      <c r="N71" s="25"/>
      <c r="O71" s="25"/>
      <c r="P71" s="1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x14ac:dyDescent="0.25" r="72" customHeight="1" ht="19.5">
      <c r="A72" s="5"/>
      <c r="B72" s="37" t="s">
        <v>272</v>
      </c>
      <c r="C72" s="33"/>
      <c r="D72" s="33"/>
      <c r="E72" s="33"/>
      <c r="F72" s="34"/>
      <c r="G72" s="34"/>
      <c r="H72" s="5"/>
      <c r="I72" s="34"/>
      <c r="J72" s="5"/>
      <c r="K72" s="34"/>
      <c r="L72" s="2"/>
      <c r="M72" s="5"/>
      <c r="N72" s="25"/>
      <c r="O72" s="25"/>
      <c r="P72" s="1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x14ac:dyDescent="0.25" r="73" customHeight="1" ht="19.5">
      <c r="A73" s="5"/>
      <c r="B73" s="37" t="s">
        <v>273</v>
      </c>
      <c r="C73" s="33"/>
      <c r="D73" s="33"/>
      <c r="E73" s="33"/>
      <c r="F73" s="34"/>
      <c r="G73" s="34"/>
      <c r="H73" s="5"/>
      <c r="I73" s="34"/>
      <c r="J73" s="5"/>
      <c r="K73" s="34"/>
      <c r="L73" s="2"/>
      <c r="M73" s="5"/>
      <c r="N73" s="25"/>
      <c r="O73" s="25"/>
      <c r="P73" s="1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x14ac:dyDescent="0.25" r="74" customHeight="1" ht="19.5">
      <c r="A74" s="5"/>
      <c r="B74" s="33"/>
      <c r="C74" s="33"/>
      <c r="D74" s="33"/>
      <c r="E74" s="33"/>
      <c r="F74" s="34"/>
      <c r="G74" s="34"/>
      <c r="H74" s="5"/>
      <c r="I74" s="34"/>
      <c r="J74" s="5"/>
      <c r="K74" s="34"/>
      <c r="L74" s="2"/>
      <c r="M74" s="5"/>
      <c r="N74" s="25"/>
      <c r="O74" s="25"/>
      <c r="P74" s="1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x14ac:dyDescent="0.25" r="75" customHeight="1" ht="19.5">
      <c r="A75" s="5" t="s">
        <v>274</v>
      </c>
      <c r="B75" s="33"/>
      <c r="C75" s="33"/>
      <c r="D75" s="33"/>
      <c r="E75" s="33"/>
      <c r="F75" s="34"/>
      <c r="G75" s="34"/>
      <c r="H75" s="5"/>
      <c r="I75" s="34"/>
      <c r="J75" s="5"/>
      <c r="K75" s="34"/>
      <c r="L75" s="2"/>
      <c r="M75" s="5"/>
      <c r="N75" s="25"/>
      <c r="O75" s="25"/>
      <c r="P75" s="1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x14ac:dyDescent="0.25" r="76" customHeight="1" ht="19.5">
      <c r="A76" s="5"/>
      <c r="B76" s="33"/>
      <c r="C76" s="33"/>
      <c r="D76" s="33"/>
      <c r="E76" s="33"/>
      <c r="F76" s="34"/>
      <c r="G76" s="34"/>
      <c r="H76" s="5"/>
      <c r="I76" s="34"/>
      <c r="J76" s="5"/>
      <c r="K76" s="34"/>
      <c r="L76" s="2"/>
      <c r="M76" s="5"/>
      <c r="N76" s="25"/>
      <c r="O76" s="25"/>
      <c r="P76" s="1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x14ac:dyDescent="0.25" r="77" customHeight="1" ht="19.5">
      <c r="A77" s="5"/>
      <c r="B77" s="33"/>
      <c r="C77" s="33"/>
      <c r="D77" s="33"/>
      <c r="E77" s="33"/>
      <c r="F77" s="34"/>
      <c r="G77" s="34"/>
      <c r="H77" s="5"/>
      <c r="I77" s="34"/>
      <c r="J77" s="5"/>
      <c r="K77" s="34"/>
      <c r="L77" s="2"/>
      <c r="M77" s="5"/>
      <c r="N77" s="25"/>
      <c r="O77" s="25"/>
      <c r="P77" s="1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x14ac:dyDescent="0.25" r="78" customHeight="1" ht="19.5">
      <c r="A78" s="5"/>
      <c r="B78" s="33"/>
      <c r="C78" s="33"/>
      <c r="D78" s="33"/>
      <c r="E78" s="33"/>
      <c r="F78" s="34"/>
      <c r="G78" s="34"/>
      <c r="H78" s="5"/>
      <c r="I78" s="34"/>
      <c r="J78" s="5"/>
      <c r="K78" s="34"/>
      <c r="L78" s="2"/>
      <c r="M78" s="5"/>
      <c r="N78" s="25"/>
      <c r="O78" s="25"/>
      <c r="P78" s="1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x14ac:dyDescent="0.25" r="79" customHeight="1" ht="19.5">
      <c r="A79" s="5"/>
      <c r="B79" s="33"/>
      <c r="C79" s="33"/>
      <c r="D79" s="33"/>
      <c r="E79" s="33"/>
      <c r="F79" s="34"/>
      <c r="G79" s="34"/>
      <c r="H79" s="5"/>
      <c r="I79" s="34"/>
      <c r="J79" s="5"/>
      <c r="K79" s="34"/>
      <c r="L79" s="2"/>
      <c r="M79" s="5"/>
      <c r="N79" s="25"/>
      <c r="O79" s="25"/>
      <c r="P79" s="1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x14ac:dyDescent="0.25" r="80" customHeight="1" ht="19.5">
      <c r="A80" s="5"/>
      <c r="B80" s="33"/>
      <c r="C80" s="33"/>
      <c r="D80" s="33"/>
      <c r="E80" s="33"/>
      <c r="F80" s="34"/>
      <c r="G80" s="34"/>
      <c r="H80" s="5"/>
      <c r="I80" s="34"/>
      <c r="J80" s="5"/>
      <c r="K80" s="34"/>
      <c r="L80" s="2"/>
      <c r="M80" s="5"/>
      <c r="N80" s="25"/>
      <c r="O80" s="25"/>
      <c r="P80" s="1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x14ac:dyDescent="0.25" r="81" customHeight="1" ht="19.5">
      <c r="A81" s="5"/>
      <c r="B81" s="33"/>
      <c r="C81" s="33"/>
      <c r="D81" s="33"/>
      <c r="E81" s="33"/>
      <c r="F81" s="34"/>
      <c r="G81" s="34"/>
      <c r="H81" s="5"/>
      <c r="I81" s="34"/>
      <c r="J81" s="5"/>
      <c r="K81" s="34"/>
      <c r="L81" s="2"/>
      <c r="M81" s="5"/>
      <c r="N81" s="25"/>
      <c r="O81" s="25"/>
      <c r="P81" s="1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x14ac:dyDescent="0.25" r="82" customHeight="1" ht="19.5">
      <c r="A82" s="5"/>
      <c r="B82" s="33"/>
      <c r="C82" s="33"/>
      <c r="D82" s="33"/>
      <c r="E82" s="33"/>
      <c r="F82" s="34"/>
      <c r="G82" s="34"/>
      <c r="H82" s="5"/>
      <c r="I82" s="34"/>
      <c r="J82" s="5"/>
      <c r="K82" s="34"/>
      <c r="L82" s="2"/>
      <c r="M82" s="5"/>
      <c r="N82" s="25"/>
      <c r="O82" s="25"/>
      <c r="P82" s="1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x14ac:dyDescent="0.25" r="83" customHeight="1" ht="19.5">
      <c r="A83" s="5"/>
      <c r="B83" s="33"/>
      <c r="C83" s="33"/>
      <c r="D83" s="33"/>
      <c r="E83" s="33"/>
      <c r="F83" s="34"/>
      <c r="G83" s="34"/>
      <c r="H83" s="5"/>
      <c r="I83" s="34"/>
      <c r="J83" s="5"/>
      <c r="K83" s="34"/>
      <c r="L83" s="2"/>
      <c r="M83" s="5"/>
      <c r="N83" s="25"/>
      <c r="O83" s="25"/>
      <c r="P83" s="1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x14ac:dyDescent="0.25" r="84" customHeight="1" ht="19.5">
      <c r="A84" s="5"/>
      <c r="B84" s="33"/>
      <c r="C84" s="33"/>
      <c r="D84" s="33"/>
      <c r="E84" s="33"/>
      <c r="F84" s="34"/>
      <c r="G84" s="34"/>
      <c r="H84" s="5"/>
      <c r="I84" s="34"/>
      <c r="J84" s="5"/>
      <c r="K84" s="34"/>
      <c r="L84" s="2"/>
      <c r="M84" s="5"/>
      <c r="N84" s="25"/>
      <c r="O84" s="2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x14ac:dyDescent="0.25" r="85" customHeight="1" ht="19.5">
      <c r="A85" s="5"/>
      <c r="B85" s="33"/>
      <c r="C85" s="33"/>
      <c r="D85" s="33"/>
      <c r="E85" s="33"/>
      <c r="F85" s="34"/>
      <c r="G85" s="34"/>
      <c r="H85" s="5"/>
      <c r="I85" s="34"/>
      <c r="J85" s="5"/>
      <c r="K85" s="34"/>
      <c r="L85" s="2"/>
      <c r="M85" s="5"/>
      <c r="N85" s="25"/>
      <c r="O85" s="2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x14ac:dyDescent="0.25" r="86" customHeight="1" ht="19.5">
      <c r="A86" s="5"/>
      <c r="B86" s="33"/>
      <c r="C86" s="33"/>
      <c r="D86" s="33"/>
      <c r="E86" s="33"/>
      <c r="F86" s="34"/>
      <c r="G86" s="34"/>
      <c r="H86" s="5"/>
      <c r="I86" s="34"/>
      <c r="J86" s="5"/>
      <c r="K86" s="34"/>
      <c r="L86" s="2"/>
      <c r="M86" s="5"/>
      <c r="N86" s="25"/>
      <c r="O86" s="2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x14ac:dyDescent="0.25" r="87" customHeight="1" ht="19.5">
      <c r="A87" s="5"/>
      <c r="B87" s="33"/>
      <c r="C87" s="33"/>
      <c r="D87" s="33"/>
      <c r="E87" s="33"/>
      <c r="F87" s="34"/>
      <c r="G87" s="34"/>
      <c r="H87" s="5"/>
      <c r="I87" s="34"/>
      <c r="J87" s="5"/>
      <c r="K87" s="34"/>
      <c r="L87" s="2"/>
      <c r="M87" s="5"/>
      <c r="N87" s="25"/>
      <c r="O87" s="2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x14ac:dyDescent="0.25" r="88" customHeight="1" ht="19.5">
      <c r="A88" s="5"/>
      <c r="B88" s="33"/>
      <c r="C88" s="33"/>
      <c r="D88" s="33"/>
      <c r="E88" s="33"/>
      <c r="F88" s="34"/>
      <c r="G88" s="34"/>
      <c r="H88" s="5"/>
      <c r="I88" s="34"/>
      <c r="J88" s="5"/>
      <c r="K88" s="34"/>
      <c r="L88" s="2"/>
      <c r="M88" s="5"/>
      <c r="N88" s="25"/>
      <c r="O88" s="2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x14ac:dyDescent="0.25" r="89" customHeight="1" ht="19.5">
      <c r="A89" s="5"/>
      <c r="B89" s="33"/>
      <c r="C89" s="33"/>
      <c r="D89" s="33"/>
      <c r="E89" s="33"/>
      <c r="F89" s="34"/>
      <c r="G89" s="34"/>
      <c r="H89" s="5"/>
      <c r="I89" s="34"/>
      <c r="J89" s="5"/>
      <c r="K89" s="34"/>
      <c r="L89" s="2"/>
      <c r="M89" s="5"/>
      <c r="N89" s="25"/>
      <c r="O89" s="2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x14ac:dyDescent="0.25" r="90" customHeight="1" ht="19.5">
      <c r="A90" s="5"/>
      <c r="B90" s="33"/>
      <c r="C90" s="33"/>
      <c r="D90" s="33"/>
      <c r="E90" s="33"/>
      <c r="F90" s="34"/>
      <c r="G90" s="34"/>
      <c r="H90" s="5"/>
      <c r="I90" s="34"/>
      <c r="J90" s="5"/>
      <c r="K90" s="34"/>
      <c r="L90" s="2"/>
      <c r="M90" s="5"/>
      <c r="N90" s="25"/>
      <c r="O90" s="2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x14ac:dyDescent="0.25" r="91" customHeight="1" ht="19.5">
      <c r="A91" s="5"/>
      <c r="B91" s="33"/>
      <c r="C91" s="33"/>
      <c r="D91" s="33"/>
      <c r="E91" s="33"/>
      <c r="F91" s="34"/>
      <c r="G91" s="34"/>
      <c r="H91" s="5"/>
      <c r="I91" s="34"/>
      <c r="J91" s="5"/>
      <c r="K91" s="34"/>
      <c r="L91" s="2"/>
      <c r="M91" s="5"/>
      <c r="N91" s="25"/>
      <c r="O91" s="2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x14ac:dyDescent="0.25" r="92" customHeight="1" ht="19.5">
      <c r="A92" s="5"/>
      <c r="B92" s="33"/>
      <c r="C92" s="33"/>
      <c r="D92" s="33"/>
      <c r="E92" s="33"/>
      <c r="F92" s="34"/>
      <c r="G92" s="34"/>
      <c r="H92" s="5"/>
      <c r="I92" s="34"/>
      <c r="J92" s="5"/>
      <c r="K92" s="34"/>
      <c r="L92" s="2"/>
      <c r="M92" s="5"/>
      <c r="N92" s="25"/>
      <c r="O92" s="2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x14ac:dyDescent="0.25" r="93" customHeight="1" ht="19.5">
      <c r="A93" s="5"/>
      <c r="B93" s="33"/>
      <c r="C93" s="33"/>
      <c r="D93" s="33"/>
      <c r="E93" s="33"/>
      <c r="F93" s="34"/>
      <c r="G93" s="34"/>
      <c r="H93" s="5"/>
      <c r="I93" s="34"/>
      <c r="J93" s="5"/>
      <c r="K93" s="34"/>
      <c r="L93" s="2"/>
      <c r="M93" s="5"/>
      <c r="N93" s="25"/>
      <c r="O93" s="2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x14ac:dyDescent="0.25" r="94" customHeight="1" ht="19.5">
      <c r="A94" s="5"/>
      <c r="B94" s="33"/>
      <c r="C94" s="33"/>
      <c r="D94" s="33"/>
      <c r="E94" s="33"/>
      <c r="F94" s="34"/>
      <c r="G94" s="34"/>
      <c r="H94" s="5"/>
      <c r="I94" s="34"/>
      <c r="J94" s="5"/>
      <c r="K94" s="34"/>
      <c r="L94" s="2"/>
      <c r="M94" s="5"/>
      <c r="N94" s="25"/>
      <c r="O94" s="2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x14ac:dyDescent="0.25" r="95" customHeight="1" ht="19.5">
      <c r="A95" s="5"/>
      <c r="B95" s="33"/>
      <c r="C95" s="33"/>
      <c r="D95" s="33"/>
      <c r="E95" s="33"/>
      <c r="F95" s="34"/>
      <c r="G95" s="34"/>
      <c r="H95" s="5"/>
      <c r="I95" s="34"/>
      <c r="J95" s="5"/>
      <c r="K95" s="34"/>
      <c r="L95" s="2"/>
      <c r="M95" s="5"/>
      <c r="N95" s="25"/>
      <c r="O95" s="2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x14ac:dyDescent="0.25" r="96" customHeight="1" ht="19.5">
      <c r="A96" s="5"/>
      <c r="B96" s="33"/>
      <c r="C96" s="33"/>
      <c r="D96" s="33"/>
      <c r="E96" s="33"/>
      <c r="F96" s="34"/>
      <c r="G96" s="34"/>
      <c r="H96" s="5"/>
      <c r="I96" s="34"/>
      <c r="J96" s="5"/>
      <c r="K96" s="34"/>
      <c r="L96" s="2"/>
      <c r="M96" s="5"/>
      <c r="N96" s="25"/>
      <c r="O96" s="2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x14ac:dyDescent="0.25" r="97" customHeight="1" ht="19.5">
      <c r="A97" s="5"/>
      <c r="B97" s="33"/>
      <c r="C97" s="33"/>
      <c r="D97" s="33"/>
      <c r="E97" s="33"/>
      <c r="F97" s="34"/>
      <c r="G97" s="34"/>
      <c r="H97" s="5"/>
      <c r="I97" s="34"/>
      <c r="J97" s="5"/>
      <c r="K97" s="34"/>
      <c r="L97" s="2"/>
      <c r="M97" s="5"/>
      <c r="N97" s="25"/>
      <c r="O97" s="2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x14ac:dyDescent="0.25" r="98" customHeight="1" ht="19.5">
      <c r="A98" s="5"/>
      <c r="B98" s="33"/>
      <c r="C98" s="33"/>
      <c r="D98" s="33"/>
      <c r="E98" s="33"/>
      <c r="F98" s="34"/>
      <c r="G98" s="34"/>
      <c r="H98" s="5"/>
      <c r="I98" s="34"/>
      <c r="J98" s="5"/>
      <c r="K98" s="34"/>
      <c r="L98" s="2"/>
      <c r="M98" s="5"/>
      <c r="N98" s="25"/>
      <c r="O98" s="2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x14ac:dyDescent="0.25" r="99" customHeight="1" ht="19.5">
      <c r="A99" s="5"/>
      <c r="B99" s="33"/>
      <c r="C99" s="33"/>
      <c r="D99" s="33"/>
      <c r="E99" s="33"/>
      <c r="F99" s="34"/>
      <c r="G99" s="34"/>
      <c r="H99" s="5"/>
      <c r="I99" s="34"/>
      <c r="J99" s="5"/>
      <c r="K99" s="34"/>
      <c r="L99" s="2"/>
      <c r="M99" s="5"/>
      <c r="N99" s="25"/>
      <c r="O99" s="2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x14ac:dyDescent="0.25" r="100" customHeight="1" ht="19.5">
      <c r="A100" s="5"/>
      <c r="B100" s="33"/>
      <c r="C100" s="33"/>
      <c r="D100" s="33"/>
      <c r="E100" s="33"/>
      <c r="F100" s="34"/>
      <c r="G100" s="34"/>
      <c r="H100" s="5"/>
      <c r="I100" s="34"/>
      <c r="J100" s="5"/>
      <c r="K100" s="34"/>
      <c r="L100" s="2"/>
      <c r="M100" s="5"/>
      <c r="N100" s="25"/>
      <c r="O100" s="2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x14ac:dyDescent="0.25" r="101" customHeight="1" ht="19.5">
      <c r="A101" s="5"/>
      <c r="B101" s="33"/>
      <c r="C101" s="33"/>
      <c r="D101" s="33"/>
      <c r="E101" s="33"/>
      <c r="F101" s="34"/>
      <c r="G101" s="34"/>
      <c r="H101" s="5"/>
      <c r="I101" s="34"/>
      <c r="J101" s="5"/>
      <c r="K101" s="34"/>
      <c r="L101" s="2"/>
      <c r="M101" s="5"/>
      <c r="N101" s="25"/>
      <c r="O101" s="2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x14ac:dyDescent="0.25" r="102" customHeight="1" ht="19.5">
      <c r="A102" s="5"/>
      <c r="B102" s="33"/>
      <c r="C102" s="33"/>
      <c r="D102" s="33"/>
      <c r="E102" s="33"/>
      <c r="F102" s="34"/>
      <c r="G102" s="34"/>
      <c r="H102" s="5"/>
      <c r="I102" s="34"/>
      <c r="J102" s="5"/>
      <c r="K102" s="34"/>
      <c r="L102" s="2"/>
      <c r="M102" s="5"/>
      <c r="N102" s="25"/>
      <c r="O102" s="2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x14ac:dyDescent="0.25" r="103" customHeight="1" ht="19.5">
      <c r="A103" s="5"/>
      <c r="B103" s="33"/>
      <c r="C103" s="33"/>
      <c r="D103" s="33"/>
      <c r="E103" s="33"/>
      <c r="F103" s="34"/>
      <c r="G103" s="34"/>
      <c r="H103" s="5"/>
      <c r="I103" s="34"/>
      <c r="J103" s="5"/>
      <c r="K103" s="34"/>
      <c r="L103" s="2"/>
      <c r="M103" s="5"/>
      <c r="N103" s="25"/>
      <c r="O103" s="2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x14ac:dyDescent="0.25" r="104" customHeight="1" ht="19.5">
      <c r="A104" s="5"/>
      <c r="B104" s="33"/>
      <c r="C104" s="33"/>
      <c r="D104" s="33"/>
      <c r="E104" s="33"/>
      <c r="F104" s="34"/>
      <c r="G104" s="34"/>
      <c r="H104" s="5"/>
      <c r="I104" s="34"/>
      <c r="J104" s="5"/>
      <c r="K104" s="34"/>
      <c r="L104" s="2"/>
      <c r="M104" s="5"/>
      <c r="N104" s="25"/>
      <c r="O104" s="2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x14ac:dyDescent="0.25" r="105" customHeight="1" ht="19.5">
      <c r="A105" s="5"/>
      <c r="B105" s="33"/>
      <c r="C105" s="33"/>
      <c r="D105" s="33"/>
      <c r="E105" s="33"/>
      <c r="F105" s="34"/>
      <c r="G105" s="34"/>
      <c r="H105" s="5"/>
      <c r="I105" s="34"/>
      <c r="J105" s="5"/>
      <c r="K105" s="34"/>
      <c r="L105" s="2"/>
      <c r="M105" s="5"/>
      <c r="N105" s="25"/>
      <c r="O105" s="2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x14ac:dyDescent="0.25" r="106" customHeight="1" ht="19.5">
      <c r="A106" s="5"/>
      <c r="B106" s="33"/>
      <c r="C106" s="33"/>
      <c r="D106" s="33"/>
      <c r="E106" s="33"/>
      <c r="F106" s="34"/>
      <c r="G106" s="34"/>
      <c r="H106" s="5"/>
      <c r="I106" s="34"/>
      <c r="J106" s="5"/>
      <c r="K106" s="34"/>
      <c r="L106" s="2"/>
      <c r="M106" s="5"/>
      <c r="N106" s="25"/>
      <c r="O106" s="2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x14ac:dyDescent="0.25" r="107" customHeight="1" ht="19.5">
      <c r="A107" s="5"/>
      <c r="B107" s="33"/>
      <c r="C107" s="33"/>
      <c r="D107" s="33"/>
      <c r="E107" s="33"/>
      <c r="F107" s="34"/>
      <c r="G107" s="34"/>
      <c r="H107" s="5"/>
      <c r="I107" s="34"/>
      <c r="J107" s="5"/>
      <c r="K107" s="34"/>
      <c r="L107" s="2"/>
      <c r="M107" s="5"/>
      <c r="N107" s="25"/>
      <c r="O107" s="2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x14ac:dyDescent="0.25" r="108" customHeight="1" ht="19.5">
      <c r="A108" s="5"/>
      <c r="B108" s="33"/>
      <c r="C108" s="33"/>
      <c r="D108" s="33"/>
      <c r="E108" s="33"/>
      <c r="F108" s="34"/>
      <c r="G108" s="34"/>
      <c r="H108" s="5"/>
      <c r="I108" s="34"/>
      <c r="J108" s="5"/>
      <c r="K108" s="34"/>
      <c r="L108" s="2"/>
      <c r="M108" s="5"/>
      <c r="N108" s="25"/>
      <c r="O108" s="2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x14ac:dyDescent="0.25" r="109" customHeight="1" ht="19.5">
      <c r="A109" s="5"/>
      <c r="B109" s="33"/>
      <c r="C109" s="33"/>
      <c r="D109" s="33"/>
      <c r="E109" s="33"/>
      <c r="F109" s="34"/>
      <c r="G109" s="34"/>
      <c r="H109" s="5"/>
      <c r="I109" s="34"/>
      <c r="J109" s="5"/>
      <c r="K109" s="34"/>
      <c r="L109" s="2"/>
      <c r="M109" s="5"/>
      <c r="N109" s="25"/>
      <c r="O109" s="2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x14ac:dyDescent="0.25" r="110" customHeight="1" ht="19.5">
      <c r="A110" s="5"/>
      <c r="B110" s="33"/>
      <c r="C110" s="33"/>
      <c r="D110" s="33"/>
      <c r="E110" s="33"/>
      <c r="F110" s="34"/>
      <c r="G110" s="34"/>
      <c r="H110" s="5"/>
      <c r="I110" s="34"/>
      <c r="J110" s="5"/>
      <c r="K110" s="34"/>
      <c r="L110" s="2"/>
      <c r="M110" s="5"/>
      <c r="N110" s="25"/>
      <c r="O110" s="2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x14ac:dyDescent="0.25" r="111" customHeight="1" ht="19.5">
      <c r="A111" s="5"/>
      <c r="B111" s="33"/>
      <c r="C111" s="33"/>
      <c r="D111" s="33"/>
      <c r="E111" s="33"/>
      <c r="F111" s="34"/>
      <c r="G111" s="34"/>
      <c r="H111" s="5"/>
      <c r="I111" s="34"/>
      <c r="J111" s="5"/>
      <c r="K111" s="34"/>
      <c r="L111" s="2"/>
      <c r="M111" s="5"/>
      <c r="N111" s="25"/>
      <c r="O111" s="2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x14ac:dyDescent="0.25" r="112" customHeight="1" ht="19.5">
      <c r="A112" s="5"/>
      <c r="B112" s="33"/>
      <c r="C112" s="33"/>
      <c r="D112" s="33"/>
      <c r="E112" s="33"/>
      <c r="F112" s="34"/>
      <c r="G112" s="34"/>
      <c r="H112" s="5"/>
      <c r="I112" s="34"/>
      <c r="J112" s="5"/>
      <c r="K112" s="34"/>
      <c r="L112" s="2"/>
      <c r="M112" s="5"/>
      <c r="N112" s="25"/>
      <c r="O112" s="2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x14ac:dyDescent="0.25" r="113" customHeight="1" ht="19.5">
      <c r="A113" s="5"/>
      <c r="B113" s="33"/>
      <c r="C113" s="33"/>
      <c r="D113" s="33"/>
      <c r="E113" s="33"/>
      <c r="F113" s="34"/>
      <c r="G113" s="34"/>
      <c r="H113" s="5"/>
      <c r="I113" s="34"/>
      <c r="J113" s="5"/>
      <c r="K113" s="34"/>
      <c r="L113" s="2"/>
      <c r="M113" s="5"/>
      <c r="N113" s="25"/>
      <c r="O113" s="2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x14ac:dyDescent="0.25" r="114" customHeight="1" ht="19.5">
      <c r="A114" s="5"/>
      <c r="B114" s="33"/>
      <c r="C114" s="33"/>
      <c r="D114" s="33"/>
      <c r="E114" s="33"/>
      <c r="F114" s="34"/>
      <c r="G114" s="34"/>
      <c r="H114" s="5"/>
      <c r="I114" s="34"/>
      <c r="J114" s="5"/>
      <c r="K114" s="34"/>
      <c r="L114" s="2"/>
      <c r="M114" s="5"/>
      <c r="N114" s="25"/>
      <c r="O114" s="2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x14ac:dyDescent="0.25" r="115" customHeight="1" ht="19.5">
      <c r="A115" s="5"/>
      <c r="B115" s="33"/>
      <c r="C115" s="33"/>
      <c r="D115" s="33"/>
      <c r="E115" s="33"/>
      <c r="F115" s="34"/>
      <c r="G115" s="34"/>
      <c r="H115" s="5"/>
      <c r="I115" s="34"/>
      <c r="J115" s="5"/>
      <c r="K115" s="34"/>
      <c r="L115" s="2"/>
      <c r="M115" s="5"/>
      <c r="N115" s="25"/>
      <c r="O115" s="2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x14ac:dyDescent="0.25" r="116" customHeight="1" ht="19.5">
      <c r="A116" s="5"/>
      <c r="B116" s="33"/>
      <c r="C116" s="33"/>
      <c r="D116" s="33"/>
      <c r="E116" s="33"/>
      <c r="F116" s="34"/>
      <c r="G116" s="34"/>
      <c r="H116" s="5"/>
      <c r="I116" s="34"/>
      <c r="J116" s="5"/>
      <c r="K116" s="34"/>
      <c r="L116" s="2"/>
      <c r="M116" s="5"/>
      <c r="N116" s="25"/>
      <c r="O116" s="2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x14ac:dyDescent="0.25" r="117" customHeight="1" ht="19.5">
      <c r="A117" s="5"/>
      <c r="B117" s="33"/>
      <c r="C117" s="33"/>
      <c r="D117" s="33"/>
      <c r="E117" s="33"/>
      <c r="F117" s="34"/>
      <c r="G117" s="34"/>
      <c r="H117" s="5"/>
      <c r="I117" s="34"/>
      <c r="J117" s="5"/>
      <c r="K117" s="34"/>
      <c r="L117" s="2"/>
      <c r="M117" s="5"/>
      <c r="N117" s="25"/>
      <c r="O117" s="2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x14ac:dyDescent="0.25" r="118" customHeight="1" ht="19.5">
      <c r="A118" s="5"/>
      <c r="B118" s="33"/>
      <c r="C118" s="33"/>
      <c r="D118" s="33"/>
      <c r="E118" s="33"/>
      <c r="F118" s="34"/>
      <c r="G118" s="34"/>
      <c r="H118" s="5"/>
      <c r="I118" s="34"/>
      <c r="J118" s="5"/>
      <c r="K118" s="34"/>
      <c r="L118" s="2"/>
      <c r="M118" s="5"/>
      <c r="N118" s="25"/>
      <c r="O118" s="2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x14ac:dyDescent="0.25" r="119" customHeight="1" ht="19.5">
      <c r="A119" s="5"/>
      <c r="B119" s="33"/>
      <c r="C119" s="33"/>
      <c r="D119" s="33"/>
      <c r="E119" s="33"/>
      <c r="F119" s="34"/>
      <c r="G119" s="34"/>
      <c r="H119" s="5"/>
      <c r="I119" s="34"/>
      <c r="J119" s="5"/>
      <c r="K119" s="34"/>
      <c r="L119" s="2"/>
      <c r="M119" s="5"/>
      <c r="N119" s="25"/>
      <c r="O119" s="2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x14ac:dyDescent="0.25" r="120" customHeight="1" ht="19.5">
      <c r="A120" s="5"/>
      <c r="B120" s="33"/>
      <c r="C120" s="33"/>
      <c r="D120" s="33"/>
      <c r="E120" s="33"/>
      <c r="F120" s="34"/>
      <c r="G120" s="34"/>
      <c r="H120" s="5"/>
      <c r="I120" s="34"/>
      <c r="J120" s="5"/>
      <c r="K120" s="34"/>
      <c r="L120" s="2"/>
      <c r="M120" s="5"/>
      <c r="N120" s="25"/>
      <c r="O120" s="2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x14ac:dyDescent="0.25" r="121" customHeight="1" ht="19.5">
      <c r="A121" s="5"/>
      <c r="B121" s="33"/>
      <c r="C121" s="33"/>
      <c r="D121" s="33"/>
      <c r="E121" s="33"/>
      <c r="F121" s="34"/>
      <c r="G121" s="34"/>
      <c r="H121" s="5"/>
      <c r="I121" s="34"/>
      <c r="J121" s="5"/>
      <c r="K121" s="34"/>
      <c r="L121" s="2"/>
      <c r="M121" s="5"/>
      <c r="N121" s="25"/>
      <c r="O121" s="2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x14ac:dyDescent="0.25" r="122" customHeight="1" ht="19.5">
      <c r="A122" s="5"/>
      <c r="B122" s="33"/>
      <c r="C122" s="33"/>
      <c r="D122" s="33"/>
      <c r="E122" s="33"/>
      <c r="F122" s="34"/>
      <c r="G122" s="34"/>
      <c r="H122" s="5"/>
      <c r="I122" s="34"/>
      <c r="J122" s="5"/>
      <c r="K122" s="34"/>
      <c r="L122" s="2"/>
      <c r="M122" s="5"/>
      <c r="N122" s="25"/>
      <c r="O122" s="2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x14ac:dyDescent="0.25" r="123" customHeight="1" ht="19.5">
      <c r="A123" s="5"/>
      <c r="B123" s="33"/>
      <c r="C123" s="33"/>
      <c r="D123" s="33"/>
      <c r="E123" s="33"/>
      <c r="F123" s="34"/>
      <c r="G123" s="34"/>
      <c r="H123" s="5"/>
      <c r="I123" s="34"/>
      <c r="J123" s="5"/>
      <c r="K123" s="34"/>
      <c r="L123" s="2"/>
      <c r="M123" s="5"/>
      <c r="N123" s="25"/>
      <c r="O123" s="2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x14ac:dyDescent="0.25" r="124" customHeight="1" ht="19.5">
      <c r="A124" s="5"/>
      <c r="B124" s="33"/>
      <c r="C124" s="33"/>
      <c r="D124" s="33"/>
      <c r="E124" s="33"/>
      <c r="F124" s="34"/>
      <c r="G124" s="34"/>
      <c r="H124" s="5"/>
      <c r="I124" s="34"/>
      <c r="J124" s="5"/>
      <c r="K124" s="34"/>
      <c r="L124" s="2"/>
      <c r="M124" s="5"/>
      <c r="N124" s="25"/>
      <c r="O124" s="2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x14ac:dyDescent="0.25" r="125" customHeight="1" ht="19.5">
      <c r="A125" s="5"/>
      <c r="B125" s="33"/>
      <c r="C125" s="33"/>
      <c r="D125" s="33"/>
      <c r="E125" s="33"/>
      <c r="F125" s="34"/>
      <c r="G125" s="34"/>
      <c r="H125" s="5"/>
      <c r="I125" s="34"/>
      <c r="J125" s="5"/>
      <c r="K125" s="34"/>
      <c r="L125" s="2"/>
      <c r="M125" s="5"/>
      <c r="N125" s="25"/>
      <c r="O125" s="2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x14ac:dyDescent="0.25" r="126" customHeight="1" ht="19.5">
      <c r="A126" s="5"/>
      <c r="B126" s="33"/>
      <c r="C126" s="33"/>
      <c r="D126" s="33"/>
      <c r="E126" s="33"/>
      <c r="F126" s="34"/>
      <c r="G126" s="34"/>
      <c r="H126" s="5"/>
      <c r="I126" s="34"/>
      <c r="J126" s="5"/>
      <c r="K126" s="34"/>
      <c r="L126" s="2"/>
      <c r="M126" s="5"/>
      <c r="N126" s="25"/>
      <c r="O126" s="2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x14ac:dyDescent="0.25" r="127" customHeight="1" ht="19.5">
      <c r="A127" s="5"/>
      <c r="B127" s="33"/>
      <c r="C127" s="33"/>
      <c r="D127" s="33"/>
      <c r="E127" s="33"/>
      <c r="F127" s="34"/>
      <c r="G127" s="34"/>
      <c r="H127" s="5"/>
      <c r="I127" s="34"/>
      <c r="J127" s="5"/>
      <c r="K127" s="34"/>
      <c r="L127" s="2"/>
      <c r="M127" s="5"/>
      <c r="N127" s="25"/>
      <c r="O127" s="2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x14ac:dyDescent="0.25" r="128" customHeight="1" ht="19.5">
      <c r="A128" s="5"/>
      <c r="B128" s="33"/>
      <c r="C128" s="33"/>
      <c r="D128" s="33"/>
      <c r="E128" s="33"/>
      <c r="F128" s="34"/>
      <c r="G128" s="34"/>
      <c r="H128" s="5"/>
      <c r="I128" s="34"/>
      <c r="J128" s="5"/>
      <c r="K128" s="34"/>
      <c r="L128" s="2"/>
      <c r="M128" s="5"/>
      <c r="N128" s="25"/>
      <c r="O128" s="2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x14ac:dyDescent="0.25" r="129" customHeight="1" ht="19.5">
      <c r="A129" s="5"/>
      <c r="B129" s="33"/>
      <c r="C129" s="33"/>
      <c r="D129" s="33"/>
      <c r="E129" s="33"/>
      <c r="F129" s="34"/>
      <c r="G129" s="34"/>
      <c r="H129" s="5"/>
      <c r="I129" s="34"/>
      <c r="J129" s="5"/>
      <c r="K129" s="34"/>
      <c r="L129" s="2"/>
      <c r="M129" s="5"/>
      <c r="N129" s="25"/>
      <c r="O129" s="2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x14ac:dyDescent="0.25" r="130" customHeight="1" ht="19.5">
      <c r="A130" s="5"/>
      <c r="B130" s="33"/>
      <c r="C130" s="33"/>
      <c r="D130" s="33"/>
      <c r="E130" s="33"/>
      <c r="F130" s="34"/>
      <c r="G130" s="34"/>
      <c r="H130" s="5"/>
      <c r="I130" s="34"/>
      <c r="J130" s="5"/>
      <c r="K130" s="34"/>
      <c r="L130" s="2"/>
      <c r="M130" s="5"/>
      <c r="N130" s="25"/>
      <c r="O130" s="2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x14ac:dyDescent="0.25" r="131" customHeight="1" ht="19.5">
      <c r="A131" s="5"/>
      <c r="B131" s="33"/>
      <c r="C131" s="33"/>
      <c r="D131" s="33"/>
      <c r="E131" s="33"/>
      <c r="F131" s="34"/>
      <c r="G131" s="34"/>
      <c r="H131" s="5"/>
      <c r="I131" s="34"/>
      <c r="J131" s="5"/>
      <c r="K131" s="34"/>
      <c r="L131" s="2"/>
      <c r="M131" s="5"/>
      <c r="N131" s="25"/>
      <c r="O131" s="2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x14ac:dyDescent="0.25" r="132" customHeight="1" ht="19.5">
      <c r="A132" s="5"/>
      <c r="B132" s="33"/>
      <c r="C132" s="33"/>
      <c r="D132" s="33"/>
      <c r="E132" s="33"/>
      <c r="F132" s="34"/>
      <c r="G132" s="34"/>
      <c r="H132" s="5"/>
      <c r="I132" s="34"/>
      <c r="J132" s="5"/>
      <c r="K132" s="34"/>
      <c r="L132" s="2"/>
      <c r="M132" s="5"/>
      <c r="N132" s="25"/>
      <c r="O132" s="2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x14ac:dyDescent="0.25" r="133" customHeight="1" ht="19.5">
      <c r="A133" s="5"/>
      <c r="B133" s="33"/>
      <c r="C133" s="33"/>
      <c r="D133" s="33"/>
      <c r="E133" s="33"/>
      <c r="F133" s="34"/>
      <c r="G133" s="34"/>
      <c r="H133" s="5"/>
      <c r="I133" s="34"/>
      <c r="J133" s="5"/>
      <c r="K133" s="34"/>
      <c r="L133" s="2"/>
      <c r="M133" s="5"/>
      <c r="N133" s="25"/>
      <c r="O133" s="2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x14ac:dyDescent="0.25" r="134" customHeight="1" ht="19.5">
      <c r="A134" s="5"/>
      <c r="B134" s="33"/>
      <c r="C134" s="33"/>
      <c r="D134" s="33"/>
      <c r="E134" s="33"/>
      <c r="F134" s="34"/>
      <c r="G134" s="34"/>
      <c r="H134" s="5"/>
      <c r="I134" s="34"/>
      <c r="J134" s="5"/>
      <c r="K134" s="34"/>
      <c r="L134" s="2"/>
      <c r="M134" s="5"/>
      <c r="N134" s="25"/>
      <c r="O134" s="2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x14ac:dyDescent="0.25" r="135" customHeight="1" ht="19.5">
      <c r="A135" s="5"/>
      <c r="B135" s="33"/>
      <c r="C135" s="33"/>
      <c r="D135" s="33"/>
      <c r="E135" s="33"/>
      <c r="F135" s="34"/>
      <c r="G135" s="34"/>
      <c r="H135" s="5"/>
      <c r="I135" s="34"/>
      <c r="J135" s="5"/>
      <c r="K135" s="34"/>
      <c r="L135" s="2"/>
      <c r="M135" s="5"/>
      <c r="N135" s="25"/>
      <c r="O135" s="2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x14ac:dyDescent="0.25" r="136" customHeight="1" ht="19.5">
      <c r="A136" s="5"/>
      <c r="B136" s="33"/>
      <c r="C136" s="33"/>
      <c r="D136" s="33"/>
      <c r="E136" s="33"/>
      <c r="F136" s="34"/>
      <c r="G136" s="34"/>
      <c r="H136" s="5"/>
      <c r="I136" s="34"/>
      <c r="J136" s="5"/>
      <c r="K136" s="34"/>
      <c r="L136" s="2"/>
      <c r="M136" s="5"/>
      <c r="N136" s="25"/>
      <c r="O136" s="2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x14ac:dyDescent="0.25" r="137" customHeight="1" ht="19.5">
      <c r="A137" s="5"/>
      <c r="B137" s="33"/>
      <c r="C137" s="33"/>
      <c r="D137" s="33"/>
      <c r="E137" s="33"/>
      <c r="F137" s="34"/>
      <c r="G137" s="34"/>
      <c r="H137" s="5"/>
      <c r="I137" s="34"/>
      <c r="J137" s="5"/>
      <c r="K137" s="34"/>
      <c r="L137" s="2"/>
      <c r="M137" s="5"/>
      <c r="N137" s="25"/>
      <c r="O137" s="2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x14ac:dyDescent="0.25" r="138" customHeight="1" ht="19.5">
      <c r="A138" s="5"/>
      <c r="B138" s="33"/>
      <c r="C138" s="33"/>
      <c r="D138" s="33"/>
      <c r="E138" s="33"/>
      <c r="F138" s="34"/>
      <c r="G138" s="34"/>
      <c r="H138" s="5"/>
      <c r="I138" s="34"/>
      <c r="J138" s="5"/>
      <c r="K138" s="34"/>
      <c r="L138" s="2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x14ac:dyDescent="0.25" r="139" customHeight="1" ht="19.5">
      <c r="A139" s="5"/>
      <c r="B139" s="33"/>
      <c r="C139" s="33"/>
      <c r="D139" s="33"/>
      <c r="E139" s="33"/>
      <c r="F139" s="34"/>
      <c r="G139" s="34"/>
      <c r="H139" s="5"/>
      <c r="I139" s="34"/>
      <c r="J139" s="5"/>
      <c r="K139" s="34"/>
      <c r="L139" s="2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x14ac:dyDescent="0.25" r="140" customHeight="1" ht="19.5">
      <c r="A140" s="5"/>
      <c r="B140" s="33"/>
      <c r="C140" s="33"/>
      <c r="D140" s="33"/>
      <c r="E140" s="33"/>
      <c r="F140" s="34"/>
      <c r="G140" s="34"/>
      <c r="H140" s="5"/>
      <c r="I140" s="34"/>
      <c r="J140" s="5"/>
      <c r="K140" s="34"/>
      <c r="L140" s="2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x14ac:dyDescent="0.25" r="141" customHeight="1" ht="19.5">
      <c r="A141" s="5"/>
      <c r="B141" s="33"/>
      <c r="C141" s="33"/>
      <c r="D141" s="33"/>
      <c r="E141" s="33"/>
      <c r="F141" s="34"/>
      <c r="G141" s="34"/>
      <c r="H141" s="5"/>
      <c r="I141" s="34"/>
      <c r="J141" s="5"/>
      <c r="K141" s="34"/>
      <c r="L141" s="2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x14ac:dyDescent="0.25" r="142" customHeight="1" ht="19.5">
      <c r="A142" s="5"/>
      <c r="B142" s="33"/>
      <c r="C142" s="33"/>
      <c r="D142" s="33"/>
      <c r="E142" s="33"/>
      <c r="F142" s="34"/>
      <c r="G142" s="34"/>
      <c r="H142" s="5"/>
      <c r="I142" s="34"/>
      <c r="J142" s="5"/>
      <c r="K142" s="34"/>
      <c r="L142" s="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x14ac:dyDescent="0.25" r="143" customHeight="1" ht="19.5">
      <c r="A143" s="5"/>
      <c r="B143" s="33"/>
      <c r="C143" s="33"/>
      <c r="D143" s="33"/>
      <c r="E143" s="33"/>
      <c r="F143" s="34"/>
      <c r="G143" s="34"/>
      <c r="H143" s="5"/>
      <c r="I143" s="34"/>
      <c r="J143" s="5"/>
      <c r="K143" s="34"/>
      <c r="L143" s="2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x14ac:dyDescent="0.25" r="144" customHeight="1" ht="19.5">
      <c r="A144" s="5"/>
      <c r="B144" s="33"/>
      <c r="C144" s="33"/>
      <c r="D144" s="33"/>
      <c r="E144" s="33"/>
      <c r="F144" s="34"/>
      <c r="G144" s="34"/>
      <c r="H144" s="5"/>
      <c r="I144" s="34"/>
      <c r="J144" s="5"/>
      <c r="K144" s="34"/>
      <c r="L144" s="2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x14ac:dyDescent="0.25" r="145" customHeight="1" ht="19.5">
      <c r="A145" s="5"/>
      <c r="B145" s="33"/>
      <c r="C145" s="33"/>
      <c r="D145" s="33"/>
      <c r="E145" s="33"/>
      <c r="F145" s="34"/>
      <c r="G145" s="34"/>
      <c r="H145" s="5"/>
      <c r="I145" s="34"/>
      <c r="J145" s="5"/>
      <c r="K145" s="34"/>
      <c r="L145" s="2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x14ac:dyDescent="0.25" r="146" customHeight="1" ht="19.5">
      <c r="A146" s="5"/>
      <c r="B146" s="33"/>
      <c r="C146" s="33"/>
      <c r="D146" s="33"/>
      <c r="E146" s="33"/>
      <c r="F146" s="34"/>
      <c r="G146" s="34"/>
      <c r="H146" s="5"/>
      <c r="I146" s="34"/>
      <c r="J146" s="5"/>
      <c r="K146" s="34"/>
      <c r="L146" s="2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x14ac:dyDescent="0.25" r="147" customHeight="1" ht="19.5">
      <c r="A147" s="5"/>
      <c r="B147" s="33"/>
      <c r="C147" s="33"/>
      <c r="D147" s="33"/>
      <c r="E147" s="33"/>
      <c r="F147" s="34"/>
      <c r="G147" s="34"/>
      <c r="H147" s="5"/>
      <c r="I147" s="34"/>
      <c r="J147" s="5"/>
      <c r="K147" s="34"/>
      <c r="L147" s="2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x14ac:dyDescent="0.25" r="148" customHeight="1" ht="19.5">
      <c r="A148" s="5"/>
      <c r="B148" s="33"/>
      <c r="C148" s="33"/>
      <c r="D148" s="33"/>
      <c r="E148" s="33"/>
      <c r="F148" s="34"/>
      <c r="G148" s="34"/>
      <c r="H148" s="5"/>
      <c r="I148" s="34"/>
      <c r="J148" s="5"/>
      <c r="K148" s="34"/>
      <c r="L148" s="2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x14ac:dyDescent="0.25" r="149" customHeight="1" ht="19.5">
      <c r="A149" s="5"/>
      <c r="B149" s="33"/>
      <c r="C149" s="33"/>
      <c r="D149" s="33"/>
      <c r="E149" s="33"/>
      <c r="F149" s="34"/>
      <c r="G149" s="34"/>
      <c r="H149" s="5"/>
      <c r="I149" s="34"/>
      <c r="J149" s="5"/>
      <c r="K149" s="34"/>
      <c r="L149" s="2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x14ac:dyDescent="0.25" r="150" customHeight="1" ht="19.5">
      <c r="A150" s="5"/>
      <c r="B150" s="33"/>
      <c r="C150" s="33"/>
      <c r="D150" s="33"/>
      <c r="E150" s="33"/>
      <c r="F150" s="34"/>
      <c r="G150" s="34"/>
      <c r="H150" s="5"/>
      <c r="I150" s="34"/>
      <c r="J150" s="5"/>
      <c r="K150" s="34"/>
      <c r="L150" s="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x14ac:dyDescent="0.25" r="151" customHeight="1" ht="19.5">
      <c r="A151" s="5"/>
      <c r="B151" s="33"/>
      <c r="C151" s="33"/>
      <c r="D151" s="33"/>
      <c r="E151" s="33"/>
      <c r="F151" s="34"/>
      <c r="G151" s="34"/>
      <c r="H151" s="5"/>
      <c r="I151" s="34"/>
      <c r="J151" s="5"/>
      <c r="K151" s="34"/>
      <c r="L151" s="2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x14ac:dyDescent="0.25" r="152" customHeight="1" ht="19.5">
      <c r="A152" s="5"/>
      <c r="B152" s="33"/>
      <c r="C152" s="33"/>
      <c r="D152" s="33"/>
      <c r="E152" s="33"/>
      <c r="F152" s="34"/>
      <c r="G152" s="34"/>
      <c r="H152" s="5"/>
      <c r="I152" s="34"/>
      <c r="J152" s="5"/>
      <c r="K152" s="34"/>
      <c r="L152" s="2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x14ac:dyDescent="0.25" r="153" customHeight="1" ht="19.5">
      <c r="A153" s="5"/>
      <c r="B153" s="33"/>
      <c r="C153" s="33"/>
      <c r="D153" s="33"/>
      <c r="E153" s="33"/>
      <c r="F153" s="34"/>
      <c r="G153" s="34"/>
      <c r="H153" s="5"/>
      <c r="I153" s="34"/>
      <c r="J153" s="5"/>
      <c r="K153" s="34"/>
      <c r="L153" s="2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x14ac:dyDescent="0.25" r="154" customHeight="1" ht="19.5">
      <c r="A154" s="5"/>
      <c r="B154" s="33"/>
      <c r="C154" s="33"/>
      <c r="D154" s="33"/>
      <c r="E154" s="33"/>
      <c r="F154" s="34"/>
      <c r="G154" s="34"/>
      <c r="H154" s="5"/>
      <c r="I154" s="34"/>
      <c r="J154" s="5"/>
      <c r="K154" s="34"/>
      <c r="L154" s="2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x14ac:dyDescent="0.25" r="155" customHeight="1" ht="19.5">
      <c r="A155" s="5"/>
      <c r="B155" s="33"/>
      <c r="C155" s="33"/>
      <c r="D155" s="33"/>
      <c r="E155" s="33"/>
      <c r="F155" s="34"/>
      <c r="G155" s="34"/>
      <c r="H155" s="5"/>
      <c r="I155" s="34"/>
      <c r="J155" s="5"/>
      <c r="K155" s="34"/>
      <c r="L155" s="2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x14ac:dyDescent="0.25" r="156" customHeight="1" ht="19.5">
      <c r="A156" s="5"/>
      <c r="B156" s="33"/>
      <c r="C156" s="33"/>
      <c r="D156" s="33"/>
      <c r="E156" s="33"/>
      <c r="F156" s="34"/>
      <c r="G156" s="34"/>
      <c r="H156" s="5"/>
      <c r="I156" s="34"/>
      <c r="J156" s="5"/>
      <c r="K156" s="34"/>
      <c r="L156" s="2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x14ac:dyDescent="0.25" r="157" customHeight="1" ht="19.5">
      <c r="A157" s="5"/>
      <c r="B157" s="33"/>
      <c r="C157" s="33"/>
      <c r="D157" s="33"/>
      <c r="E157" s="33"/>
      <c r="F157" s="34"/>
      <c r="G157" s="34"/>
      <c r="H157" s="5"/>
      <c r="I157" s="34"/>
      <c r="J157" s="5"/>
      <c r="K157" s="34"/>
      <c r="L157" s="2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x14ac:dyDescent="0.25" r="158" customHeight="1" ht="19.5">
      <c r="A158" s="5"/>
      <c r="B158" s="33"/>
      <c r="C158" s="33"/>
      <c r="D158" s="33"/>
      <c r="E158" s="33"/>
      <c r="F158" s="34"/>
      <c r="G158" s="34"/>
      <c r="H158" s="5"/>
      <c r="I158" s="34"/>
      <c r="J158" s="5"/>
      <c r="K158" s="34"/>
      <c r="L158" s="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</sheetData>
  <mergeCells count="1">
    <mergeCell ref="L17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6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7" width="49.43357142857143" customWidth="1" bestFit="1"/>
    <col min="2" max="2" style="28" width="8.43357142857143" customWidth="1" bestFit="1"/>
    <col min="3" max="3" style="29" width="8.719285714285713" customWidth="1" bestFit="1"/>
    <col min="4" max="4" style="30" width="13.005" customWidth="1" bestFit="1"/>
    <col min="5" max="5" style="29" width="12.862142857142858" customWidth="1" bestFit="1"/>
    <col min="6" max="6" style="31" width="12.576428571428572" customWidth="1" bestFit="1"/>
    <col min="7" max="7" style="32" width="14.147857142857141" customWidth="1" bestFit="1"/>
    <col min="8" max="8" style="32" width="14.147857142857141" customWidth="1" bestFit="1"/>
    <col min="9" max="9" style="32" width="14.147857142857141" customWidth="1" bestFit="1"/>
    <col min="10" max="10" style="32" width="14.147857142857141" customWidth="1" bestFit="1"/>
    <col min="11" max="11" style="32" width="14.147857142857141" customWidth="1" bestFit="1"/>
    <col min="12" max="12" style="32" width="14.147857142857141" customWidth="1" bestFit="1"/>
    <col min="13" max="13" style="32" width="14.147857142857141" customWidth="1" bestFit="1"/>
    <col min="14" max="14" style="32" width="14.147857142857141" customWidth="1" bestFit="1"/>
  </cols>
  <sheetData>
    <row x14ac:dyDescent="0.25" r="1" customHeight="1" ht="19.5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5"/>
      <c r="H1" s="6" t="s">
        <v>4</v>
      </c>
      <c r="I1" s="5"/>
      <c r="J1" s="5"/>
      <c r="K1" s="5"/>
      <c r="L1" s="5"/>
      <c r="M1" s="5"/>
      <c r="N1" s="5"/>
    </row>
    <row x14ac:dyDescent="0.25" r="2" customHeight="1" ht="19.5" customFormat="1" s="7">
      <c r="A2" s="8"/>
      <c r="B2" s="8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9"/>
      <c r="H2" s="2"/>
      <c r="I2" s="2"/>
      <c r="J2" s="2"/>
      <c r="K2" s="2"/>
      <c r="L2" s="2"/>
      <c r="M2" s="2"/>
      <c r="N2" s="2"/>
    </row>
    <row x14ac:dyDescent="0.25" r="3" customHeight="1" ht="19.5" customFormat="1" s="7">
      <c r="A3" s="8" t="s">
        <v>10</v>
      </c>
      <c r="B3" s="8" t="s">
        <v>11</v>
      </c>
      <c r="C3" s="3" t="s">
        <v>12</v>
      </c>
      <c r="D3" s="4" t="s">
        <v>13</v>
      </c>
      <c r="E3" s="3" t="s">
        <v>14</v>
      </c>
      <c r="F3" s="3" t="s">
        <v>15</v>
      </c>
      <c r="G3" s="9"/>
      <c r="H3" s="2"/>
      <c r="I3" s="2"/>
      <c r="J3" s="2"/>
      <c r="K3" s="2"/>
      <c r="L3" s="2"/>
      <c r="M3" s="2"/>
      <c r="N3" s="2"/>
    </row>
    <row x14ac:dyDescent="0.25" r="4" customHeight="1" ht="19.5">
      <c r="A4" s="10" t="s">
        <v>16</v>
      </c>
      <c r="B4" s="11"/>
      <c r="C4" s="12"/>
      <c r="D4" s="12"/>
      <c r="E4" s="12"/>
      <c r="F4" s="13"/>
      <c r="G4" s="9"/>
      <c r="H4" s="5"/>
      <c r="I4" s="5"/>
      <c r="J4" s="5"/>
      <c r="K4" s="5"/>
      <c r="L4" s="5"/>
      <c r="M4" s="5"/>
      <c r="N4" s="5"/>
    </row>
    <row x14ac:dyDescent="0.25" r="5" customHeight="1" ht="19.5" customFormat="1" s="7">
      <c r="A5" s="9" t="s">
        <v>17</v>
      </c>
      <c r="B5" s="9" t="s">
        <v>18</v>
      </c>
      <c r="C5" s="14">
        <v>1.2</v>
      </c>
      <c r="D5" s="15">
        <v>13</v>
      </c>
      <c r="E5" s="15">
        <v>60</v>
      </c>
      <c r="F5" s="15">
        <v>1197</v>
      </c>
      <c r="G5" s="9"/>
      <c r="H5" s="2"/>
      <c r="I5" s="2"/>
      <c r="J5" s="2"/>
      <c r="K5" s="2"/>
      <c r="L5" s="2"/>
      <c r="M5" s="2"/>
      <c r="N5" s="2"/>
    </row>
    <row x14ac:dyDescent="0.25" r="6" customHeight="1" ht="19.5" customFormat="1" s="7">
      <c r="A6" s="9" t="s">
        <v>19</v>
      </c>
      <c r="B6" s="9" t="s">
        <v>18</v>
      </c>
      <c r="C6" s="14">
        <v>1.1</v>
      </c>
      <c r="D6" s="15">
        <v>48</v>
      </c>
      <c r="E6" s="15">
        <v>88</v>
      </c>
      <c r="F6" s="15">
        <v>1559</v>
      </c>
      <c r="G6" s="9"/>
      <c r="H6" s="2"/>
      <c r="I6" s="2"/>
      <c r="J6" s="2"/>
      <c r="K6" s="2"/>
      <c r="L6" s="2"/>
      <c r="M6" s="2"/>
      <c r="N6" s="2"/>
    </row>
    <row x14ac:dyDescent="0.25" r="7" customHeight="1" ht="19.5" customFormat="1" s="7">
      <c r="A7" s="9" t="s">
        <v>20</v>
      </c>
      <c r="B7" s="9" t="s">
        <v>18</v>
      </c>
      <c r="C7" s="14">
        <v>2.8</v>
      </c>
      <c r="D7" s="15">
        <v>7</v>
      </c>
      <c r="E7" s="15">
        <v>59</v>
      </c>
      <c r="F7" s="15">
        <v>1411</v>
      </c>
      <c r="G7" s="9"/>
      <c r="H7" s="2"/>
      <c r="I7" s="2"/>
      <c r="J7" s="2"/>
      <c r="K7" s="2"/>
      <c r="L7" s="2"/>
      <c r="M7" s="2"/>
      <c r="N7" s="2"/>
    </row>
    <row x14ac:dyDescent="0.25" r="8" customHeight="1" ht="19.5" customFormat="1" s="7">
      <c r="A8" s="9" t="s">
        <v>21</v>
      </c>
      <c r="B8" s="9" t="s">
        <v>18</v>
      </c>
      <c r="C8" s="14">
        <v>2.3</v>
      </c>
      <c r="D8" s="15">
        <v>22</v>
      </c>
      <c r="E8" s="15">
        <v>8</v>
      </c>
      <c r="F8" s="15">
        <v>798</v>
      </c>
      <c r="G8" s="9"/>
      <c r="H8" s="2"/>
      <c r="I8" s="2"/>
      <c r="J8" s="2"/>
      <c r="K8" s="2"/>
      <c r="L8" s="2"/>
      <c r="M8" s="2"/>
      <c r="N8" s="2"/>
    </row>
    <row x14ac:dyDescent="0.25" r="9" customHeight="1" ht="19.5">
      <c r="A9" s="9" t="s">
        <v>22</v>
      </c>
      <c r="B9" s="9" t="s">
        <v>18</v>
      </c>
      <c r="C9" s="14">
        <v>2.28</v>
      </c>
      <c r="D9" s="15">
        <v>20</v>
      </c>
      <c r="E9" s="15">
        <f>AVERAGE(65,85)</f>
      </c>
      <c r="F9" s="16" t="s">
        <v>23</v>
      </c>
      <c r="G9" s="17" t="s">
        <v>24</v>
      </c>
      <c r="H9" s="5"/>
      <c r="I9" s="5"/>
      <c r="J9" s="5"/>
      <c r="K9" s="5"/>
      <c r="L9" s="5"/>
      <c r="M9" s="5"/>
      <c r="N9" s="5"/>
    </row>
    <row x14ac:dyDescent="0.25" r="10" customHeight="1" ht="19.5" customFormat="1" s="7">
      <c r="A10" s="18" t="s">
        <v>25</v>
      </c>
      <c r="B10" s="18" t="s">
        <v>26</v>
      </c>
      <c r="C10" s="19" t="s">
        <v>27</v>
      </c>
      <c r="D10" s="20" t="s">
        <v>28</v>
      </c>
      <c r="E10" s="19" t="s">
        <v>29</v>
      </c>
      <c r="F10" s="19" t="s">
        <v>23</v>
      </c>
      <c r="G10" s="9"/>
      <c r="H10" s="2"/>
      <c r="I10" s="2"/>
      <c r="J10" s="2"/>
      <c r="K10" s="2"/>
      <c r="L10" s="2"/>
      <c r="M10" s="2"/>
      <c r="N10" s="2"/>
    </row>
    <row x14ac:dyDescent="0.25" r="11" customHeight="1" ht="19.5" customFormat="1" s="7">
      <c r="A11" s="9" t="s">
        <v>30</v>
      </c>
      <c r="B11" s="9" t="s">
        <v>31</v>
      </c>
      <c r="C11" s="14">
        <v>0.6</v>
      </c>
      <c r="D11" s="15">
        <v>98</v>
      </c>
      <c r="E11" s="15">
        <v>15</v>
      </c>
      <c r="F11" s="15">
        <v>557</v>
      </c>
      <c r="G11" s="9"/>
      <c r="H11" s="2"/>
      <c r="I11" s="2"/>
      <c r="J11" s="2"/>
      <c r="K11" s="2"/>
      <c r="L11" s="2"/>
      <c r="M11" s="2"/>
      <c r="N11" s="2"/>
    </row>
    <row x14ac:dyDescent="0.25" r="12" customHeight="1" ht="19.5" customFormat="1" s="7">
      <c r="A12" s="9" t="s">
        <v>32</v>
      </c>
      <c r="B12" s="9" t="s">
        <v>18</v>
      </c>
      <c r="C12" s="14">
        <f>AVERAGE(0.6,0.8)</f>
      </c>
      <c r="D12" s="14">
        <f>AVERAGE(60,73)</f>
      </c>
      <c r="E12" s="15">
        <v>12</v>
      </c>
      <c r="F12" s="15">
        <v>32</v>
      </c>
      <c r="G12" s="9"/>
      <c r="H12" s="2"/>
      <c r="I12" s="2"/>
      <c r="J12" s="2"/>
      <c r="K12" s="2"/>
      <c r="L12" s="2"/>
      <c r="M12" s="2"/>
      <c r="N12" s="2"/>
    </row>
    <row x14ac:dyDescent="0.25" r="13" customHeight="1" ht="19.5" customFormat="1" s="7">
      <c r="A13" s="9" t="s">
        <v>33</v>
      </c>
      <c r="B13" s="9" t="s">
        <v>18</v>
      </c>
      <c r="C13" s="14">
        <v>7.7</v>
      </c>
      <c r="D13" s="15">
        <v>7</v>
      </c>
      <c r="E13" s="16" t="s">
        <v>23</v>
      </c>
      <c r="F13" s="16" t="s">
        <v>23</v>
      </c>
      <c r="G13" s="9"/>
      <c r="H13" s="2"/>
      <c r="I13" s="2"/>
      <c r="J13" s="2"/>
      <c r="K13" s="2"/>
      <c r="L13" s="2"/>
      <c r="M13" s="2"/>
      <c r="N13" s="2"/>
    </row>
    <row x14ac:dyDescent="0.25" r="14" customHeight="1" ht="19.5" customFormat="1" s="7">
      <c r="A14" s="9" t="s">
        <v>34</v>
      </c>
      <c r="B14" s="9" t="s">
        <v>18</v>
      </c>
      <c r="C14" s="14">
        <v>2.8</v>
      </c>
      <c r="D14" s="15">
        <v>31</v>
      </c>
      <c r="E14" s="15">
        <v>50</v>
      </c>
      <c r="F14" s="15">
        <v>1021</v>
      </c>
      <c r="G14" s="9"/>
      <c r="H14" s="2"/>
      <c r="I14" s="2"/>
      <c r="J14" s="2"/>
      <c r="K14" s="2"/>
      <c r="L14" s="2"/>
      <c r="M14" s="2"/>
      <c r="N14" s="2"/>
    </row>
    <row x14ac:dyDescent="0.25" r="15" customHeight="1" ht="19.5" customFormat="1" s="7">
      <c r="A15" s="9" t="s">
        <v>35</v>
      </c>
      <c r="B15" s="9" t="s">
        <v>18</v>
      </c>
      <c r="C15" s="14">
        <v>1.2</v>
      </c>
      <c r="D15" s="15">
        <v>42</v>
      </c>
      <c r="E15" s="15">
        <v>71</v>
      </c>
      <c r="F15" s="15">
        <v>1298</v>
      </c>
      <c r="G15" s="9"/>
      <c r="H15" s="2"/>
      <c r="I15" s="2"/>
      <c r="J15" s="2"/>
      <c r="K15" s="2"/>
      <c r="L15" s="2"/>
      <c r="M15" s="2"/>
      <c r="N15" s="2"/>
    </row>
    <row x14ac:dyDescent="0.25" r="16" customHeight="1" ht="19.5" customFormat="1" s="7">
      <c r="A16" s="9" t="s">
        <v>36</v>
      </c>
      <c r="B16" s="9" t="s">
        <v>18</v>
      </c>
      <c r="C16" s="14">
        <v>0.9</v>
      </c>
      <c r="D16" s="15">
        <v>61</v>
      </c>
      <c r="E16" s="15">
        <v>61</v>
      </c>
      <c r="F16" s="16" t="s">
        <v>23</v>
      </c>
      <c r="G16" s="9"/>
      <c r="H16" s="2"/>
      <c r="I16" s="2"/>
      <c r="J16" s="2"/>
      <c r="K16" s="2"/>
      <c r="L16" s="2"/>
      <c r="M16" s="2"/>
      <c r="N16" s="2"/>
    </row>
    <row x14ac:dyDescent="0.25" r="17" customHeight="1" ht="19.5" customFormat="1" s="7">
      <c r="A17" s="9" t="s">
        <v>37</v>
      </c>
      <c r="B17" s="9" t="s">
        <v>18</v>
      </c>
      <c r="C17" s="16" t="s">
        <v>23</v>
      </c>
      <c r="D17" s="15">
        <v>18</v>
      </c>
      <c r="E17" s="15">
        <v>78</v>
      </c>
      <c r="F17" s="15">
        <v>1540</v>
      </c>
      <c r="G17" s="9"/>
      <c r="H17" s="2"/>
      <c r="I17" s="2"/>
      <c r="J17" s="2"/>
      <c r="K17" s="2"/>
      <c r="L17" s="2"/>
      <c r="M17" s="2"/>
      <c r="N17" s="2"/>
    </row>
    <row x14ac:dyDescent="0.25" r="18" customHeight="1" ht="19.5" customFormat="1" s="7">
      <c r="A18" s="18" t="s">
        <v>38</v>
      </c>
      <c r="B18" s="18" t="s">
        <v>26</v>
      </c>
      <c r="C18" s="19" t="s">
        <v>39</v>
      </c>
      <c r="D18" s="20" t="s">
        <v>40</v>
      </c>
      <c r="E18" s="19" t="s">
        <v>41</v>
      </c>
      <c r="F18" s="19" t="s">
        <v>23</v>
      </c>
      <c r="G18" s="9"/>
      <c r="H18" s="2"/>
      <c r="I18" s="2"/>
      <c r="J18" s="2"/>
      <c r="K18" s="2"/>
      <c r="L18" s="2"/>
      <c r="M18" s="2"/>
      <c r="N18" s="2"/>
    </row>
    <row x14ac:dyDescent="0.25" r="19" customHeight="1" ht="19.5" customFormat="1" s="7">
      <c r="A19" s="9" t="s">
        <v>42</v>
      </c>
      <c r="B19" s="9" t="s">
        <v>31</v>
      </c>
      <c r="C19" s="14">
        <v>1.4</v>
      </c>
      <c r="D19" s="15">
        <v>40</v>
      </c>
      <c r="E19" s="15">
        <v>80</v>
      </c>
      <c r="F19" s="16" t="s">
        <v>23</v>
      </c>
      <c r="G19" s="9"/>
      <c r="H19" s="2"/>
      <c r="I19" s="2"/>
      <c r="J19" s="2"/>
      <c r="K19" s="2"/>
      <c r="L19" s="2"/>
      <c r="M19" s="2"/>
      <c r="N19" s="2"/>
    </row>
    <row x14ac:dyDescent="0.25" r="20" customHeight="1" ht="19.5" customFormat="1" s="7">
      <c r="A20" s="9" t="s">
        <v>43</v>
      </c>
      <c r="B20" s="9" t="s">
        <v>18</v>
      </c>
      <c r="C20" s="14">
        <f>AVERAGE(1.2,1.5)</f>
      </c>
      <c r="D20" s="14">
        <f>AVERAGE(30,35)</f>
      </c>
      <c r="E20" s="14">
        <f>AVERAGE(8,10)</f>
      </c>
      <c r="F20" s="16" t="s">
        <v>23</v>
      </c>
      <c r="G20" s="9"/>
      <c r="H20" s="2"/>
      <c r="I20" s="2"/>
      <c r="J20" s="2"/>
      <c r="K20" s="2"/>
      <c r="L20" s="2"/>
      <c r="M20" s="2"/>
      <c r="N20" s="2"/>
    </row>
    <row x14ac:dyDescent="0.25" r="21" customHeight="1" ht="19.5" customFormat="1" s="7">
      <c r="A21" s="9" t="s">
        <v>44</v>
      </c>
      <c r="B21" s="9" t="s">
        <v>18</v>
      </c>
      <c r="C21" s="16" t="s">
        <v>23</v>
      </c>
      <c r="D21" s="15">
        <v>28</v>
      </c>
      <c r="E21" s="15">
        <v>75</v>
      </c>
      <c r="F21" s="15">
        <v>1570</v>
      </c>
      <c r="G21" s="9"/>
      <c r="H21" s="2"/>
      <c r="I21" s="2"/>
      <c r="J21" s="2"/>
      <c r="K21" s="2"/>
      <c r="L21" s="2"/>
      <c r="M21" s="2"/>
      <c r="N21" s="2"/>
    </row>
    <row x14ac:dyDescent="0.25" r="22" customHeight="1" ht="19.5" customFormat="1" s="7">
      <c r="A22" s="9" t="s">
        <v>45</v>
      </c>
      <c r="B22" s="9" t="s">
        <v>18</v>
      </c>
      <c r="C22" s="14">
        <v>1.5</v>
      </c>
      <c r="D22" s="15">
        <v>25</v>
      </c>
      <c r="E22" s="16" t="s">
        <v>23</v>
      </c>
      <c r="F22" s="16" t="s">
        <v>23</v>
      </c>
      <c r="G22" s="9"/>
      <c r="H22" s="2"/>
      <c r="I22" s="2"/>
      <c r="J22" s="2"/>
      <c r="K22" s="2"/>
      <c r="L22" s="2"/>
      <c r="M22" s="2"/>
      <c r="N22" s="2"/>
    </row>
    <row x14ac:dyDescent="0.25" r="23" customHeight="1" ht="19.5">
      <c r="A23" s="18" t="s">
        <v>46</v>
      </c>
      <c r="B23" s="18" t="s">
        <v>26</v>
      </c>
      <c r="C23" s="19" t="s">
        <v>47</v>
      </c>
      <c r="D23" s="20" t="s">
        <v>48</v>
      </c>
      <c r="E23" s="19" t="s">
        <v>49</v>
      </c>
      <c r="F23" s="21">
        <f>AVERAGE(185,219)</f>
      </c>
      <c r="G23" s="18"/>
      <c r="H23" s="22"/>
      <c r="I23" s="22"/>
      <c r="J23" s="22"/>
      <c r="K23" s="22"/>
      <c r="L23" s="22"/>
      <c r="M23" s="22"/>
      <c r="N23" s="22"/>
    </row>
    <row x14ac:dyDescent="0.25" r="24" customHeight="1" ht="19.5" customFormat="1" s="7">
      <c r="A24" s="9" t="s">
        <v>50</v>
      </c>
      <c r="B24" s="9" t="s">
        <v>31</v>
      </c>
      <c r="C24" s="14">
        <v>0.3</v>
      </c>
      <c r="D24" s="15">
        <v>121</v>
      </c>
      <c r="E24" s="15">
        <v>14</v>
      </c>
      <c r="F24" s="15">
        <v>202</v>
      </c>
      <c r="G24" s="9"/>
      <c r="H24" s="2"/>
      <c r="I24" s="2"/>
      <c r="J24" s="2"/>
      <c r="K24" s="2"/>
      <c r="L24" s="2"/>
      <c r="M24" s="2"/>
      <c r="N24" s="2"/>
    </row>
    <row x14ac:dyDescent="0.25" r="25" customHeight="1" ht="19.5" customFormat="1" s="7">
      <c r="A25" s="9" t="s">
        <v>51</v>
      </c>
      <c r="B25" s="9" t="s">
        <v>18</v>
      </c>
      <c r="C25" s="14">
        <f>AVERAGE(7.2,7.6)</f>
      </c>
      <c r="D25" s="14">
        <f>AVERAGE(4,6)</f>
      </c>
      <c r="E25" s="16" t="s">
        <v>23</v>
      </c>
      <c r="F25" s="16" t="s">
        <v>23</v>
      </c>
      <c r="G25" s="9"/>
      <c r="H25" s="2"/>
      <c r="I25" s="2"/>
      <c r="J25" s="2"/>
      <c r="K25" s="2"/>
      <c r="L25" s="2"/>
      <c r="M25" s="2"/>
      <c r="N25" s="2"/>
    </row>
    <row x14ac:dyDescent="0.25" r="26" customHeight="1" ht="19.5" customFormat="1" s="7">
      <c r="A26" s="9" t="s">
        <v>52</v>
      </c>
      <c r="B26" s="9" t="s">
        <v>18</v>
      </c>
      <c r="C26" s="14">
        <v>4.5</v>
      </c>
      <c r="D26" s="23">
        <v>11</v>
      </c>
      <c r="E26" s="15">
        <v>62</v>
      </c>
      <c r="F26" s="16" t="s">
        <v>23</v>
      </c>
      <c r="G26" s="9"/>
      <c r="H26" s="2"/>
      <c r="I26" s="2"/>
      <c r="J26" s="2"/>
      <c r="K26" s="2"/>
      <c r="L26" s="2"/>
      <c r="M26" s="2"/>
      <c r="N26" s="2"/>
    </row>
    <row x14ac:dyDescent="0.25" r="27" customHeight="1" ht="19.5" customFormat="1" s="7">
      <c r="A27" s="9" t="s">
        <v>53</v>
      </c>
      <c r="B27" s="9" t="s">
        <v>18</v>
      </c>
      <c r="C27" s="14">
        <v>2.7</v>
      </c>
      <c r="D27" s="15">
        <v>19</v>
      </c>
      <c r="E27" s="15">
        <v>87</v>
      </c>
      <c r="F27" s="15">
        <v>1585</v>
      </c>
      <c r="G27" s="9"/>
      <c r="H27" s="2"/>
      <c r="I27" s="2"/>
      <c r="J27" s="2"/>
      <c r="K27" s="2"/>
      <c r="L27" s="2"/>
      <c r="M27" s="2"/>
      <c r="N27" s="2"/>
    </row>
    <row x14ac:dyDescent="0.25" r="28" customHeight="1" ht="19.5" customFormat="1" s="7">
      <c r="A28" s="9" t="s">
        <v>54</v>
      </c>
      <c r="B28" s="9" t="s">
        <v>18</v>
      </c>
      <c r="C28" s="14">
        <f>AVERAGE(2.5,4)</f>
      </c>
      <c r="D28" s="14">
        <f>AVERAGE(11,13)</f>
      </c>
      <c r="E28" s="16" t="s">
        <v>23</v>
      </c>
      <c r="F28" s="16" t="s">
        <v>23</v>
      </c>
      <c r="G28" s="9"/>
      <c r="H28" s="2"/>
      <c r="I28" s="2"/>
      <c r="J28" s="2"/>
      <c r="K28" s="2"/>
      <c r="L28" s="2"/>
      <c r="M28" s="2"/>
      <c r="N28" s="2"/>
    </row>
    <row x14ac:dyDescent="0.25" r="29" customHeight="1" ht="19.5" customFormat="1" s="7">
      <c r="A29" s="9"/>
      <c r="B29" s="9"/>
      <c r="C29" s="23"/>
      <c r="D29" s="23"/>
      <c r="E29" s="23"/>
      <c r="F29" s="24"/>
      <c r="G29" s="9"/>
      <c r="H29" s="2"/>
      <c r="I29" s="2"/>
      <c r="J29" s="2"/>
      <c r="K29" s="2"/>
      <c r="L29" s="2"/>
      <c r="M29" s="2"/>
      <c r="N29" s="2"/>
    </row>
    <row x14ac:dyDescent="0.25" r="30" customHeight="1" ht="19.5" customFormat="1" s="7">
      <c r="A30" s="11" t="s">
        <v>55</v>
      </c>
      <c r="B30" s="11"/>
      <c r="C30" s="12"/>
      <c r="D30" s="12"/>
      <c r="E30" s="12"/>
      <c r="F30" s="13"/>
      <c r="G30" s="11"/>
      <c r="H30" s="2"/>
      <c r="I30" s="2"/>
      <c r="J30" s="2"/>
      <c r="K30" s="2"/>
      <c r="L30" s="2"/>
      <c r="M30" s="2"/>
      <c r="N30" s="2"/>
    </row>
    <row x14ac:dyDescent="0.25" r="31" customHeight="1" ht="19.5" customFormat="1" s="7">
      <c r="A31" s="9" t="s">
        <v>56</v>
      </c>
      <c r="B31" s="9" t="s">
        <v>18</v>
      </c>
      <c r="C31" s="14">
        <f>AVERAGE(13,14)</f>
      </c>
      <c r="D31" s="14">
        <f>AVERAGE(3,3.5)</f>
      </c>
      <c r="E31" s="14">
        <f>AVERAGE(10,78)</f>
      </c>
      <c r="F31" s="16" t="s">
        <v>23</v>
      </c>
      <c r="G31" s="9"/>
      <c r="H31" s="2"/>
      <c r="I31" s="2"/>
      <c r="J31" s="2"/>
      <c r="K31" s="2"/>
      <c r="L31" s="2"/>
      <c r="M31" s="2"/>
      <c r="N31" s="2"/>
    </row>
    <row x14ac:dyDescent="0.25" r="32" customHeight="1" ht="19.5" customFormat="1" s="7">
      <c r="A32" s="9"/>
      <c r="B32" s="9"/>
      <c r="C32" s="23"/>
      <c r="D32" s="23"/>
      <c r="E32" s="23"/>
      <c r="F32" s="24"/>
      <c r="G32" s="9"/>
      <c r="H32" s="2"/>
      <c r="I32" s="2"/>
      <c r="J32" s="2"/>
      <c r="K32" s="2"/>
      <c r="L32" s="2"/>
      <c r="M32" s="2"/>
      <c r="N32" s="2"/>
    </row>
    <row x14ac:dyDescent="0.25" r="33" customHeight="1" ht="19.5" customFormat="1" s="7">
      <c r="A33" s="18" t="s">
        <v>57</v>
      </c>
      <c r="B33" s="18" t="s">
        <v>26</v>
      </c>
      <c r="C33" s="19" t="s">
        <v>58</v>
      </c>
      <c r="D33" s="20" t="s">
        <v>59</v>
      </c>
      <c r="E33" s="19" t="s">
        <v>60</v>
      </c>
      <c r="F33" s="19" t="s">
        <v>23</v>
      </c>
      <c r="G33" s="9"/>
      <c r="H33" s="2"/>
      <c r="I33" s="2"/>
      <c r="J33" s="2"/>
      <c r="K33" s="2"/>
      <c r="L33" s="2"/>
      <c r="M33" s="2"/>
      <c r="N33" s="2"/>
    </row>
    <row x14ac:dyDescent="0.25" r="34" customHeight="1" ht="19.5" customFormat="1" s="7">
      <c r="A34" s="9" t="s">
        <v>61</v>
      </c>
      <c r="B34" s="9" t="s">
        <v>31</v>
      </c>
      <c r="C34" s="14">
        <v>6.1</v>
      </c>
      <c r="D34" s="14">
        <v>4.9</v>
      </c>
      <c r="E34" s="15">
        <v>47</v>
      </c>
      <c r="F34" s="15">
        <v>240</v>
      </c>
      <c r="G34" s="9"/>
      <c r="H34" s="2"/>
      <c r="I34" s="2"/>
      <c r="J34" s="2"/>
      <c r="K34" s="2"/>
      <c r="L34" s="2"/>
      <c r="M34" s="2"/>
      <c r="N34" s="2"/>
    </row>
    <row x14ac:dyDescent="0.25" r="35" customHeight="1" ht="19.5" customFormat="1" s="7">
      <c r="A35" s="9" t="s">
        <v>62</v>
      </c>
      <c r="B35" s="9" t="s">
        <v>18</v>
      </c>
      <c r="C35" s="15">
        <v>2</v>
      </c>
      <c r="D35" s="15">
        <v>28</v>
      </c>
      <c r="E35" s="15">
        <v>10</v>
      </c>
      <c r="F35" s="16" t="s">
        <v>23</v>
      </c>
      <c r="G35" s="9"/>
      <c r="H35" s="2"/>
      <c r="I35" s="2"/>
      <c r="J35" s="2"/>
      <c r="K35" s="2"/>
      <c r="L35" s="2"/>
      <c r="M35" s="2"/>
      <c r="N35" s="2"/>
    </row>
    <row x14ac:dyDescent="0.25" r="36" customHeight="1" ht="19.5" customFormat="1" s="7">
      <c r="A36" s="9" t="s">
        <v>63</v>
      </c>
      <c r="B36" s="9" t="s">
        <v>18</v>
      </c>
      <c r="C36" s="14">
        <v>6.8</v>
      </c>
      <c r="D36" s="14">
        <v>5.2</v>
      </c>
      <c r="E36" s="15">
        <v>94</v>
      </c>
      <c r="F36" s="16" t="s">
        <v>23</v>
      </c>
      <c r="G36" s="9"/>
      <c r="H36" s="2"/>
      <c r="I36" s="2"/>
      <c r="J36" s="2"/>
      <c r="K36" s="2"/>
      <c r="L36" s="2"/>
      <c r="M36" s="2"/>
      <c r="N36" s="2"/>
    </row>
    <row x14ac:dyDescent="0.25" r="37" customHeight="1" ht="19.5" customFormat="1" s="7">
      <c r="A37" s="18" t="s">
        <v>64</v>
      </c>
      <c r="B37" s="18" t="s">
        <v>26</v>
      </c>
      <c r="C37" s="19" t="s">
        <v>65</v>
      </c>
      <c r="D37" s="20" t="s">
        <v>66</v>
      </c>
      <c r="E37" s="19" t="s">
        <v>67</v>
      </c>
      <c r="F37" s="19" t="s">
        <v>23</v>
      </c>
      <c r="G37" s="9"/>
      <c r="H37" s="2"/>
      <c r="I37" s="2"/>
      <c r="J37" s="2"/>
      <c r="K37" s="2"/>
      <c r="L37" s="2"/>
      <c r="M37" s="2"/>
      <c r="N37" s="2"/>
    </row>
    <row x14ac:dyDescent="0.25" r="38" customHeight="1" ht="19.5" customFormat="1" s="7">
      <c r="A38" s="9" t="s">
        <v>68</v>
      </c>
      <c r="B38" s="9" t="s">
        <v>31</v>
      </c>
      <c r="C38" s="14">
        <v>10.6</v>
      </c>
      <c r="D38" s="14">
        <v>3.6</v>
      </c>
      <c r="E38" s="15">
        <v>76</v>
      </c>
      <c r="F38" s="16" t="s">
        <v>23</v>
      </c>
      <c r="G38" s="9"/>
      <c r="H38" s="2"/>
      <c r="I38" s="2"/>
      <c r="J38" s="2"/>
      <c r="K38" s="2"/>
      <c r="L38" s="2"/>
      <c r="M38" s="2"/>
      <c r="N38" s="2"/>
    </row>
    <row x14ac:dyDescent="0.25" r="39" customHeight="1" ht="19.5" customFormat="1" s="7">
      <c r="A39" s="9" t="s">
        <v>69</v>
      </c>
      <c r="B39" s="9" t="s">
        <v>18</v>
      </c>
      <c r="C39" s="14">
        <f>AVERAGE(7,10)</f>
      </c>
      <c r="D39" s="14">
        <f>AVERAGE(2,4)</f>
      </c>
      <c r="E39" s="16" t="s">
        <v>23</v>
      </c>
      <c r="F39" s="16" t="s">
        <v>23</v>
      </c>
      <c r="G39" s="9"/>
      <c r="H39" s="2"/>
      <c r="I39" s="2"/>
      <c r="J39" s="2"/>
      <c r="K39" s="2"/>
      <c r="L39" s="2"/>
      <c r="M39" s="2"/>
      <c r="N39" s="2"/>
    </row>
    <row x14ac:dyDescent="0.25" r="40" customHeight="1" ht="19.5" customFormat="1" s="7">
      <c r="A40" s="9" t="s">
        <v>70</v>
      </c>
      <c r="B40" s="9" t="s">
        <v>18</v>
      </c>
      <c r="C40" s="14">
        <v>3.6</v>
      </c>
      <c r="D40" s="14">
        <v>2.2</v>
      </c>
      <c r="E40" s="15">
        <v>63</v>
      </c>
      <c r="F40" s="16" t="s">
        <v>23</v>
      </c>
      <c r="G40" s="9"/>
      <c r="H40" s="2"/>
      <c r="I40" s="2"/>
      <c r="J40" s="2"/>
      <c r="K40" s="2"/>
      <c r="L40" s="2"/>
      <c r="M40" s="2"/>
      <c r="N40" s="2"/>
    </row>
    <row x14ac:dyDescent="0.25" r="41" customHeight="1" ht="19.5" customFormat="1" s="7">
      <c r="A41" s="9" t="s">
        <v>71</v>
      </c>
      <c r="B41" s="9" t="s">
        <v>18</v>
      </c>
      <c r="C41" s="14">
        <v>2.4</v>
      </c>
      <c r="D41" s="15">
        <v>5</v>
      </c>
      <c r="E41" s="15">
        <v>65</v>
      </c>
      <c r="F41" s="16" t="s">
        <v>23</v>
      </c>
      <c r="G41" s="9"/>
      <c r="H41" s="2"/>
      <c r="I41" s="2"/>
      <c r="J41" s="2"/>
      <c r="K41" s="2"/>
      <c r="L41" s="2"/>
      <c r="M41" s="2"/>
      <c r="N41" s="2"/>
    </row>
    <row x14ac:dyDescent="0.25" r="42" customHeight="1" ht="19.5" customFormat="1" s="7">
      <c r="A42" s="9" t="s">
        <v>72</v>
      </c>
      <c r="B42" s="9" t="s">
        <v>18</v>
      </c>
      <c r="C42" s="14">
        <v>1.8</v>
      </c>
      <c r="D42" s="15">
        <f>AVERAGE(20,30)</f>
      </c>
      <c r="E42" s="14">
        <f>AVERAGE(80,85)</f>
      </c>
      <c r="F42" s="15">
        <v>1460</v>
      </c>
      <c r="G42" s="9"/>
      <c r="H42" s="2"/>
      <c r="I42" s="2"/>
      <c r="J42" s="2"/>
      <c r="K42" s="2"/>
      <c r="L42" s="2"/>
      <c r="M42" s="2"/>
      <c r="N42" s="2"/>
    </row>
    <row x14ac:dyDescent="0.25" r="43" customHeight="1" ht="19.5" customFormat="1" s="7">
      <c r="A43" s="9" t="s">
        <v>73</v>
      </c>
      <c r="B43" s="9" t="s">
        <v>18</v>
      </c>
      <c r="C43" s="14">
        <v>9.5</v>
      </c>
      <c r="D43" s="14">
        <v>3.4</v>
      </c>
      <c r="E43" s="15">
        <v>78</v>
      </c>
      <c r="F43" s="16" t="s">
        <v>23</v>
      </c>
      <c r="G43" s="9"/>
      <c r="H43" s="2"/>
      <c r="I43" s="2"/>
      <c r="J43" s="2"/>
      <c r="K43" s="2"/>
      <c r="L43" s="2"/>
      <c r="M43" s="2"/>
      <c r="N43" s="2"/>
    </row>
    <row x14ac:dyDescent="0.25" r="44" customHeight="1" ht="19.5" customFormat="1" s="7">
      <c r="A44" s="9"/>
      <c r="B44" s="9"/>
      <c r="C44" s="23"/>
      <c r="D44" s="23"/>
      <c r="E44" s="23"/>
      <c r="F44" s="24"/>
      <c r="G44" s="9"/>
      <c r="H44" s="2"/>
      <c r="I44" s="2"/>
      <c r="J44" s="2"/>
      <c r="K44" s="2"/>
      <c r="L44" s="2"/>
      <c r="M44" s="2"/>
      <c r="N44" s="2"/>
    </row>
    <row x14ac:dyDescent="0.25" r="45" customHeight="1" ht="19.5" customFormat="1" s="7">
      <c r="A45" s="11" t="s">
        <v>74</v>
      </c>
      <c r="B45" s="11"/>
      <c r="C45" s="12"/>
      <c r="D45" s="12"/>
      <c r="E45" s="12"/>
      <c r="F45" s="13"/>
      <c r="G45" s="11"/>
      <c r="H45" s="2"/>
      <c r="I45" s="2"/>
      <c r="J45" s="2"/>
      <c r="K45" s="2"/>
      <c r="L45" s="2"/>
      <c r="M45" s="2"/>
      <c r="N45" s="2"/>
    </row>
    <row x14ac:dyDescent="0.25" r="46" customHeight="1" ht="19.5" customFormat="1" s="7">
      <c r="A46" s="18" t="s">
        <v>75</v>
      </c>
      <c r="B46" s="18" t="s">
        <v>26</v>
      </c>
      <c r="C46" s="19" t="s">
        <v>76</v>
      </c>
      <c r="D46" s="20" t="s">
        <v>77</v>
      </c>
      <c r="E46" s="19" t="s">
        <v>78</v>
      </c>
      <c r="F46" s="19" t="s">
        <v>79</v>
      </c>
      <c r="G46" s="9"/>
      <c r="H46" s="2"/>
      <c r="I46" s="2"/>
      <c r="J46" s="2"/>
      <c r="K46" s="2"/>
      <c r="L46" s="2"/>
      <c r="M46" s="2"/>
      <c r="N46" s="2"/>
    </row>
    <row x14ac:dyDescent="0.25" r="47" customHeight="1" ht="19.5" customFormat="1" s="7">
      <c r="A47" s="9" t="s">
        <v>80</v>
      </c>
      <c r="B47" s="9" t="s">
        <v>31</v>
      </c>
      <c r="C47" s="14">
        <v>2.7</v>
      </c>
      <c r="D47" s="15">
        <v>14</v>
      </c>
      <c r="E47" s="15">
        <v>37</v>
      </c>
      <c r="F47" s="15">
        <v>864</v>
      </c>
      <c r="G47" s="9"/>
      <c r="H47" s="2"/>
      <c r="I47" s="2"/>
      <c r="J47" s="2"/>
      <c r="K47" s="2"/>
      <c r="L47" s="2"/>
      <c r="M47" s="2"/>
      <c r="N47" s="2"/>
    </row>
    <row x14ac:dyDescent="0.25" r="48" customHeight="1" ht="19.5" customFormat="1" s="7">
      <c r="A48" s="9"/>
      <c r="B48" s="9"/>
      <c r="C48" s="23"/>
      <c r="D48" s="23"/>
      <c r="E48" s="23"/>
      <c r="F48" s="24"/>
      <c r="G48" s="9"/>
      <c r="H48" s="2"/>
      <c r="I48" s="2"/>
      <c r="J48" s="2"/>
      <c r="K48" s="2"/>
      <c r="L48" s="2"/>
      <c r="M48" s="2"/>
      <c r="N48" s="2"/>
    </row>
    <row x14ac:dyDescent="0.25" r="49" customHeight="1" ht="19.5" customFormat="1" s="7">
      <c r="A49" s="18" t="s">
        <v>81</v>
      </c>
      <c r="B49" s="18" t="s">
        <v>26</v>
      </c>
      <c r="C49" s="19" t="s">
        <v>82</v>
      </c>
      <c r="D49" s="20" t="s">
        <v>83</v>
      </c>
      <c r="E49" s="19" t="s">
        <v>84</v>
      </c>
      <c r="F49" s="19" t="s">
        <v>85</v>
      </c>
      <c r="G49" s="9"/>
      <c r="H49" s="2"/>
      <c r="I49" s="2"/>
      <c r="J49" s="2"/>
      <c r="K49" s="2"/>
      <c r="L49" s="2"/>
      <c r="M49" s="2"/>
      <c r="N49" s="2"/>
    </row>
    <row x14ac:dyDescent="0.25" r="50" customHeight="1" ht="19.5" customFormat="1" s="7">
      <c r="A50" s="9" t="s">
        <v>86</v>
      </c>
      <c r="B50" s="9" t="s">
        <v>31</v>
      </c>
      <c r="C50" s="14">
        <v>2.4</v>
      </c>
      <c r="D50" s="15">
        <v>19</v>
      </c>
      <c r="E50" s="15">
        <v>81</v>
      </c>
      <c r="F50" s="15">
        <v>1458</v>
      </c>
      <c r="G50" s="9"/>
      <c r="H50" s="2"/>
      <c r="I50" s="2"/>
      <c r="J50" s="2"/>
      <c r="K50" s="2"/>
      <c r="L50" s="2"/>
      <c r="M50" s="2"/>
      <c r="N50" s="2"/>
    </row>
    <row x14ac:dyDescent="0.25" r="51" customHeight="1" ht="19.5" customFormat="1" s="7">
      <c r="A51" s="9" t="s">
        <v>87</v>
      </c>
      <c r="B51" s="9" t="s">
        <v>18</v>
      </c>
      <c r="C51" s="14">
        <v>2.7</v>
      </c>
      <c r="D51" s="15">
        <v>18</v>
      </c>
      <c r="E51" s="15">
        <v>79</v>
      </c>
      <c r="F51" s="16" t="s">
        <v>23</v>
      </c>
      <c r="G51" s="9"/>
      <c r="H51" s="2"/>
      <c r="I51" s="2"/>
      <c r="J51" s="2"/>
      <c r="K51" s="2"/>
      <c r="L51" s="2"/>
      <c r="M51" s="2"/>
      <c r="N51" s="2"/>
    </row>
    <row x14ac:dyDescent="0.25" r="52" customHeight="1" ht="19.5" customFormat="1" s="7">
      <c r="A52" s="9" t="s">
        <v>88</v>
      </c>
      <c r="B52" s="9" t="s">
        <v>18</v>
      </c>
      <c r="C52" s="14">
        <v>3.7</v>
      </c>
      <c r="D52" s="15">
        <v>13</v>
      </c>
      <c r="E52" s="15">
        <v>83</v>
      </c>
      <c r="F52" s="16" t="s">
        <v>23</v>
      </c>
      <c r="G52" s="9"/>
      <c r="H52" s="2"/>
      <c r="I52" s="2"/>
      <c r="J52" s="2"/>
      <c r="K52" s="2"/>
      <c r="L52" s="2"/>
      <c r="M52" s="2"/>
      <c r="N52" s="2"/>
    </row>
    <row x14ac:dyDescent="0.25" r="53" customHeight="1" ht="19.5" customFormat="1" s="7">
      <c r="A53" s="9"/>
      <c r="B53" s="9"/>
      <c r="C53" s="23"/>
      <c r="D53" s="23"/>
      <c r="E53" s="23"/>
      <c r="F53" s="24"/>
      <c r="G53" s="9"/>
      <c r="H53" s="2"/>
      <c r="I53" s="2"/>
      <c r="J53" s="2"/>
      <c r="K53" s="2"/>
      <c r="L53" s="2"/>
      <c r="M53" s="2"/>
      <c r="N53" s="2"/>
    </row>
    <row x14ac:dyDescent="0.25" r="54" customHeight="1" ht="19.5" customFormat="1" s="7">
      <c r="A54" s="18" t="s">
        <v>89</v>
      </c>
      <c r="B54" s="18" t="s">
        <v>26</v>
      </c>
      <c r="C54" s="19" t="s">
        <v>90</v>
      </c>
      <c r="D54" s="20" t="s">
        <v>91</v>
      </c>
      <c r="E54" s="19" t="s">
        <v>92</v>
      </c>
      <c r="F54" s="19" t="s">
        <v>93</v>
      </c>
      <c r="G54" s="9"/>
      <c r="H54" s="2"/>
      <c r="I54" s="2"/>
      <c r="J54" s="2"/>
      <c r="K54" s="2"/>
      <c r="L54" s="2"/>
      <c r="M54" s="2"/>
      <c r="N54" s="2"/>
    </row>
    <row x14ac:dyDescent="0.25" r="55" customHeight="1" ht="19.5" customFormat="1" s="7">
      <c r="A55" s="9" t="s">
        <v>94</v>
      </c>
      <c r="B55" s="9" t="s">
        <v>31</v>
      </c>
      <c r="C55" s="14">
        <v>1.6</v>
      </c>
      <c r="D55" s="15">
        <v>30</v>
      </c>
      <c r="E55" s="15">
        <v>72</v>
      </c>
      <c r="F55" s="15">
        <v>1379</v>
      </c>
      <c r="G55" s="9"/>
      <c r="H55" s="2"/>
      <c r="I55" s="2"/>
      <c r="J55" s="2"/>
      <c r="K55" s="2"/>
      <c r="L55" s="2"/>
      <c r="M55" s="2"/>
      <c r="N55" s="2"/>
    </row>
    <row x14ac:dyDescent="0.25" r="56" customHeight="1" ht="19.5" customFormat="1" s="7">
      <c r="A56" s="9"/>
      <c r="B56" s="9"/>
      <c r="C56" s="23"/>
      <c r="D56" s="23"/>
      <c r="E56" s="23"/>
      <c r="F56" s="24"/>
      <c r="G56" s="9"/>
      <c r="H56" s="2"/>
      <c r="I56" s="2"/>
      <c r="J56" s="2"/>
      <c r="K56" s="2"/>
      <c r="L56" s="2"/>
      <c r="M56" s="2"/>
      <c r="N56" s="2"/>
    </row>
    <row x14ac:dyDescent="0.25" r="57" customHeight="1" ht="19.5" customFormat="1" s="7">
      <c r="A57" s="18" t="s">
        <v>95</v>
      </c>
      <c r="B57" s="18" t="s">
        <v>26</v>
      </c>
      <c r="C57" s="19" t="s">
        <v>96</v>
      </c>
      <c r="D57" s="20" t="s">
        <v>97</v>
      </c>
      <c r="E57" s="19" t="s">
        <v>98</v>
      </c>
      <c r="F57" s="19" t="s">
        <v>23</v>
      </c>
      <c r="G57" s="9"/>
      <c r="H57" s="2"/>
      <c r="I57" s="2"/>
      <c r="J57" s="2"/>
      <c r="K57" s="2"/>
      <c r="L57" s="2"/>
      <c r="M57" s="2"/>
      <c r="N57" s="2"/>
    </row>
    <row x14ac:dyDescent="0.25" r="58" customHeight="1" ht="19.5" customFormat="1" s="7">
      <c r="A58" s="9" t="s">
        <v>99</v>
      </c>
      <c r="B58" s="9" t="s">
        <v>31</v>
      </c>
      <c r="C58" s="14">
        <v>1.2</v>
      </c>
      <c r="D58" s="15">
        <v>41</v>
      </c>
      <c r="E58" s="15">
        <v>63</v>
      </c>
      <c r="F58" s="16" t="s">
        <v>23</v>
      </c>
      <c r="G58" s="9"/>
      <c r="H58" s="2"/>
      <c r="I58" s="2"/>
      <c r="J58" s="2"/>
      <c r="K58" s="2"/>
      <c r="L58" s="2"/>
      <c r="M58" s="2"/>
      <c r="N58" s="2"/>
    </row>
    <row x14ac:dyDescent="0.25" r="59" customHeight="1" ht="19.5" customFormat="1" s="7">
      <c r="A59" s="9"/>
      <c r="B59" s="9"/>
      <c r="C59" s="23"/>
      <c r="D59" s="23"/>
      <c r="E59" s="23"/>
      <c r="F59" s="24"/>
      <c r="G59" s="9"/>
      <c r="H59" s="2"/>
      <c r="I59" s="2"/>
      <c r="J59" s="2"/>
      <c r="K59" s="2"/>
      <c r="L59" s="2"/>
      <c r="M59" s="2"/>
      <c r="N59" s="2"/>
    </row>
    <row x14ac:dyDescent="0.25" r="60" customHeight="1" ht="19.5" customFormat="1" s="7">
      <c r="A60" s="18" t="s">
        <v>100</v>
      </c>
      <c r="B60" s="18" t="s">
        <v>26</v>
      </c>
      <c r="C60" s="19" t="s">
        <v>101</v>
      </c>
      <c r="D60" s="20" t="s">
        <v>102</v>
      </c>
      <c r="E60" s="19" t="s">
        <v>103</v>
      </c>
      <c r="F60" s="19" t="s">
        <v>104</v>
      </c>
      <c r="G60" s="9"/>
      <c r="H60" s="2"/>
      <c r="I60" s="2"/>
      <c r="J60" s="2"/>
      <c r="K60" s="2"/>
      <c r="L60" s="2"/>
      <c r="M60" s="2"/>
      <c r="N60" s="2"/>
    </row>
    <row x14ac:dyDescent="0.25" r="61" customHeight="1" ht="19.5" customFormat="1" s="7">
      <c r="A61" s="9" t="s">
        <v>105</v>
      </c>
      <c r="B61" s="9" t="s">
        <v>31</v>
      </c>
      <c r="C61" s="15">
        <v>8</v>
      </c>
      <c r="D61" s="15">
        <v>6</v>
      </c>
      <c r="E61" s="15">
        <v>69</v>
      </c>
      <c r="F61" s="15">
        <v>1479</v>
      </c>
      <c r="G61" s="9"/>
      <c r="H61" s="2"/>
      <c r="I61" s="2"/>
      <c r="J61" s="2"/>
      <c r="K61" s="2"/>
      <c r="L61" s="2"/>
      <c r="M61" s="2"/>
      <c r="N61" s="2"/>
    </row>
    <row x14ac:dyDescent="0.25" r="62" customHeight="1" ht="19.5" customFormat="1" s="7">
      <c r="A62" s="9"/>
      <c r="B62" s="9"/>
      <c r="C62" s="23"/>
      <c r="D62" s="23"/>
      <c r="E62" s="23"/>
      <c r="F62" s="24"/>
      <c r="G62" s="9"/>
      <c r="H62" s="2"/>
      <c r="I62" s="2"/>
      <c r="J62" s="2"/>
      <c r="K62" s="2"/>
      <c r="L62" s="2"/>
      <c r="M62" s="2"/>
      <c r="N62" s="2"/>
    </row>
    <row x14ac:dyDescent="0.25" r="63" customHeight="1" ht="19.5" customFormat="1" s="7">
      <c r="A63" s="18" t="s">
        <v>106</v>
      </c>
      <c r="B63" s="18" t="s">
        <v>26</v>
      </c>
      <c r="C63" s="19" t="s">
        <v>107</v>
      </c>
      <c r="D63" s="20" t="s">
        <v>108</v>
      </c>
      <c r="E63" s="19" t="s">
        <v>109</v>
      </c>
      <c r="F63" s="19" t="s">
        <v>23</v>
      </c>
      <c r="G63" s="9"/>
      <c r="H63" s="2"/>
      <c r="I63" s="2"/>
      <c r="J63" s="2"/>
      <c r="K63" s="2"/>
      <c r="L63" s="2"/>
      <c r="M63" s="2"/>
      <c r="N63" s="2"/>
    </row>
    <row x14ac:dyDescent="0.25" r="64" customHeight="1" ht="19.5" customFormat="1" s="7">
      <c r="A64" s="9" t="s">
        <v>110</v>
      </c>
      <c r="B64" s="9" t="s">
        <v>31</v>
      </c>
      <c r="C64" s="14">
        <v>2.7</v>
      </c>
      <c r="D64" s="15">
        <v>16</v>
      </c>
      <c r="E64" s="15">
        <v>69</v>
      </c>
      <c r="F64" s="16" t="s">
        <v>23</v>
      </c>
      <c r="G64" s="9"/>
      <c r="H64" s="2"/>
      <c r="I64" s="2"/>
      <c r="J64" s="2"/>
      <c r="K64" s="2"/>
      <c r="L64" s="2"/>
      <c r="M64" s="2"/>
      <c r="N64" s="2"/>
    </row>
    <row x14ac:dyDescent="0.25" r="65" customHeight="1" ht="19.5" customFormat="1" s="7">
      <c r="A65" s="9"/>
      <c r="B65" s="9"/>
      <c r="C65" s="23"/>
      <c r="D65" s="23"/>
      <c r="E65" s="23"/>
      <c r="F65" s="24"/>
      <c r="G65" s="9"/>
      <c r="H65" s="2"/>
      <c r="I65" s="2"/>
      <c r="J65" s="2"/>
      <c r="K65" s="2"/>
      <c r="L65" s="2"/>
      <c r="M65" s="2"/>
      <c r="N65" s="2"/>
    </row>
    <row x14ac:dyDescent="0.25" r="66" customHeight="1" ht="19.5" customFormat="1" s="7">
      <c r="A66" s="18" t="s">
        <v>111</v>
      </c>
      <c r="B66" s="18" t="s">
        <v>26</v>
      </c>
      <c r="C66" s="19" t="s">
        <v>112</v>
      </c>
      <c r="D66" s="20" t="s">
        <v>113</v>
      </c>
      <c r="E66" s="19" t="s">
        <v>114</v>
      </c>
      <c r="F66" s="19" t="s">
        <v>23</v>
      </c>
      <c r="G66" s="9"/>
      <c r="H66" s="2"/>
      <c r="I66" s="2"/>
      <c r="J66" s="2"/>
      <c r="K66" s="2"/>
      <c r="L66" s="2"/>
      <c r="M66" s="2"/>
      <c r="N66" s="2"/>
    </row>
    <row x14ac:dyDescent="0.25" r="67" customHeight="1" ht="19.5" customFormat="1" s="7">
      <c r="A67" s="9" t="s">
        <v>115</v>
      </c>
      <c r="B67" s="9" t="s">
        <v>31</v>
      </c>
      <c r="C67" s="14">
        <v>3.1</v>
      </c>
      <c r="D67" s="15">
        <v>14</v>
      </c>
      <c r="E67" s="15">
        <v>80</v>
      </c>
      <c r="F67" s="16" t="s">
        <v>23</v>
      </c>
      <c r="G67" s="9"/>
      <c r="H67" s="2"/>
      <c r="I67" s="2"/>
      <c r="J67" s="2"/>
      <c r="K67" s="2"/>
      <c r="L67" s="2"/>
      <c r="M67" s="2"/>
      <c r="N67" s="2"/>
    </row>
    <row x14ac:dyDescent="0.25" r="68" customHeight="1" ht="19.5" customFormat="1" s="7">
      <c r="A68" s="9"/>
      <c r="B68" s="9"/>
      <c r="C68" s="23"/>
      <c r="D68" s="23"/>
      <c r="E68" s="23"/>
      <c r="F68" s="24"/>
      <c r="G68" s="9"/>
      <c r="H68" s="2"/>
      <c r="I68" s="2"/>
      <c r="J68" s="2"/>
      <c r="K68" s="2"/>
      <c r="L68" s="2"/>
      <c r="M68" s="2"/>
      <c r="N68" s="2"/>
    </row>
    <row x14ac:dyDescent="0.25" r="69" customHeight="1" ht="19.5" customFormat="1" s="7">
      <c r="A69" s="9" t="s">
        <v>116</v>
      </c>
      <c r="B69" s="9" t="s">
        <v>31</v>
      </c>
      <c r="C69" s="14">
        <v>2.6</v>
      </c>
      <c r="D69" s="15">
        <v>16</v>
      </c>
      <c r="E69" s="15">
        <v>26</v>
      </c>
      <c r="F69" s="15">
        <v>783</v>
      </c>
      <c r="G69" s="9"/>
      <c r="H69" s="2"/>
      <c r="I69" s="2"/>
      <c r="J69" s="2"/>
      <c r="K69" s="2"/>
      <c r="L69" s="2"/>
      <c r="M69" s="2"/>
      <c r="N69" s="2"/>
    </row>
    <row x14ac:dyDescent="0.25" r="70" customHeight="1" ht="19.5" customFormat="1" s="7">
      <c r="A70" s="9"/>
      <c r="B70" s="9"/>
      <c r="C70" s="23"/>
      <c r="D70" s="23"/>
      <c r="E70" s="23"/>
      <c r="F70" s="24"/>
      <c r="G70" s="9"/>
      <c r="H70" s="2"/>
      <c r="I70" s="2"/>
      <c r="J70" s="2"/>
      <c r="K70" s="2"/>
      <c r="L70" s="2"/>
      <c r="M70" s="2"/>
      <c r="N70" s="2"/>
    </row>
    <row x14ac:dyDescent="0.25" r="71" customHeight="1" ht="19.5" customFormat="1" s="7">
      <c r="A71" s="11" t="s">
        <v>117</v>
      </c>
      <c r="B71" s="11"/>
      <c r="C71" s="12"/>
      <c r="D71" s="12"/>
      <c r="E71" s="12"/>
      <c r="F71" s="13"/>
      <c r="G71" s="11"/>
      <c r="H71" s="2"/>
      <c r="I71" s="2"/>
      <c r="J71" s="2"/>
      <c r="K71" s="2"/>
      <c r="L71" s="2"/>
      <c r="M71" s="2"/>
      <c r="N71" s="2"/>
    </row>
    <row x14ac:dyDescent="0.25" r="72" customHeight="1" ht="19.5">
      <c r="A72" s="9" t="s">
        <v>118</v>
      </c>
      <c r="B72" s="9" t="s">
        <v>18</v>
      </c>
      <c r="C72" s="14">
        <f>AVERAGE(1.9,2.9)</f>
      </c>
      <c r="D72" s="15">
        <f>AVERAGE(14,16)</f>
      </c>
      <c r="E72" s="15">
        <v>69</v>
      </c>
      <c r="F72" s="15">
        <v>1585</v>
      </c>
      <c r="G72" s="17" t="s">
        <v>119</v>
      </c>
      <c r="H72" s="5"/>
      <c r="I72" s="5"/>
      <c r="J72" s="5"/>
      <c r="K72" s="5"/>
      <c r="L72" s="5"/>
      <c r="M72" s="5"/>
      <c r="N72" s="5"/>
    </row>
    <row x14ac:dyDescent="0.25" r="73" customHeight="1" ht="19.5" customFormat="1" s="7">
      <c r="A73" s="9"/>
      <c r="B73" s="9"/>
      <c r="C73" s="23"/>
      <c r="D73" s="23"/>
      <c r="E73" s="23"/>
      <c r="F73" s="24"/>
      <c r="G73" s="9"/>
      <c r="H73" s="2"/>
      <c r="I73" s="2"/>
      <c r="J73" s="2"/>
      <c r="K73" s="2"/>
      <c r="L73" s="2"/>
      <c r="M73" s="2"/>
      <c r="N73" s="2"/>
    </row>
    <row x14ac:dyDescent="0.25" r="74" customHeight="1" ht="19.5" customFormat="1" s="7">
      <c r="A74" s="9" t="s">
        <v>120</v>
      </c>
      <c r="B74" s="9" t="s">
        <v>18</v>
      </c>
      <c r="C74" s="15">
        <f>AVERAGE(5.5,6.5)</f>
      </c>
      <c r="D74" s="14">
        <f>AVERAGE(6,10)</f>
      </c>
      <c r="E74" s="16" t="s">
        <v>23</v>
      </c>
      <c r="F74" s="16" t="s">
        <v>23</v>
      </c>
      <c r="G74" s="9"/>
      <c r="H74" s="2"/>
      <c r="I74" s="2"/>
      <c r="J74" s="2"/>
      <c r="K74" s="2"/>
      <c r="L74" s="2"/>
      <c r="M74" s="2"/>
      <c r="N74" s="2"/>
    </row>
    <row x14ac:dyDescent="0.25" r="75" customHeight="1" ht="19.5" customFormat="1" s="7">
      <c r="A75" s="9"/>
      <c r="B75" s="9"/>
      <c r="C75" s="23"/>
      <c r="D75" s="23"/>
      <c r="E75" s="23"/>
      <c r="F75" s="24"/>
      <c r="G75" s="9"/>
      <c r="H75" s="2"/>
      <c r="I75" s="2"/>
      <c r="J75" s="2"/>
      <c r="K75" s="2"/>
      <c r="L75" s="2"/>
      <c r="M75" s="2"/>
      <c r="N75" s="2"/>
    </row>
    <row x14ac:dyDescent="0.25" r="76" customHeight="1" ht="19.5" customFormat="1" s="7">
      <c r="A76" s="9" t="s">
        <v>121</v>
      </c>
      <c r="B76" s="9" t="s">
        <v>18</v>
      </c>
      <c r="C76" s="14">
        <f>AVERAGE(0.2,0.25)</f>
      </c>
      <c r="D76" s="14">
        <f>AVERAGE(127,178)</f>
      </c>
      <c r="E76" s="15">
        <f>AVERAGE(18,20)</f>
      </c>
      <c r="F76" s="16" t="s">
        <v>23</v>
      </c>
      <c r="G76" s="9"/>
      <c r="H76" s="2"/>
      <c r="I76" s="2"/>
      <c r="J76" s="2"/>
      <c r="K76" s="2"/>
      <c r="L76" s="2"/>
      <c r="M76" s="2"/>
      <c r="N76" s="2"/>
    </row>
    <row x14ac:dyDescent="0.25" r="77" customHeight="1" ht="19.5" customFormat="1" s="7">
      <c r="A77" s="9"/>
      <c r="B77" s="9"/>
      <c r="C77" s="23"/>
      <c r="D77" s="23"/>
      <c r="E77" s="23"/>
      <c r="F77" s="24"/>
      <c r="G77" s="9"/>
      <c r="H77" s="2"/>
      <c r="I77" s="2"/>
      <c r="J77" s="2"/>
      <c r="K77" s="2"/>
      <c r="L77" s="2"/>
      <c r="M77" s="2"/>
      <c r="N77" s="2"/>
    </row>
    <row x14ac:dyDescent="0.25" r="78" customHeight="1" ht="19.5" customFormat="1" s="7">
      <c r="A78" s="9" t="s">
        <v>122</v>
      </c>
      <c r="B78" s="9" t="s">
        <v>18</v>
      </c>
      <c r="C78" s="14">
        <v>2.6</v>
      </c>
      <c r="D78" s="15">
        <v>19</v>
      </c>
      <c r="E78" s="16" t="s">
        <v>23</v>
      </c>
      <c r="F78" s="16" t="s">
        <v>23</v>
      </c>
      <c r="G78" s="9"/>
      <c r="H78" s="2"/>
      <c r="I78" s="2"/>
      <c r="J78" s="2"/>
      <c r="K78" s="2"/>
      <c r="L78" s="2"/>
      <c r="M78" s="2"/>
      <c r="N78" s="2"/>
    </row>
    <row x14ac:dyDescent="0.25" r="79" customHeight="1" ht="19.5" customFormat="1" s="7">
      <c r="A79" s="9"/>
      <c r="B79" s="9"/>
      <c r="C79" s="23"/>
      <c r="D79" s="23"/>
      <c r="E79" s="23"/>
      <c r="F79" s="24"/>
      <c r="G79" s="9"/>
      <c r="H79" s="2"/>
      <c r="I79" s="2"/>
      <c r="J79" s="2"/>
      <c r="K79" s="2"/>
      <c r="L79" s="2"/>
      <c r="M79" s="2"/>
      <c r="N79" s="2"/>
    </row>
    <row x14ac:dyDescent="0.25" r="80" customHeight="1" ht="19.5" customFormat="1" s="7">
      <c r="A80" s="9" t="s">
        <v>123</v>
      </c>
      <c r="B80" s="9" t="s">
        <v>18</v>
      </c>
      <c r="C80" s="14">
        <f>AVERAGE(0.6,1.3)</f>
      </c>
      <c r="D80" s="15">
        <f>AVERAGE(34,80)</f>
      </c>
      <c r="E80" s="16" t="s">
        <v>23</v>
      </c>
      <c r="F80" s="16" t="s">
        <v>23</v>
      </c>
      <c r="G80" s="9"/>
      <c r="H80" s="2"/>
      <c r="I80" s="2"/>
      <c r="J80" s="2"/>
      <c r="K80" s="2"/>
      <c r="L80" s="2"/>
      <c r="M80" s="2"/>
      <c r="N80" s="2"/>
    </row>
    <row x14ac:dyDescent="0.25" r="81" customHeight="1" ht="19.5" customFormat="1" s="7">
      <c r="A81" s="9" t="s">
        <v>124</v>
      </c>
      <c r="B81" s="9"/>
      <c r="C81" s="23"/>
      <c r="D81" s="23"/>
      <c r="E81" s="23"/>
      <c r="F81" s="24"/>
      <c r="G81" s="9"/>
      <c r="H81" s="2"/>
      <c r="I81" s="2"/>
      <c r="J81" s="2"/>
      <c r="K81" s="2"/>
      <c r="L81" s="2"/>
      <c r="M81" s="2"/>
      <c r="N81" s="2"/>
    </row>
    <row x14ac:dyDescent="0.25" r="82" customHeight="1" ht="19.5" customFormat="1" s="7">
      <c r="A82" s="9"/>
      <c r="B82" s="9"/>
      <c r="C82" s="23"/>
      <c r="D82" s="23"/>
      <c r="E82" s="23"/>
      <c r="F82" s="24"/>
      <c r="G82" s="9"/>
      <c r="H82" s="2"/>
      <c r="I82" s="2"/>
      <c r="J82" s="2"/>
      <c r="K82" s="2"/>
      <c r="L82" s="2"/>
      <c r="M82" s="2"/>
      <c r="N82" s="2"/>
    </row>
    <row x14ac:dyDescent="0.25" r="83" customHeight="1" ht="19.5" customFormat="1" s="7">
      <c r="A83" s="18" t="s">
        <v>125</v>
      </c>
      <c r="B83" s="18" t="s">
        <v>26</v>
      </c>
      <c r="C83" s="19" t="s">
        <v>126</v>
      </c>
      <c r="D83" s="20" t="s">
        <v>127</v>
      </c>
      <c r="E83" s="19" t="s">
        <v>128</v>
      </c>
      <c r="F83" s="19" t="s">
        <v>129</v>
      </c>
      <c r="G83" s="9"/>
      <c r="H83" s="2"/>
      <c r="I83" s="2"/>
      <c r="J83" s="2"/>
      <c r="K83" s="2"/>
      <c r="L83" s="2"/>
      <c r="M83" s="2"/>
      <c r="N83" s="2"/>
    </row>
    <row x14ac:dyDescent="0.25" r="84" customHeight="1" ht="19.5" customFormat="1" s="7">
      <c r="A84" s="9" t="s">
        <v>130</v>
      </c>
      <c r="B84" s="9" t="s">
        <v>18</v>
      </c>
      <c r="C84" s="14">
        <v>5.6</v>
      </c>
      <c r="D84" s="15">
        <v>6</v>
      </c>
      <c r="E84" s="15">
        <f>AVERAGE(72,84)</f>
      </c>
      <c r="F84" s="16" t="s">
        <v>23</v>
      </c>
      <c r="G84" s="9"/>
      <c r="H84" s="2"/>
      <c r="I84" s="2"/>
      <c r="J84" s="2"/>
      <c r="K84" s="2"/>
      <c r="L84" s="2"/>
      <c r="M84" s="2"/>
      <c r="N84" s="2"/>
    </row>
    <row x14ac:dyDescent="0.25" r="85" customHeight="1" ht="19.5" customFormat="1" s="7">
      <c r="A85" s="9" t="s">
        <v>131</v>
      </c>
      <c r="B85" s="9" t="s">
        <v>18</v>
      </c>
      <c r="C85" s="14">
        <v>1.9</v>
      </c>
      <c r="D85" s="15">
        <v>16</v>
      </c>
      <c r="E85" s="15">
        <f>AVERAGE(72,84)</f>
      </c>
      <c r="F85" s="16" t="s">
        <v>23</v>
      </c>
      <c r="G85" s="9"/>
      <c r="H85" s="2"/>
      <c r="I85" s="2"/>
      <c r="J85" s="2"/>
      <c r="K85" s="2"/>
      <c r="L85" s="2"/>
      <c r="M85" s="2"/>
      <c r="N85" s="2"/>
    </row>
    <row x14ac:dyDescent="0.25" r="86" customHeight="1" ht="19.5" customFormat="1" s="7">
      <c r="A86" s="9"/>
      <c r="B86" s="9"/>
      <c r="C86" s="23"/>
      <c r="D86" s="23"/>
      <c r="E86" s="23"/>
      <c r="F86" s="24"/>
      <c r="G86" s="9"/>
      <c r="H86" s="2"/>
      <c r="I86" s="2"/>
      <c r="J86" s="2"/>
      <c r="K86" s="2"/>
      <c r="L86" s="2"/>
      <c r="M86" s="2"/>
      <c r="N86" s="2"/>
    </row>
    <row x14ac:dyDescent="0.25" r="87" customHeight="1" ht="19.5" customFormat="1" s="7">
      <c r="A87" s="9"/>
      <c r="B87" s="9"/>
      <c r="C87" s="23"/>
      <c r="D87" s="23"/>
      <c r="E87" s="23"/>
      <c r="F87" s="24"/>
      <c r="G87" s="9"/>
      <c r="H87" s="2"/>
      <c r="I87" s="2"/>
      <c r="J87" s="2"/>
      <c r="K87" s="2"/>
      <c r="L87" s="2"/>
      <c r="M87" s="2"/>
      <c r="N87" s="2"/>
    </row>
    <row x14ac:dyDescent="0.25" r="88" customHeight="1" ht="19.5" customFormat="1" s="7">
      <c r="A88" s="11" t="s">
        <v>132</v>
      </c>
      <c r="B88" s="11"/>
      <c r="C88" s="12"/>
      <c r="D88" s="12"/>
      <c r="E88" s="12"/>
      <c r="F88" s="13"/>
      <c r="G88" s="11"/>
      <c r="H88" s="2"/>
      <c r="I88" s="2"/>
      <c r="J88" s="2"/>
      <c r="K88" s="2"/>
      <c r="L88" s="2"/>
      <c r="M88" s="2"/>
      <c r="N88" s="2"/>
    </row>
    <row x14ac:dyDescent="0.25" r="89" customHeight="1" ht="19.5" customFormat="1" s="7">
      <c r="A89" s="9" t="s">
        <v>133</v>
      </c>
      <c r="B89" s="9" t="s">
        <v>18</v>
      </c>
      <c r="C89" s="14">
        <f>AVERAGE(1.2,1.4)</f>
      </c>
      <c r="D89" s="14">
        <f>AVERAGE(38,43)</f>
      </c>
      <c r="E89" s="14">
        <f>AVERAGE(65,68)</f>
      </c>
      <c r="F89" s="16" t="s">
        <v>23</v>
      </c>
      <c r="G89" s="9"/>
      <c r="H89" s="2"/>
      <c r="I89" s="2"/>
      <c r="J89" s="2"/>
      <c r="K89" s="2"/>
      <c r="L89" s="2"/>
      <c r="M89" s="2"/>
      <c r="N89" s="2"/>
    </row>
    <row x14ac:dyDescent="0.25" r="90" customHeight="1" ht="19.5" customFormat="1" s="7">
      <c r="A90" s="9"/>
      <c r="B90" s="9"/>
      <c r="C90" s="23"/>
      <c r="D90" s="23"/>
      <c r="E90" s="23"/>
      <c r="F90" s="24"/>
      <c r="G90" s="9"/>
      <c r="H90" s="2"/>
      <c r="I90" s="2"/>
      <c r="J90" s="2"/>
      <c r="K90" s="2"/>
      <c r="L90" s="2"/>
      <c r="M90" s="2"/>
      <c r="N90" s="2"/>
    </row>
    <row x14ac:dyDescent="0.25" r="91" customHeight="1" ht="19.5" customFormat="1" s="7">
      <c r="A91" s="18" t="s">
        <v>134</v>
      </c>
      <c r="B91" s="18" t="s">
        <v>26</v>
      </c>
      <c r="C91" s="19" t="s">
        <v>135</v>
      </c>
      <c r="D91" s="20" t="s">
        <v>136</v>
      </c>
      <c r="E91" s="19" t="s">
        <v>137</v>
      </c>
      <c r="F91" s="16" t="s">
        <v>23</v>
      </c>
      <c r="G91" s="9"/>
      <c r="H91" s="2"/>
      <c r="I91" s="2"/>
      <c r="J91" s="2"/>
      <c r="K91" s="2"/>
      <c r="L91" s="2"/>
      <c r="M91" s="2"/>
      <c r="N91" s="2"/>
    </row>
    <row x14ac:dyDescent="0.25" r="92" customHeight="1" ht="19.5" customFormat="1" s="7">
      <c r="A92" s="9" t="s">
        <v>138</v>
      </c>
      <c r="B92" s="9" t="s">
        <v>31</v>
      </c>
      <c r="C92" s="14">
        <v>2.1</v>
      </c>
      <c r="D92" s="14">
        <f>AVERAGE(15,32)</f>
      </c>
      <c r="E92" s="15">
        <f>AVERAGE(8,10)</f>
      </c>
      <c r="F92" s="16" t="s">
        <v>23</v>
      </c>
      <c r="G92" s="9"/>
      <c r="H92" s="2"/>
      <c r="I92" s="2"/>
      <c r="J92" s="2"/>
      <c r="K92" s="2"/>
      <c r="L92" s="2"/>
      <c r="M92" s="2"/>
      <c r="N92" s="2"/>
    </row>
    <row x14ac:dyDescent="0.25" r="93" customHeight="1" ht="19.5" customFormat="1" s="7">
      <c r="A93" s="9"/>
      <c r="B93" s="9"/>
      <c r="C93" s="23"/>
      <c r="D93" s="23"/>
      <c r="E93" s="23"/>
      <c r="F93" s="24"/>
      <c r="G93" s="9"/>
      <c r="H93" s="2"/>
      <c r="I93" s="2"/>
      <c r="J93" s="2"/>
      <c r="K93" s="2"/>
      <c r="L93" s="2"/>
      <c r="M93" s="2"/>
      <c r="N93" s="2"/>
    </row>
    <row x14ac:dyDescent="0.25" r="94" customHeight="1" ht="19.5" customFormat="1" s="7">
      <c r="A94" s="18" t="s">
        <v>139</v>
      </c>
      <c r="B94" s="18" t="s">
        <v>26</v>
      </c>
      <c r="C94" s="19" t="s">
        <v>140</v>
      </c>
      <c r="D94" s="20" t="s">
        <v>141</v>
      </c>
      <c r="E94" s="19" t="s">
        <v>23</v>
      </c>
      <c r="F94" s="19" t="s">
        <v>23</v>
      </c>
      <c r="G94" s="9"/>
      <c r="H94" s="2"/>
      <c r="I94" s="2"/>
      <c r="J94" s="2"/>
      <c r="K94" s="2"/>
      <c r="L94" s="2"/>
      <c r="M94" s="2"/>
      <c r="N94" s="2"/>
    </row>
    <row x14ac:dyDescent="0.25" r="95" customHeight="1" ht="19.5" customFormat="1" s="7">
      <c r="A95" s="9" t="s">
        <v>142</v>
      </c>
      <c r="B95" s="9" t="s">
        <v>31</v>
      </c>
      <c r="C95" s="14">
        <v>2.5</v>
      </c>
      <c r="D95" s="15">
        <v>16</v>
      </c>
      <c r="E95" s="15">
        <v>0</v>
      </c>
      <c r="F95" s="16" t="s">
        <v>23</v>
      </c>
      <c r="G95" s="9"/>
      <c r="H95" s="2"/>
      <c r="I95" s="2"/>
      <c r="J95" s="2"/>
      <c r="K95" s="2"/>
      <c r="L95" s="2"/>
      <c r="M95" s="2"/>
      <c r="N95" s="2"/>
    </row>
    <row x14ac:dyDescent="0.25" r="96" customHeight="1" ht="19.5" customFormat="1" s="7">
      <c r="A96" s="9"/>
      <c r="B96" s="9"/>
      <c r="C96" s="23"/>
      <c r="D96" s="23"/>
      <c r="E96" s="23"/>
      <c r="F96" s="24"/>
      <c r="G96" s="9"/>
      <c r="H96" s="2"/>
      <c r="I96" s="2"/>
      <c r="J96" s="2"/>
      <c r="K96" s="2"/>
      <c r="L96" s="2"/>
      <c r="M96" s="2"/>
      <c r="N96" s="2"/>
    </row>
    <row x14ac:dyDescent="0.25" r="97" customHeight="1" ht="19.5" customFormat="1" s="7">
      <c r="A97" s="18" t="s">
        <v>143</v>
      </c>
      <c r="B97" s="18" t="s">
        <v>26</v>
      </c>
      <c r="C97" s="19" t="s">
        <v>144</v>
      </c>
      <c r="D97" s="20" t="s">
        <v>23</v>
      </c>
      <c r="E97" s="19" t="s">
        <v>23</v>
      </c>
      <c r="F97" s="19" t="s">
        <v>23</v>
      </c>
      <c r="G97" s="9"/>
      <c r="H97" s="2"/>
      <c r="I97" s="2"/>
      <c r="J97" s="2"/>
      <c r="K97" s="2"/>
      <c r="L97" s="2"/>
      <c r="M97" s="2"/>
      <c r="N97" s="2"/>
    </row>
    <row x14ac:dyDescent="0.25" r="98" customHeight="1" ht="19.5" customFormat="1" s="7">
      <c r="A98" s="9" t="s">
        <v>145</v>
      </c>
      <c r="B98" s="9" t="s">
        <v>31</v>
      </c>
      <c r="C98" s="14">
        <v>1.3</v>
      </c>
      <c r="D98" s="15">
        <v>32</v>
      </c>
      <c r="E98" s="15">
        <v>0</v>
      </c>
      <c r="F98" s="16" t="s">
        <v>23</v>
      </c>
      <c r="G98" s="9"/>
      <c r="H98" s="2"/>
      <c r="I98" s="2"/>
      <c r="J98" s="2"/>
      <c r="K98" s="2"/>
      <c r="L98" s="2"/>
      <c r="M98" s="2"/>
      <c r="N98" s="2"/>
    </row>
    <row x14ac:dyDescent="0.25" r="99" customHeight="1" ht="19.5" customFormat="1" s="7">
      <c r="A99" s="9"/>
      <c r="B99" s="9"/>
      <c r="C99" s="23"/>
      <c r="D99" s="23"/>
      <c r="E99" s="23"/>
      <c r="F99" s="24"/>
      <c r="G99" s="9"/>
      <c r="H99" s="2"/>
      <c r="I99" s="2"/>
      <c r="J99" s="2"/>
      <c r="K99" s="2"/>
      <c r="L99" s="2"/>
      <c r="M99" s="2"/>
      <c r="N99" s="2"/>
    </row>
    <row x14ac:dyDescent="0.25" r="100" customHeight="1" ht="19.5" customFormat="1" s="7">
      <c r="A100" s="18" t="s">
        <v>146</v>
      </c>
      <c r="B100" s="18" t="s">
        <v>26</v>
      </c>
      <c r="C100" s="19" t="s">
        <v>147</v>
      </c>
      <c r="D100" s="20" t="s">
        <v>148</v>
      </c>
      <c r="E100" s="19" t="s">
        <v>149</v>
      </c>
      <c r="F100" s="19" t="s">
        <v>150</v>
      </c>
      <c r="G100" s="9"/>
      <c r="H100" s="2"/>
      <c r="I100" s="2"/>
      <c r="J100" s="2"/>
      <c r="K100" s="2"/>
      <c r="L100" s="2"/>
      <c r="M100" s="2"/>
      <c r="N100" s="2"/>
    </row>
    <row x14ac:dyDescent="0.25" r="101" customHeight="1" ht="19.5" customFormat="1" s="7">
      <c r="A101" s="9" t="s">
        <v>151</v>
      </c>
      <c r="B101" s="9" t="s">
        <v>31</v>
      </c>
      <c r="C101" s="14">
        <v>0.7</v>
      </c>
      <c r="D101" s="15">
        <v>80</v>
      </c>
      <c r="E101" s="15">
        <v>12</v>
      </c>
      <c r="F101" s="15">
        <v>227</v>
      </c>
      <c r="G101" s="9"/>
      <c r="H101" s="2"/>
      <c r="I101" s="2"/>
      <c r="J101" s="2"/>
      <c r="K101" s="2"/>
      <c r="L101" s="2"/>
      <c r="M101" s="2"/>
      <c r="N101" s="2"/>
    </row>
    <row x14ac:dyDescent="0.25" r="102" customHeight="1" ht="19.5" customFormat="1" s="7">
      <c r="A102" s="9"/>
      <c r="B102" s="9"/>
      <c r="C102" s="23"/>
      <c r="D102" s="23"/>
      <c r="E102" s="23"/>
      <c r="F102" s="24"/>
      <c r="G102" s="9"/>
      <c r="H102" s="2"/>
      <c r="I102" s="2"/>
      <c r="J102" s="2"/>
      <c r="K102" s="2"/>
      <c r="L102" s="2"/>
      <c r="M102" s="2"/>
      <c r="N102" s="2"/>
    </row>
    <row x14ac:dyDescent="0.25" r="103" customHeight="1" ht="19.5" customFormat="1" s="7">
      <c r="A103" s="18" t="s">
        <v>152</v>
      </c>
      <c r="B103" s="18" t="s">
        <v>26</v>
      </c>
      <c r="C103" s="19" t="s">
        <v>153</v>
      </c>
      <c r="D103" s="20" t="s">
        <v>154</v>
      </c>
      <c r="E103" s="19" t="s">
        <v>23</v>
      </c>
      <c r="F103" s="19" t="s">
        <v>23</v>
      </c>
      <c r="G103" s="9"/>
      <c r="H103" s="2"/>
      <c r="I103" s="2"/>
      <c r="J103" s="2"/>
      <c r="K103" s="2"/>
      <c r="L103" s="2"/>
      <c r="M103" s="2"/>
      <c r="N103" s="2"/>
    </row>
    <row x14ac:dyDescent="0.25" r="104" customHeight="1" ht="19.5" customFormat="1" s="7">
      <c r="A104" s="9" t="s">
        <v>155</v>
      </c>
      <c r="B104" s="9" t="s">
        <v>31</v>
      </c>
      <c r="C104" s="14">
        <v>0.9</v>
      </c>
      <c r="D104" s="15">
        <v>60</v>
      </c>
      <c r="E104" s="15">
        <v>0</v>
      </c>
      <c r="F104" s="15">
        <v>227</v>
      </c>
      <c r="G104" s="9"/>
      <c r="H104" s="2"/>
      <c r="I104" s="2"/>
      <c r="J104" s="2"/>
      <c r="K104" s="2"/>
      <c r="L104" s="2"/>
      <c r="M104" s="2"/>
      <c r="N104" s="2"/>
    </row>
    <row x14ac:dyDescent="0.25" r="105" customHeight="1" ht="19.5" customFormat="1" s="7">
      <c r="A105" s="9"/>
      <c r="B105" s="9"/>
      <c r="C105" s="23"/>
      <c r="D105" s="23"/>
      <c r="E105" s="23"/>
      <c r="F105" s="24"/>
      <c r="G105" s="9"/>
      <c r="H105" s="2"/>
      <c r="I105" s="2"/>
      <c r="J105" s="2"/>
      <c r="K105" s="2"/>
      <c r="L105" s="2"/>
      <c r="M105" s="2"/>
      <c r="N105" s="2"/>
    </row>
    <row x14ac:dyDescent="0.25" r="106" customHeight="1" ht="19.5" customFormat="1" s="7">
      <c r="A106" s="18" t="s">
        <v>156</v>
      </c>
      <c r="B106" s="18" t="s">
        <v>26</v>
      </c>
      <c r="C106" s="19" t="s">
        <v>157</v>
      </c>
      <c r="D106" s="20" t="s">
        <v>158</v>
      </c>
      <c r="E106" s="19" t="s">
        <v>23</v>
      </c>
      <c r="F106" s="19" t="s">
        <v>23</v>
      </c>
      <c r="G106" s="9"/>
      <c r="H106" s="2"/>
      <c r="I106" s="2"/>
      <c r="J106" s="2"/>
      <c r="K106" s="2"/>
      <c r="L106" s="2"/>
      <c r="M106" s="2"/>
      <c r="N106" s="2"/>
    </row>
    <row x14ac:dyDescent="0.25" r="107" customHeight="1" ht="19.5" customFormat="1" s="7">
      <c r="A107" s="9" t="s">
        <v>159</v>
      </c>
      <c r="B107" s="9" t="s">
        <v>31</v>
      </c>
      <c r="C107" s="14">
        <v>0.4</v>
      </c>
      <c r="D107" s="15">
        <v>127</v>
      </c>
      <c r="E107" s="15">
        <v>0</v>
      </c>
      <c r="F107" s="15">
        <v>227</v>
      </c>
      <c r="G107" s="9"/>
      <c r="H107" s="2"/>
      <c r="I107" s="2"/>
      <c r="J107" s="2"/>
      <c r="K107" s="2"/>
      <c r="L107" s="2"/>
      <c r="M107" s="2"/>
      <c r="N107" s="2"/>
    </row>
    <row x14ac:dyDescent="0.25" r="108" customHeight="1" ht="19.5" customFormat="1" s="7">
      <c r="A108" s="9"/>
      <c r="B108" s="9"/>
      <c r="C108" s="23"/>
      <c r="D108" s="23"/>
      <c r="E108" s="23"/>
      <c r="F108" s="24"/>
      <c r="G108" s="9"/>
      <c r="H108" s="2"/>
      <c r="I108" s="2"/>
      <c r="J108" s="2"/>
      <c r="K108" s="2"/>
      <c r="L108" s="2"/>
      <c r="M108" s="2"/>
      <c r="N108" s="2"/>
    </row>
    <row x14ac:dyDescent="0.25" r="109" customHeight="1" ht="19.5" customFormat="1" s="7">
      <c r="A109" s="11" t="s">
        <v>160</v>
      </c>
      <c r="B109" s="11"/>
      <c r="C109" s="12"/>
      <c r="D109" s="12"/>
      <c r="E109" s="12"/>
      <c r="F109" s="13"/>
      <c r="G109" s="11"/>
      <c r="H109" s="2"/>
      <c r="I109" s="2"/>
      <c r="J109" s="2"/>
      <c r="K109" s="2"/>
      <c r="L109" s="2"/>
      <c r="M109" s="2"/>
      <c r="N109" s="2"/>
    </row>
    <row x14ac:dyDescent="0.25" r="110" customHeight="1" ht="19.5" customFormat="1" s="7">
      <c r="A110" s="18" t="s">
        <v>161</v>
      </c>
      <c r="B110" s="18" t="s">
        <v>26</v>
      </c>
      <c r="C110" s="19" t="s">
        <v>162</v>
      </c>
      <c r="D110" s="20" t="s">
        <v>163</v>
      </c>
      <c r="E110" s="19" t="s">
        <v>23</v>
      </c>
      <c r="F110" s="19" t="s">
        <v>23</v>
      </c>
      <c r="G110" s="9"/>
      <c r="H110" s="2"/>
      <c r="I110" s="2"/>
      <c r="J110" s="2"/>
      <c r="K110" s="2"/>
      <c r="L110" s="2"/>
      <c r="M110" s="2"/>
      <c r="N110" s="2"/>
    </row>
    <row x14ac:dyDescent="0.25" r="111" customHeight="1" ht="19.5" customFormat="1" s="7">
      <c r="A111" s="9" t="s">
        <v>164</v>
      </c>
      <c r="B111" s="9" t="s">
        <v>31</v>
      </c>
      <c r="C111" s="14">
        <v>0.241</v>
      </c>
      <c r="D111" s="15">
        <v>223</v>
      </c>
      <c r="E111" s="15">
        <v>0</v>
      </c>
      <c r="F111" s="16" t="s">
        <v>23</v>
      </c>
      <c r="G111" s="9"/>
      <c r="H111" s="2"/>
      <c r="I111" s="2"/>
      <c r="J111" s="2"/>
      <c r="K111" s="2"/>
      <c r="L111" s="2"/>
      <c r="M111" s="2"/>
      <c r="N111" s="2"/>
    </row>
    <row x14ac:dyDescent="0.25" r="112" customHeight="1" ht="19.5" customFormat="1" s="7">
      <c r="A112" s="18" t="s">
        <v>165</v>
      </c>
      <c r="B112" s="18" t="s">
        <v>26</v>
      </c>
      <c r="C112" s="19" t="s">
        <v>166</v>
      </c>
      <c r="D112" s="20" t="s">
        <v>167</v>
      </c>
      <c r="E112" s="19" t="s">
        <v>23</v>
      </c>
      <c r="F112" s="19" t="s">
        <v>23</v>
      </c>
      <c r="G112" s="9"/>
      <c r="H112" s="2"/>
      <c r="I112" s="2"/>
      <c r="J112" s="2"/>
      <c r="K112" s="2"/>
      <c r="L112" s="2"/>
      <c r="M112" s="2"/>
      <c r="N112" s="2"/>
    </row>
    <row x14ac:dyDescent="0.25" r="113" customHeight="1" ht="19.5" customFormat="1" s="7">
      <c r="A113" s="9" t="s">
        <v>168</v>
      </c>
      <c r="B113" s="9" t="s">
        <v>31</v>
      </c>
      <c r="C113" s="14">
        <v>0.14</v>
      </c>
      <c r="D113" s="15">
        <v>496</v>
      </c>
      <c r="E113" s="15">
        <v>0</v>
      </c>
      <c r="F113" s="16" t="s">
        <v>23</v>
      </c>
      <c r="G113" s="9"/>
      <c r="H113" s="2"/>
      <c r="I113" s="2"/>
      <c r="J113" s="2"/>
      <c r="K113" s="2"/>
      <c r="L113" s="2"/>
      <c r="M113" s="2"/>
      <c r="N113" s="2"/>
    </row>
    <row x14ac:dyDescent="0.25" r="114" customHeight="1" ht="19.5" customFormat="1" s="7">
      <c r="A114" s="9" t="s">
        <v>169</v>
      </c>
      <c r="B114" s="9" t="s">
        <v>18</v>
      </c>
      <c r="C114" s="14">
        <v>0.1</v>
      </c>
      <c r="D114" s="15">
        <v>563</v>
      </c>
      <c r="E114" s="15">
        <v>8</v>
      </c>
      <c r="F114" s="15">
        <v>259</v>
      </c>
      <c r="G114" s="9"/>
      <c r="H114" s="2"/>
      <c r="I114" s="2"/>
      <c r="J114" s="2"/>
      <c r="K114" s="2"/>
      <c r="L114" s="2"/>
      <c r="M114" s="2"/>
      <c r="N114" s="2"/>
    </row>
    <row x14ac:dyDescent="0.25" r="115" customHeight="1" ht="19.5" customFormat="1" s="7">
      <c r="A115" s="9" t="s">
        <v>170</v>
      </c>
      <c r="B115" s="9" t="s">
        <v>18</v>
      </c>
      <c r="C115" s="14">
        <v>0.13</v>
      </c>
      <c r="D115" s="15">
        <v>170</v>
      </c>
      <c r="E115" s="15">
        <v>0</v>
      </c>
      <c r="F115" s="16" t="s">
        <v>23</v>
      </c>
      <c r="G115" s="9"/>
      <c r="H115" s="2"/>
      <c r="I115" s="2"/>
      <c r="J115" s="2"/>
      <c r="K115" s="2"/>
      <c r="L115" s="2"/>
      <c r="M115" s="2"/>
      <c r="N115" s="2"/>
    </row>
    <row x14ac:dyDescent="0.25" r="116" customHeight="1" ht="19.5" customFormat="1" s="7">
      <c r="A116" s="9" t="s">
        <v>171</v>
      </c>
      <c r="B116" s="9" t="s">
        <v>18</v>
      </c>
      <c r="C116" s="14">
        <f>AVERAGE(0.06,0.14)</f>
      </c>
      <c r="D116" s="15">
        <f>AVERAGE(398,852)</f>
      </c>
      <c r="E116" s="14">
        <f>AVERAGE(3,8)</f>
      </c>
      <c r="F116" s="14">
        <f>AVERAGE(195,242)</f>
      </c>
      <c r="G116" s="9"/>
      <c r="H116" s="2"/>
      <c r="I116" s="2"/>
      <c r="J116" s="2"/>
      <c r="K116" s="2"/>
      <c r="L116" s="2"/>
      <c r="M116" s="2"/>
      <c r="N116" s="2"/>
    </row>
    <row x14ac:dyDescent="0.25" r="117" customHeight="1" ht="19.5" customFormat="1" s="7">
      <c r="A117" s="9" t="s">
        <v>172</v>
      </c>
      <c r="B117" s="9" t="s">
        <v>18</v>
      </c>
      <c r="C117" s="16" t="s">
        <v>23</v>
      </c>
      <c r="D117" s="15">
        <v>250</v>
      </c>
      <c r="E117" s="15">
        <v>66</v>
      </c>
      <c r="F117" s="15">
        <v>1140</v>
      </c>
      <c r="G117" s="9"/>
      <c r="H117" s="2"/>
      <c r="I117" s="2"/>
      <c r="J117" s="2"/>
      <c r="K117" s="2"/>
      <c r="L117" s="2"/>
      <c r="M117" s="2"/>
      <c r="N117" s="2"/>
    </row>
    <row x14ac:dyDescent="0.25" r="118" customHeight="1" ht="19.5" customFormat="1" s="7">
      <c r="A118" s="9" t="s">
        <v>173</v>
      </c>
      <c r="B118" s="9" t="s">
        <v>18</v>
      </c>
      <c r="C118" s="14">
        <v>0.56</v>
      </c>
      <c r="D118" s="15">
        <v>54</v>
      </c>
      <c r="E118" s="15">
        <v>81</v>
      </c>
      <c r="F118" s="16" t="s">
        <v>23</v>
      </c>
      <c r="G118" s="9"/>
      <c r="H118" s="2"/>
      <c r="I118" s="2"/>
      <c r="J118" s="2"/>
      <c r="K118" s="2"/>
      <c r="L118" s="2"/>
      <c r="M118" s="2"/>
      <c r="N118" s="2"/>
    </row>
    <row x14ac:dyDescent="0.25" r="119" customHeight="1" ht="19.5" customFormat="1" s="7">
      <c r="A119" s="9" t="s">
        <v>174</v>
      </c>
      <c r="B119" s="9" t="s">
        <v>18</v>
      </c>
      <c r="C119" s="14">
        <v>0.59</v>
      </c>
      <c r="D119" s="15">
        <v>90</v>
      </c>
      <c r="E119" s="15">
        <v>82</v>
      </c>
      <c r="F119" s="15">
        <v>1403</v>
      </c>
      <c r="G119" s="9"/>
      <c r="H119" s="2"/>
      <c r="I119" s="2"/>
      <c r="J119" s="2"/>
      <c r="K119" s="2"/>
      <c r="L119" s="2"/>
      <c r="M119" s="2"/>
      <c r="N119" s="2"/>
    </row>
    <row x14ac:dyDescent="0.25" r="120" customHeight="1" ht="19.5" customFormat="1" s="7">
      <c r="A120" s="18" t="s">
        <v>175</v>
      </c>
      <c r="B120" s="18" t="s">
        <v>26</v>
      </c>
      <c r="C120" s="19" t="s">
        <v>176</v>
      </c>
      <c r="D120" s="20" t="s">
        <v>177</v>
      </c>
      <c r="E120" s="19" t="s">
        <v>178</v>
      </c>
      <c r="F120" s="19" t="s">
        <v>179</v>
      </c>
      <c r="G120" s="9"/>
      <c r="H120" s="2"/>
      <c r="I120" s="2"/>
      <c r="J120" s="2"/>
      <c r="K120" s="2"/>
      <c r="L120" s="2"/>
      <c r="M120" s="2"/>
      <c r="N120" s="2"/>
    </row>
    <row x14ac:dyDescent="0.25" r="121" customHeight="1" ht="19.5" customFormat="1" s="7">
      <c r="A121" s="9" t="s">
        <v>180</v>
      </c>
      <c r="B121" s="9" t="s">
        <v>31</v>
      </c>
      <c r="C121" s="14">
        <v>0.24</v>
      </c>
      <c r="D121" s="15">
        <v>442</v>
      </c>
      <c r="E121" s="15">
        <v>39</v>
      </c>
      <c r="F121" s="15">
        <v>410</v>
      </c>
      <c r="G121" s="9"/>
      <c r="H121" s="2"/>
      <c r="I121" s="2"/>
      <c r="J121" s="2"/>
      <c r="K121" s="2"/>
      <c r="L121" s="2"/>
      <c r="M121" s="2"/>
      <c r="N121" s="2"/>
    </row>
    <row x14ac:dyDescent="0.25" r="122" customHeight="1" ht="19.5" customFormat="1" s="7">
      <c r="A122" s="9" t="s">
        <v>181</v>
      </c>
      <c r="B122" s="9" t="s">
        <v>18</v>
      </c>
      <c r="C122" s="14">
        <v>0.7</v>
      </c>
      <c r="D122" s="15">
        <v>772</v>
      </c>
      <c r="E122" s="15">
        <v>6</v>
      </c>
      <c r="F122" s="15">
        <v>250</v>
      </c>
      <c r="G122" s="9"/>
      <c r="H122" s="2"/>
      <c r="I122" s="2"/>
      <c r="J122" s="2"/>
      <c r="K122" s="2"/>
      <c r="L122" s="2"/>
      <c r="M122" s="2"/>
      <c r="N122" s="2"/>
    </row>
    <row x14ac:dyDescent="0.25" r="123" customHeight="1" ht="19.5" customFormat="1" s="7">
      <c r="A123" s="9" t="s">
        <v>182</v>
      </c>
      <c r="B123" s="9" t="s">
        <v>18</v>
      </c>
      <c r="C123" s="16" t="s">
        <v>23</v>
      </c>
      <c r="D123" s="23" t="s">
        <v>23</v>
      </c>
      <c r="E123" s="16" t="s">
        <v>23</v>
      </c>
      <c r="F123" s="14">
        <f>AVERAGE(445,620)</f>
      </c>
      <c r="G123" s="9"/>
      <c r="H123" s="2"/>
      <c r="I123" s="2"/>
      <c r="J123" s="2"/>
      <c r="K123" s="2"/>
      <c r="L123" s="2"/>
      <c r="M123" s="2"/>
      <c r="N123" s="2"/>
    </row>
    <row x14ac:dyDescent="0.25" r="124" customHeight="1" ht="19.5" customFormat="1" s="7">
      <c r="A124" s="18" t="s">
        <v>183</v>
      </c>
      <c r="B124" s="18" t="s">
        <v>26</v>
      </c>
      <c r="C124" s="19" t="s">
        <v>184</v>
      </c>
      <c r="D124" s="20" t="s">
        <v>185</v>
      </c>
      <c r="E124" s="19" t="s">
        <v>23</v>
      </c>
      <c r="F124" s="19" t="s">
        <v>23</v>
      </c>
      <c r="G124" s="9"/>
      <c r="H124" s="2"/>
      <c r="I124" s="2"/>
      <c r="J124" s="2"/>
      <c r="K124" s="2"/>
      <c r="L124" s="2"/>
      <c r="M124" s="2"/>
      <c r="N124" s="2"/>
    </row>
    <row x14ac:dyDescent="0.25" r="125" customHeight="1" ht="19.5" customFormat="1" s="7">
      <c r="A125" s="9" t="s">
        <v>186</v>
      </c>
      <c r="B125" s="9" t="s">
        <v>31</v>
      </c>
      <c r="C125" s="14">
        <v>0.09</v>
      </c>
      <c r="D125" s="15">
        <v>560</v>
      </c>
      <c r="E125" s="15">
        <v>0</v>
      </c>
      <c r="F125" s="14">
        <f>AVERAGE(445,620)</f>
      </c>
      <c r="G125" s="9"/>
      <c r="H125" s="2"/>
      <c r="I125" s="2"/>
      <c r="J125" s="2"/>
      <c r="K125" s="2"/>
      <c r="L125" s="2"/>
      <c r="M125" s="2"/>
      <c r="N125" s="2"/>
    </row>
    <row x14ac:dyDescent="0.25" r="126" customHeight="1" ht="19.5" customFormat="1" s="7">
      <c r="A126" s="9"/>
      <c r="B126" s="9"/>
      <c r="C126" s="23"/>
      <c r="D126" s="23"/>
      <c r="E126" s="23"/>
      <c r="F126" s="24"/>
      <c r="G126" s="9"/>
      <c r="H126" s="2"/>
      <c r="I126" s="2"/>
      <c r="J126" s="2"/>
      <c r="K126" s="2"/>
      <c r="L126" s="2"/>
      <c r="M126" s="2"/>
      <c r="N126" s="2"/>
    </row>
    <row x14ac:dyDescent="0.25" r="127" customHeight="1" ht="19.5" customFormat="1" s="7">
      <c r="A127" s="18" t="s">
        <v>187</v>
      </c>
      <c r="B127" s="18" t="s">
        <v>26</v>
      </c>
      <c r="C127" s="19" t="s">
        <v>188</v>
      </c>
      <c r="D127" s="20" t="s">
        <v>189</v>
      </c>
      <c r="E127" s="19" t="s">
        <v>23</v>
      </c>
      <c r="F127" s="19" t="s">
        <v>23</v>
      </c>
      <c r="G127" s="9"/>
      <c r="H127" s="2"/>
      <c r="I127" s="2"/>
      <c r="J127" s="2"/>
      <c r="K127" s="2"/>
      <c r="L127" s="2"/>
      <c r="M127" s="2"/>
      <c r="N127" s="2"/>
    </row>
    <row x14ac:dyDescent="0.25" r="128" customHeight="1" ht="19.5" customFormat="1" s="7">
      <c r="A128" s="9" t="s">
        <v>190</v>
      </c>
      <c r="B128" s="9" t="s">
        <v>31</v>
      </c>
      <c r="C128" s="14">
        <v>0.09</v>
      </c>
      <c r="D128" s="15">
        <v>641</v>
      </c>
      <c r="E128" s="15">
        <v>0</v>
      </c>
      <c r="F128" s="14">
        <f>AVERAGE(445,620)</f>
      </c>
      <c r="G128" s="9"/>
      <c r="H128" s="2"/>
      <c r="I128" s="2"/>
      <c r="J128" s="2"/>
      <c r="K128" s="2"/>
      <c r="L128" s="2"/>
      <c r="M128" s="2"/>
      <c r="N128" s="2"/>
    </row>
    <row x14ac:dyDescent="0.25" r="129" customHeight="1" ht="19.5" customFormat="1" s="7">
      <c r="A129" s="9"/>
      <c r="B129" s="9"/>
      <c r="C129" s="23"/>
      <c r="D129" s="23"/>
      <c r="E129" s="23"/>
      <c r="F129" s="24"/>
      <c r="G129" s="9"/>
      <c r="H129" s="2"/>
      <c r="I129" s="2"/>
      <c r="J129" s="2"/>
      <c r="K129" s="2"/>
      <c r="L129" s="2"/>
      <c r="M129" s="2"/>
      <c r="N129" s="2"/>
    </row>
    <row x14ac:dyDescent="0.25" r="130" customHeight="1" ht="19.5" customFormat="1" s="7">
      <c r="A130" s="11" t="s">
        <v>191</v>
      </c>
      <c r="B130" s="11"/>
      <c r="C130" s="12"/>
      <c r="D130" s="12"/>
      <c r="E130" s="12"/>
      <c r="F130" s="13"/>
      <c r="G130" s="11"/>
      <c r="H130" s="2"/>
      <c r="I130" s="2"/>
      <c r="J130" s="2"/>
      <c r="K130" s="2"/>
      <c r="L130" s="2"/>
      <c r="M130" s="2"/>
      <c r="N130" s="2"/>
    </row>
    <row x14ac:dyDescent="0.25" r="131" customHeight="1" ht="19.5" customFormat="1" s="7">
      <c r="A131" s="18" t="s">
        <v>192</v>
      </c>
      <c r="B131" s="18" t="s">
        <v>26</v>
      </c>
      <c r="C131" s="19" t="s">
        <v>193</v>
      </c>
      <c r="D131" s="20" t="s">
        <v>194</v>
      </c>
      <c r="E131" s="19" t="s">
        <v>23</v>
      </c>
      <c r="F131" s="19" t="s">
        <v>23</v>
      </c>
      <c r="G131" s="9"/>
      <c r="H131" s="2"/>
      <c r="I131" s="2"/>
      <c r="J131" s="2"/>
      <c r="K131" s="2"/>
      <c r="L131" s="2"/>
      <c r="M131" s="2"/>
      <c r="N131" s="2"/>
    </row>
    <row x14ac:dyDescent="0.25" r="132" customHeight="1" ht="19.5" customFormat="1" s="7">
      <c r="A132" s="9" t="s">
        <v>195</v>
      </c>
      <c r="B132" s="9" t="s">
        <v>31</v>
      </c>
      <c r="C132" s="14">
        <v>3.4</v>
      </c>
      <c r="D132" s="15">
        <v>17</v>
      </c>
      <c r="E132" s="15">
        <v>82</v>
      </c>
      <c r="F132" s="16" t="s">
        <v>23</v>
      </c>
      <c r="G132" s="9"/>
      <c r="H132" s="2"/>
      <c r="I132" s="2"/>
      <c r="J132" s="2"/>
      <c r="K132" s="2"/>
      <c r="L132" s="2"/>
      <c r="M132" s="2"/>
      <c r="N132" s="2"/>
    </row>
    <row x14ac:dyDescent="0.25" r="133" customHeight="1" ht="19.5" customFormat="1" s="7">
      <c r="A133" s="9" t="s">
        <v>196</v>
      </c>
      <c r="B133" s="9" t="s">
        <v>18</v>
      </c>
      <c r="C133" s="14">
        <v>3.4</v>
      </c>
      <c r="D133" s="15">
        <v>17</v>
      </c>
      <c r="E133" s="15">
        <v>82</v>
      </c>
      <c r="F133" s="15">
        <f>AVERAGE(300,400)</f>
      </c>
      <c r="G133" s="9"/>
      <c r="H133" s="2"/>
      <c r="I133" s="2"/>
      <c r="J133" s="2"/>
      <c r="K133" s="2"/>
      <c r="L133" s="2"/>
      <c r="M133" s="2"/>
      <c r="N133" s="2"/>
    </row>
    <row x14ac:dyDescent="0.25" r="134" customHeight="1" ht="19.5" customFormat="1" s="7">
      <c r="A134" s="9" t="s">
        <v>197</v>
      </c>
      <c r="B134" s="9" t="s">
        <v>18</v>
      </c>
      <c r="C134" s="14">
        <v>3.4</v>
      </c>
      <c r="D134" s="15">
        <v>17</v>
      </c>
      <c r="E134" s="15">
        <v>82</v>
      </c>
      <c r="F134" s="15">
        <f>AVERAGE(500,800)</f>
      </c>
      <c r="G134" s="9"/>
      <c r="H134" s="2"/>
      <c r="I134" s="2"/>
      <c r="J134" s="2"/>
      <c r="K134" s="2"/>
      <c r="L134" s="2"/>
      <c r="M134" s="2"/>
      <c r="N134" s="2"/>
    </row>
    <row x14ac:dyDescent="0.25" r="135" customHeight="1" ht="19.5" customFormat="1" s="7">
      <c r="A135" s="18" t="s">
        <v>198</v>
      </c>
      <c r="B135" s="18" t="s">
        <v>26</v>
      </c>
      <c r="C135" s="19" t="s">
        <v>199</v>
      </c>
      <c r="D135" s="20" t="s">
        <v>200</v>
      </c>
      <c r="E135" s="19" t="s">
        <v>23</v>
      </c>
      <c r="F135" s="19" t="s">
        <v>23</v>
      </c>
      <c r="G135" s="9"/>
      <c r="H135" s="2"/>
      <c r="I135" s="2"/>
      <c r="J135" s="2"/>
      <c r="K135" s="2"/>
      <c r="L135" s="2"/>
      <c r="M135" s="2"/>
      <c r="N135" s="2"/>
    </row>
    <row x14ac:dyDescent="0.25" r="136" customHeight="1" ht="19.5" customFormat="1" s="7">
      <c r="A136" s="9" t="s">
        <v>201</v>
      </c>
      <c r="B136" s="9" t="s">
        <v>31</v>
      </c>
      <c r="C136" s="14">
        <v>0.9</v>
      </c>
      <c r="D136" s="15">
        <v>54</v>
      </c>
      <c r="E136" s="15">
        <v>38</v>
      </c>
      <c r="F136" s="16" t="s">
        <v>23</v>
      </c>
      <c r="G136" s="9"/>
      <c r="H136" s="2"/>
      <c r="I136" s="2"/>
      <c r="J136" s="2"/>
      <c r="K136" s="2"/>
      <c r="L136" s="2"/>
      <c r="M136" s="2"/>
      <c r="N136" s="2"/>
    </row>
    <row x14ac:dyDescent="0.25" r="137" customHeight="1" ht="19.5">
      <c r="A137" s="9" t="s">
        <v>202</v>
      </c>
      <c r="B137" s="9" t="s">
        <v>18</v>
      </c>
      <c r="C137" s="14">
        <v>0.9</v>
      </c>
      <c r="D137" s="15">
        <v>54</v>
      </c>
      <c r="E137" s="15">
        <v>15</v>
      </c>
      <c r="F137" s="15">
        <f>AVERAGE(100,300)</f>
      </c>
      <c r="G137" s="17" t="s">
        <v>203</v>
      </c>
      <c r="H137" s="5"/>
      <c r="I137" s="5"/>
      <c r="J137" s="5"/>
      <c r="K137" s="5"/>
      <c r="L137" s="5"/>
      <c r="M137" s="5"/>
      <c r="N137" s="5"/>
    </row>
    <row x14ac:dyDescent="0.25" r="138" customHeight="1" ht="19.5" customFormat="1" s="7">
      <c r="A138" s="9" t="s">
        <v>204</v>
      </c>
      <c r="B138" s="9" t="s">
        <v>18</v>
      </c>
      <c r="C138" s="14">
        <v>0.9</v>
      </c>
      <c r="D138" s="15">
        <v>54</v>
      </c>
      <c r="E138" s="15">
        <v>38</v>
      </c>
      <c r="F138" s="15">
        <f>AVERAGE(400,500)</f>
      </c>
      <c r="G138" s="9"/>
      <c r="H138" s="2"/>
      <c r="I138" s="2"/>
      <c r="J138" s="2"/>
      <c r="K138" s="2"/>
      <c r="L138" s="2"/>
      <c r="M138" s="2"/>
      <c r="N138" s="2"/>
    </row>
    <row x14ac:dyDescent="0.25" r="139" customHeight="1" ht="19.5" customFormat="1" s="7">
      <c r="A139" s="18" t="s">
        <v>205</v>
      </c>
      <c r="B139" s="18" t="s">
        <v>26</v>
      </c>
      <c r="C139" s="19" t="s">
        <v>206</v>
      </c>
      <c r="D139" s="20" t="s">
        <v>207</v>
      </c>
      <c r="E139" s="19" t="s">
        <v>23</v>
      </c>
      <c r="F139" s="19" t="s">
        <v>23</v>
      </c>
      <c r="G139" s="9"/>
      <c r="H139" s="2"/>
      <c r="I139" s="2"/>
      <c r="J139" s="2"/>
      <c r="K139" s="2"/>
      <c r="L139" s="2"/>
      <c r="M139" s="2"/>
      <c r="N139" s="2"/>
    </row>
    <row x14ac:dyDescent="0.25" r="140" customHeight="1" ht="19.5" customFormat="1" s="7">
      <c r="A140" s="9" t="s">
        <v>208</v>
      </c>
      <c r="B140" s="9" t="s">
        <v>31</v>
      </c>
      <c r="C140" s="14">
        <v>1.9</v>
      </c>
      <c r="D140" s="15">
        <v>17</v>
      </c>
      <c r="E140" s="15">
        <v>53</v>
      </c>
      <c r="F140" s="16" t="s">
        <v>23</v>
      </c>
      <c r="G140" s="9"/>
      <c r="H140" s="2"/>
      <c r="I140" s="2"/>
      <c r="J140" s="2"/>
      <c r="K140" s="2"/>
      <c r="L140" s="2"/>
      <c r="M140" s="2"/>
      <c r="N140" s="2"/>
    </row>
    <row x14ac:dyDescent="0.25" r="141" customHeight="1" ht="19.5" customFormat="1" s="7">
      <c r="A141" s="9" t="s">
        <v>209</v>
      </c>
      <c r="B141" s="9" t="s">
        <v>18</v>
      </c>
      <c r="C141" s="15">
        <v>1</v>
      </c>
      <c r="D141" s="15">
        <v>53</v>
      </c>
      <c r="E141" s="15">
        <v>15</v>
      </c>
      <c r="F141" s="15">
        <v>429</v>
      </c>
      <c r="G141" s="9"/>
      <c r="H141" s="2"/>
      <c r="I141" s="2"/>
      <c r="J141" s="2"/>
      <c r="K141" s="2"/>
      <c r="L141" s="2"/>
      <c r="M141" s="2"/>
      <c r="N141" s="2"/>
    </row>
    <row x14ac:dyDescent="0.25" r="142" customHeight="1" ht="19.5" customFormat="1" s="7">
      <c r="A142" s="9" t="s">
        <v>210</v>
      </c>
      <c r="B142" s="9" t="s">
        <v>18</v>
      </c>
      <c r="C142" s="14">
        <v>3.1</v>
      </c>
      <c r="D142" s="15">
        <v>16</v>
      </c>
      <c r="E142" s="15">
        <v>70</v>
      </c>
      <c r="F142" s="15">
        <v>1296</v>
      </c>
      <c r="G142" s="9"/>
      <c r="H142" s="2"/>
      <c r="I142" s="2"/>
      <c r="J142" s="2"/>
      <c r="K142" s="2"/>
      <c r="L142" s="2"/>
      <c r="M142" s="2"/>
      <c r="N142" s="2"/>
    </row>
    <row x14ac:dyDescent="0.25" r="143" customHeight="1" ht="19.5" customFormat="1" s="7">
      <c r="A143" s="9" t="s">
        <v>211</v>
      </c>
      <c r="B143" s="9" t="s">
        <v>18</v>
      </c>
      <c r="C143" s="16" t="s">
        <v>23</v>
      </c>
      <c r="D143" s="15">
        <f>AVERAGE(20,30)</f>
      </c>
      <c r="E143" s="15">
        <v>93</v>
      </c>
      <c r="F143" s="15">
        <v>405</v>
      </c>
      <c r="G143" s="2"/>
      <c r="H143" s="2"/>
      <c r="I143" s="2"/>
      <c r="J143" s="2"/>
      <c r="K143" s="2"/>
      <c r="L143" s="2"/>
      <c r="M143" s="2"/>
      <c r="N143" s="2"/>
    </row>
    <row x14ac:dyDescent="0.25" r="144" customHeight="1" ht="19.5">
      <c r="A144" s="9" t="s">
        <v>212</v>
      </c>
      <c r="B144" s="9" t="s">
        <v>18</v>
      </c>
      <c r="C144" s="15">
        <v>0</v>
      </c>
      <c r="D144" s="15">
        <v>0</v>
      </c>
      <c r="E144" s="15">
        <v>100</v>
      </c>
      <c r="F144" s="25">
        <f>1*(1/1000)*(2.2/1)*(1/0.000001308)</f>
      </c>
      <c r="G144" s="5"/>
      <c r="H144" s="5"/>
      <c r="I144" s="5"/>
      <c r="J144" s="5"/>
      <c r="K144" s="5"/>
      <c r="L144" s="5"/>
      <c r="M144" s="5"/>
      <c r="N144" s="5"/>
    </row>
    <row x14ac:dyDescent="0.25" r="145" customHeight="1" ht="19.5">
      <c r="A145" s="9" t="s">
        <v>213</v>
      </c>
      <c r="B145" s="9" t="s">
        <v>18</v>
      </c>
      <c r="C145" s="26">
        <f>AVERAGE(0.15,0.19)*(100-E145)</f>
      </c>
      <c r="D145" s="14">
        <v>0.8</v>
      </c>
      <c r="E145" s="26">
        <f>AVERAGE(93,96)</f>
      </c>
      <c r="F145" s="25">
        <f>1.024*(1/1000)*(2.2/1)*(1/0.000001308)</f>
      </c>
      <c r="G145" s="5" t="s">
        <v>214</v>
      </c>
      <c r="H145" s="5"/>
      <c r="I145" s="5"/>
      <c r="J145" s="5"/>
      <c r="K145" s="5"/>
      <c r="L145" s="5"/>
      <c r="M145" s="5"/>
      <c r="N145" s="5"/>
    </row>
    <row x14ac:dyDescent="0.25" r="146" customHeight="1" ht="19.5">
      <c r="A146" s="9"/>
      <c r="B146" s="2"/>
      <c r="C146" s="23"/>
      <c r="D146" s="23"/>
      <c r="E146" s="23"/>
      <c r="F146" s="25"/>
      <c r="G146" s="5"/>
      <c r="H146" s="5"/>
      <c r="I146" s="5"/>
      <c r="J146" s="5"/>
      <c r="K146" s="5"/>
      <c r="L146" s="5"/>
      <c r="M146" s="5"/>
      <c r="N146" s="5"/>
    </row>
  </sheetData>
  <mergeCells count="6">
    <mergeCell ref="A30:G30"/>
    <mergeCell ref="A45:G45"/>
    <mergeCell ref="A71:G71"/>
    <mergeCell ref="A88:G88"/>
    <mergeCell ref="A109:G109"/>
    <mergeCell ref="A130:G1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Calcs</vt:lpstr>
      <vt:lpstr>DataTable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2022-11-21T01:56:11.334Z</dcterms:created>
  <dcterms:modified xsi:type="dcterms:W3CDTF">2022-11-21T01:56:11.334Z</dcterms:modified>
</cp:coreProperties>
</file>