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ri\Projects\DSS_164_buyout_percentage_from_calls_count\"/>
    </mc:Choice>
  </mc:AlternateContent>
  <bookViews>
    <workbookView xWindow="0" yWindow="0" windowWidth="24075" windowHeight="11310" activeTab="1"/>
  </bookViews>
  <sheets>
    <sheet name="LEADS, CALLS AND BUYOUT" sheetId="1" r:id="rId1"/>
    <sheet name="ПО СТРАНАМ" sheetId="4" r:id="rId2"/>
    <sheet name="EVENTS" sheetId="3" r:id="rId3"/>
    <sheet name="Query" sheetId="2" r:id="rId4"/>
  </sheets>
  <calcPr calcId="162913"/>
</workbook>
</file>

<file path=xl/calcChain.xml><?xml version="1.0" encoding="utf-8"?>
<calcChain xmlns="http://schemas.openxmlformats.org/spreadsheetml/2006/main">
  <c r="AB2" i="1" l="1"/>
  <c r="U3" i="1"/>
  <c r="R11" i="1"/>
  <c r="R17" i="1"/>
  <c r="P21" i="1"/>
  <c r="O5" i="1"/>
  <c r="P2" i="1"/>
  <c r="M2" i="1"/>
  <c r="N2" i="1"/>
  <c r="I50" i="1"/>
  <c r="I49" i="1"/>
  <c r="AI9" i="1" l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3" i="1"/>
  <c r="AI4" i="1"/>
  <c r="AI5" i="1"/>
  <c r="AI6" i="1"/>
  <c r="AI7" i="1"/>
  <c r="AI8" i="1"/>
  <c r="AI2" i="1"/>
  <c r="W9" i="1"/>
  <c r="W10" i="1"/>
  <c r="W11" i="1"/>
  <c r="W12" i="1"/>
  <c r="W13" i="1"/>
  <c r="W14" i="1"/>
  <c r="W15" i="1"/>
  <c r="W16" i="1"/>
  <c r="W17" i="1"/>
  <c r="W18" i="1"/>
  <c r="W19" i="1"/>
  <c r="W20" i="1"/>
  <c r="U10" i="1"/>
  <c r="AH11" i="1"/>
  <c r="AH12" i="1"/>
  <c r="AH13" i="1"/>
  <c r="AH14" i="1"/>
  <c r="AH15" i="1"/>
  <c r="AH16" i="1"/>
  <c r="AH17" i="1"/>
  <c r="AH18" i="1"/>
  <c r="AH19" i="1"/>
  <c r="AH20" i="1"/>
  <c r="AH21" i="1"/>
  <c r="AH10" i="1"/>
  <c r="AH9" i="1"/>
  <c r="W2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Y3" i="1"/>
  <c r="AF2" i="1"/>
  <c r="L43" i="1"/>
  <c r="M43" i="1" s="1"/>
  <c r="Z2" i="1"/>
  <c r="AE2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A22" i="1"/>
  <c r="AC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P22" i="1"/>
  <c r="Z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D2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8" i="1"/>
  <c r="R19" i="1"/>
  <c r="R20" i="1"/>
  <c r="R21" i="1"/>
  <c r="R2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" i="1"/>
  <c r="Q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V2" i="1" l="1"/>
  <c r="U22" i="1"/>
  <c r="M46" i="1"/>
  <c r="M47" i="1"/>
  <c r="M44" i="1"/>
  <c r="M45" i="1"/>
  <c r="L44" i="1"/>
  <c r="L45" i="1"/>
  <c r="L46" i="1"/>
  <c r="L47" i="1"/>
  <c r="R26" i="1"/>
  <c r="J47" i="1"/>
  <c r="K47" i="1" s="1"/>
  <c r="J46" i="1"/>
  <c r="K46" i="1" s="1"/>
  <c r="J45" i="1"/>
  <c r="K45" i="1" s="1"/>
  <c r="J44" i="1"/>
  <c r="K44" i="1" s="1"/>
  <c r="K49" i="1" s="1"/>
  <c r="Z26" i="1" s="1"/>
  <c r="J43" i="1"/>
  <c r="K43" i="1" s="1"/>
  <c r="E6" i="3"/>
  <c r="C6" i="3"/>
  <c r="D6" i="3" s="1"/>
  <c r="E5" i="3"/>
  <c r="C5" i="3"/>
  <c r="D5" i="3" s="1"/>
  <c r="E4" i="3"/>
  <c r="D4" i="3"/>
  <c r="C4" i="3"/>
  <c r="E3" i="3"/>
  <c r="C3" i="3"/>
  <c r="D3" i="3" s="1"/>
  <c r="E2" i="3"/>
  <c r="C2" i="3"/>
  <c r="D2" i="3" s="1"/>
  <c r="K3" i="1" l="1"/>
  <c r="O3" i="1" s="1"/>
  <c r="K4" i="1"/>
  <c r="K5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" i="1"/>
  <c r="O2" i="1" s="1"/>
  <c r="V17" i="1" l="1"/>
  <c r="AF17" i="1"/>
  <c r="AD17" i="1"/>
  <c r="V18" i="1"/>
  <c r="AF18" i="1"/>
  <c r="AD18" i="1"/>
  <c r="V16" i="1"/>
  <c r="AF16" i="1"/>
  <c r="AD16" i="1"/>
  <c r="V8" i="1"/>
  <c r="AF8" i="1"/>
  <c r="AD8" i="1"/>
  <c r="V15" i="1"/>
  <c r="AF15" i="1"/>
  <c r="AD15" i="1"/>
  <c r="V13" i="1"/>
  <c r="O13" i="1"/>
  <c r="V10" i="1"/>
  <c r="AF10" i="1"/>
  <c r="AD10" i="1"/>
  <c r="V6" i="1"/>
  <c r="AF6" i="1"/>
  <c r="AD6" i="1"/>
  <c r="V14" i="1"/>
  <c r="AF14" i="1"/>
  <c r="AD14" i="1"/>
  <c r="V12" i="1"/>
  <c r="AF12" i="1"/>
  <c r="AD12" i="1"/>
  <c r="V9" i="1"/>
  <c r="AF9" i="1"/>
  <c r="AD9" i="1"/>
  <c r="V21" i="1"/>
  <c r="AF21" i="1"/>
  <c r="AD21" i="1"/>
  <c r="V11" i="1"/>
  <c r="AF11" i="1"/>
  <c r="AD11" i="1"/>
  <c r="V7" i="1"/>
  <c r="AF7" i="1"/>
  <c r="AD7" i="1"/>
  <c r="V5" i="1"/>
  <c r="AF5" i="1"/>
  <c r="AD5" i="1"/>
  <c r="V20" i="1"/>
  <c r="AF20" i="1"/>
  <c r="AD20" i="1"/>
  <c r="V4" i="1"/>
  <c r="V22" i="1" s="1"/>
  <c r="O4" i="1"/>
  <c r="V19" i="1"/>
  <c r="AF19" i="1"/>
  <c r="AD19" i="1"/>
  <c r="V3" i="1"/>
  <c r="AF3" i="1"/>
  <c r="O22" i="1"/>
  <c r="AD3" i="1"/>
  <c r="AD2" i="1"/>
  <c r="L14" i="1"/>
  <c r="L13" i="1"/>
  <c r="L12" i="1"/>
  <c r="L11" i="1"/>
  <c r="L8" i="1"/>
  <c r="L10" i="1"/>
  <c r="L6" i="1"/>
  <c r="M6" i="1"/>
  <c r="L21" i="1"/>
  <c r="L4" i="1"/>
  <c r="L3" i="1"/>
  <c r="L17" i="1"/>
  <c r="L7" i="1"/>
  <c r="M10" i="1"/>
  <c r="L20" i="1"/>
  <c r="M8" i="1"/>
  <c r="L19" i="1"/>
  <c r="L18" i="1"/>
  <c r="L16" i="1"/>
  <c r="O31" i="1"/>
  <c r="L9" i="1"/>
  <c r="L2" i="1"/>
  <c r="L5" i="1"/>
  <c r="M7" i="1"/>
  <c r="L15" i="1"/>
  <c r="E3" i="1"/>
  <c r="E4" i="1"/>
  <c r="M4" i="1" s="1"/>
  <c r="E5" i="1"/>
  <c r="M5" i="1" s="1"/>
  <c r="E6" i="1"/>
  <c r="E7" i="1"/>
  <c r="E8" i="1"/>
  <c r="E9" i="1"/>
  <c r="M9" i="1" s="1"/>
  <c r="E10" i="1"/>
  <c r="E11" i="1"/>
  <c r="M11" i="1" s="1"/>
  <c r="E12" i="1"/>
  <c r="E13" i="1"/>
  <c r="E14" i="1"/>
  <c r="E15" i="1"/>
  <c r="E16" i="1"/>
  <c r="E17" i="1"/>
  <c r="E18" i="1"/>
  <c r="E19" i="1"/>
  <c r="E20" i="1"/>
  <c r="F20" i="1" s="1"/>
  <c r="E21" i="1"/>
  <c r="M21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AG7" i="1" l="1"/>
  <c r="AG16" i="1"/>
  <c r="AG12" i="1"/>
  <c r="AG6" i="1"/>
  <c r="AD22" i="1"/>
  <c r="AG11" i="1"/>
  <c r="AG18" i="1"/>
  <c r="AG20" i="1"/>
  <c r="AG19" i="1"/>
  <c r="AG10" i="1"/>
  <c r="AG2" i="1"/>
  <c r="AF4" i="1"/>
  <c r="AD4" i="1"/>
  <c r="AF13" i="1"/>
  <c r="AG13" i="1" s="1"/>
  <c r="AD13" i="1"/>
  <c r="F18" i="1"/>
  <c r="M18" i="1"/>
  <c r="F3" i="1"/>
  <c r="F13" i="1"/>
  <c r="M13" i="1"/>
  <c r="M3" i="1"/>
  <c r="F12" i="1"/>
  <c r="H12" i="1" s="1"/>
  <c r="M12" i="1"/>
  <c r="F19" i="1"/>
  <c r="G19" i="1" s="1"/>
  <c r="F15" i="1"/>
  <c r="G15" i="1" s="1"/>
  <c r="M15" i="1"/>
  <c r="F17" i="1"/>
  <c r="G17" i="1" s="1"/>
  <c r="M17" i="1"/>
  <c r="F16" i="1"/>
  <c r="H16" i="1" s="1"/>
  <c r="I16" i="1" s="1"/>
  <c r="M16" i="1"/>
  <c r="M19" i="1"/>
  <c r="M20" i="1"/>
  <c r="F4" i="1"/>
  <c r="G4" i="1" s="1"/>
  <c r="H13" i="1"/>
  <c r="I13" i="1" s="1"/>
  <c r="G13" i="1"/>
  <c r="G8" i="1"/>
  <c r="H20" i="1"/>
  <c r="G20" i="1"/>
  <c r="H4" i="1"/>
  <c r="H3" i="1"/>
  <c r="I3" i="1" s="1"/>
  <c r="G3" i="1"/>
  <c r="F14" i="1"/>
  <c r="H14" i="1" s="1"/>
  <c r="M14" i="1"/>
  <c r="G18" i="1"/>
  <c r="F10" i="1"/>
  <c r="H10" i="1" s="1"/>
  <c r="I10" i="1"/>
  <c r="H18" i="1"/>
  <c r="F21" i="1"/>
  <c r="H21" i="1" s="1"/>
  <c r="F11" i="1"/>
  <c r="H11" i="1" s="1"/>
  <c r="F9" i="1"/>
  <c r="H9" i="1" s="1"/>
  <c r="F8" i="1"/>
  <c r="H8" i="1" s="1"/>
  <c r="F7" i="1"/>
  <c r="H7" i="1" s="1"/>
  <c r="F6" i="1"/>
  <c r="H6" i="1" s="1"/>
  <c r="F2" i="1"/>
  <c r="H2" i="1" s="1"/>
  <c r="I2" i="1" s="1"/>
  <c r="F5" i="1"/>
  <c r="H5" i="1" s="1"/>
  <c r="I5" i="1" s="1"/>
  <c r="AG5" i="1" l="1"/>
  <c r="AG4" i="1"/>
  <c r="AG14" i="1"/>
  <c r="AG17" i="1"/>
  <c r="AG9" i="1"/>
  <c r="AG21" i="1"/>
  <c r="AG8" i="1"/>
  <c r="AG3" i="1"/>
  <c r="AG22" i="1" s="1"/>
  <c r="AG15" i="1"/>
  <c r="G2" i="1"/>
  <c r="G14" i="1"/>
  <c r="I9" i="1"/>
  <c r="H15" i="1"/>
  <c r="I15" i="1" s="1"/>
  <c r="I8" i="1"/>
  <c r="G9" i="1"/>
  <c r="H19" i="1"/>
  <c r="I19" i="1" s="1"/>
  <c r="G6" i="1"/>
  <c r="G7" i="1"/>
  <c r="I21" i="1"/>
  <c r="H17" i="1"/>
  <c r="I17" i="1" s="1"/>
  <c r="I18" i="1"/>
  <c r="G12" i="1"/>
  <c r="G21" i="1"/>
  <c r="G11" i="1"/>
  <c r="G10" i="1"/>
  <c r="I11" i="1"/>
  <c r="G5" i="1"/>
  <c r="G16" i="1"/>
  <c r="I4" i="1"/>
  <c r="I12" i="1"/>
  <c r="I20" i="1"/>
  <c r="I6" i="1"/>
  <c r="I7" i="1"/>
  <c r="I14" i="1"/>
</calcChain>
</file>

<file path=xl/sharedStrings.xml><?xml version="1.0" encoding="utf-8"?>
<sst xmlns="http://schemas.openxmlformats.org/spreadsheetml/2006/main" count="73" uniqueCount="61">
  <si>
    <t>lead_qty</t>
  </si>
  <si>
    <t>call_duration_sec</t>
  </si>
  <si>
    <t>SELECT
    --orders_and_calls_table.lifetime AS days_before_approve,
    orders_and_calls_table.calls_count_between_new_and_approved,
    COUNT(CASE WHEN is_buyout = 1 THEN orders_and_calls_table.order_id END)/COUNT(CASE WHEN status_group = 'approved' THEN orders_and_calls_table.order_id END)*100 AS buyout_percentage,
    COUNT(DISTINCT orders_and_calls_table.order_id) AS lead_qty,
    SUM(orders_and_calls_table.call_duration_sec) AS call_duration_sec
FROM umberto_report_power_bi AS stat
INNER JOIN
    (
    SELECT erp_order_id     AS order_id,
        SUM(total_count) AS calls_count_between_new_and_approved,
        new_final_table.lifetime,
        SUM(billsec_sum) AS call_duration_sec
    FROM calls_by_day_count
    INNER JOIN
        (
        SELECT
           final_table.order_id  AS order_id,
           final_date - new_date AS lifetime,
           new_date,
           final_date,
           new_status,
           final_status
        FROM
            (
            SELECT
                DISTINCT order_id,
                TO_TIMESTAMP(created_at)::DATE AS final_date,
                "new" AS final_status
            FROM erp_order_log_status
            WHERE
                "new" = 6
                AND TO_TIMESTAMP(created_at)::DATE BETWEEN '2022-01-01' AND '2022-08-01'
            ) AS final_table
            INNER JOIN
                (
                SELECT
                    DISTINCT order_id,
                    TO_TIMESTAMP(created_at)::DATE AS new_date,
                    "new"                          AS new_status
                FROM erp_order_log_status
                WHERE
                    "new" IN (1, 2, 3, 30)
                    AND TO_TIMESTAMP(created_at)::DATE BETWEEN '2022-01-01' AND '2022-08-01'
                ) AS new_table
                    ON final_table.order_id = new_table.order_id
        ) AS new_final_table
            ON calls_by_day_count.erp_order_id = new_final_table.order_id
    WHERE day BETWEEN new_final_table.new_date AND new_final_table.final_date
    GROUP BY erp_order_id, new_final_table.lifetime
    ) AS orders_and_calls_table
        ON stat.order_id = orders_and_calls_table.order_id
GROUP BY
    --orders_and_calls_table.lifetime,
    orders_and_calls_table.calls_count_between_new_and_approved
HAVING
    COUNT(CASE WHEN status_group = 'approved' THEN orders_and_calls_table.order_id END) &gt; 0
    --AND orders_and_calls_table.lifetime &lt;= 14
    AND orders_and_calls_table.calls_count_between_new_and_approved &lt;= 20
ORDER BY
    --orders_and_calls_table.lifetime,
    orders_and_calls_table.calls_count_between_new_and_approved</t>
  </si>
  <si>
    <t>%_call_duration</t>
  </si>
  <si>
    <t>call_attempt</t>
  </si>
  <si>
    <t>%_lead_qty</t>
  </si>
  <si>
    <t>calls_count</t>
  </si>
  <si>
    <t>%_calls_count</t>
  </si>
  <si>
    <t>efficient_ratio</t>
  </si>
  <si>
    <t>%_efficient_ratio</t>
  </si>
  <si>
    <t>call_duration_min</t>
  </si>
  <si>
    <t>call_duration_hours</t>
  </si>
  <si>
    <t>avg_call_duration_min</t>
  </si>
  <si>
    <t>%_buyout</t>
  </si>
  <si>
    <t>IP_telephony_expenses</t>
  </si>
  <si>
    <t>Сумма из BI</t>
  </si>
  <si>
    <t>leads_calls_delta</t>
  </si>
  <si>
    <t>event_name</t>
  </si>
  <si>
    <t>event_sec</t>
  </si>
  <si>
    <t>event_min</t>
  </si>
  <si>
    <t>event_hours</t>
  </si>
  <si>
    <t>%_events</t>
  </si>
  <si>
    <t>call</t>
  </si>
  <si>
    <t>wait</t>
  </si>
  <si>
    <t>save</t>
  </si>
  <si>
    <t>training_room</t>
  </si>
  <si>
    <t>view</t>
  </si>
  <si>
    <t>CC_expenses</t>
  </si>
  <si>
    <t>Общее время разговора за период - Время разговора на аппрувнутые заказы</t>
  </si>
  <si>
    <t>Сумма из расчетов IP tel</t>
  </si>
  <si>
    <t>из запроса</t>
  </si>
  <si>
    <t>Расходы по категориям</t>
  </si>
  <si>
    <t>cc_expenses</t>
  </si>
  <si>
    <t>advertising_expenses</t>
  </si>
  <si>
    <t>net_sales</t>
  </si>
  <si>
    <t>income</t>
  </si>
  <si>
    <t>product_expenses</t>
  </si>
  <si>
    <t>delivery_expenses</t>
  </si>
  <si>
    <t>storage_expenses</t>
  </si>
  <si>
    <t>суммы --&gt;</t>
  </si>
  <si>
    <t>Реальная потеря апррува от текущего значения в % при "отрезании" конкретной очереди</t>
  </si>
  <si>
    <t>Реальная потеря апррува от текущего значения в % при "отрезании" всех очередей после текущей</t>
  </si>
  <si>
    <t>Затраченное время save+call</t>
  </si>
  <si>
    <t>% затраченного времени</t>
  </si>
  <si>
    <t>Затраченное рабочее время операторов в ЧАСАХ</t>
  </si>
  <si>
    <t>% расходы на телефонию</t>
  </si>
  <si>
    <t>% расходы на КЦ</t>
  </si>
  <si>
    <t>Затраченное время wait + view</t>
  </si>
  <si>
    <t>sum</t>
  </si>
  <si>
    <t>Средняя з/п сотрудника кц в месяц, $</t>
  </si>
  <si>
    <t>суммарные расходы на КЦ и телефонию</t>
  </si>
  <si>
    <t>% суммарных расходов на кц и телефонию</t>
  </si>
  <si>
    <t>% потери от прибыли при прозвоне очереди</t>
  </si>
  <si>
    <t>% расходов при прозвоне очереди</t>
  </si>
  <si>
    <t>Прибыль $/лид</t>
  </si>
  <si>
    <t>ИЗМЕНИТЬ КОЭФФ ПО СТРАНЕ</t>
  </si>
  <si>
    <t>BI/ЗАПРОС?</t>
  </si>
  <si>
    <t>BI/ЗАПРОС? 817</t>
  </si>
  <si>
    <t xml:space="preserve">ЗАПРОС ОТДЕЛЬНЫЙ ПО СРЕДНЕЙ СТАВКЕ ПО СТРАНАМ </t>
  </si>
  <si>
    <t xml:space="preserve">ЗАПРОС ОТДЕЛЬНЫЙ ПО СРЕДНЕМУ ЧЕКУ ПО СТРАНАМ </t>
  </si>
  <si>
    <t xml:space="preserve">ЗАПРОС ОТДЕЛЬНЫЙ ПО СРЕДНЕМУ АППРУВУ ПО СТРАНАМ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</si>
</sst>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ACB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35" borderId="10" xfId="0" applyFill="1" applyBorder="1"/>
    <xf numFmtId="1" fontId="0" fillId="35" borderId="10" xfId="0" applyNumberFormat="1" applyFill="1" applyBorder="1"/>
    <xf numFmtId="164" fontId="0" fillId="35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0" fontId="0" fillId="36" borderId="10" xfId="0" applyFill="1" applyBorder="1"/>
    <xf numFmtId="1" fontId="0" fillId="36" borderId="10" xfId="0" applyNumberFormat="1" applyFill="1" applyBorder="1"/>
    <xf numFmtId="2" fontId="0" fillId="36" borderId="10" xfId="0" applyNumberFormat="1" applyFill="1" applyBorder="1"/>
    <xf numFmtId="0" fontId="0" fillId="35" borderId="11" xfId="0" applyFill="1" applyBorder="1"/>
    <xf numFmtId="1" fontId="0" fillId="0" borderId="0" xfId="0" applyNumberFormat="1" applyAlignment="1">
      <alignment horizontal="left"/>
    </xf>
    <xf numFmtId="1" fontId="0" fillId="0" borderId="10" xfId="0" applyNumberFormat="1" applyBorder="1"/>
    <xf numFmtId="2" fontId="0" fillId="37" borderId="10" xfId="0" applyNumberFormat="1" applyFill="1" applyBorder="1"/>
    <xf numFmtId="0" fontId="0" fillId="35" borderId="12" xfId="0" applyFill="1" applyBorder="1"/>
    <xf numFmtId="0" fontId="0" fillId="0" borderId="12" xfId="0" applyBorder="1"/>
    <xf numFmtId="0" fontId="0" fillId="38" borderId="10" xfId="0" applyFill="1" applyBorder="1"/>
    <xf numFmtId="2" fontId="0" fillId="38" borderId="10" xfId="0" applyNumberFormat="1" applyFill="1" applyBorder="1"/>
    <xf numFmtId="1" fontId="0" fillId="38" borderId="10" xfId="0" applyNumberFormat="1" applyFill="1" applyBorder="1"/>
    <xf numFmtId="1" fontId="6" fillId="2" borderId="10" xfId="6" applyNumberFormat="1" applyBorder="1"/>
    <xf numFmtId="2" fontId="18" fillId="39" borderId="0" xfId="0" applyNumberFormat="1" applyFont="1" applyFill="1"/>
    <xf numFmtId="1" fontId="14" fillId="2" borderId="10" xfId="6" applyNumberFormat="1" applyFont="1" applyBorder="1"/>
    <xf numFmtId="2" fontId="14" fillId="2" borderId="10" xfId="6" applyNumberFormat="1" applyFont="1" applyBorder="1"/>
    <xf numFmtId="0" fontId="0" fillId="40" borderId="10" xfId="0" applyFill="1" applyBorder="1"/>
    <xf numFmtId="2" fontId="0" fillId="40" borderId="10" xfId="0" applyNumberFormat="1" applyFill="1" applyBorder="1"/>
    <xf numFmtId="1" fontId="0" fillId="41" borderId="10" xfId="0" applyNumberFormat="1" applyFill="1" applyBorder="1" applyAlignment="1">
      <alignment horizontal="right"/>
    </xf>
    <xf numFmtId="0" fontId="14" fillId="0" borderId="0" xfId="0" applyFont="1"/>
    <xf numFmtId="0" fontId="14" fillId="35" borderId="10" xfId="0" applyFont="1" applyFill="1" applyBorder="1"/>
    <xf numFmtId="1" fontId="14" fillId="38" borderId="10" xfId="0" applyNumberFormat="1" applyFont="1" applyFill="1" applyBorder="1"/>
    <xf numFmtId="1" fontId="0" fillId="42" borderId="10" xfId="0" applyNumberFormat="1" applyFill="1" applyBorder="1" applyAlignment="1">
      <alignment horizontal="left" indent="4"/>
    </xf>
    <xf numFmtId="1" fontId="0" fillId="42" borderId="10" xfId="0" applyNumberFormat="1" applyFill="1" applyBorder="1"/>
    <xf numFmtId="0" fontId="14" fillId="0" borderId="12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CACBF2"/>
      <color rgb="FF949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Лиды и звонки,</a:t>
            </a:r>
            <a:r>
              <a:rPr lang="ru-RU" baseline="0"/>
              <a:t> 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005899675519914E-2"/>
          <c:y val="9.1249999999999998E-2"/>
          <c:w val="0.91499410032448014"/>
          <c:h val="0.599028274874731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'LEADS, CALLS AND BUYOUT'!$D$2:$D$21</c:f>
              <c:numCache>
                <c:formatCode>0.00</c:formatCode>
                <c:ptCount val="20"/>
                <c:pt idx="0">
                  <c:v>51.266523802394424</c:v>
                </c:pt>
                <c:pt idx="1">
                  <c:v>13.600112622929938</c:v>
                </c:pt>
                <c:pt idx="2">
                  <c:v>8.7842905909947842</c:v>
                </c:pt>
                <c:pt idx="3">
                  <c:v>5.8682356411350787</c:v>
                </c:pt>
                <c:pt idx="4">
                  <c:v>4.2944940645779281</c:v>
                </c:pt>
                <c:pt idx="5">
                  <c:v>3.0441709812719688</c:v>
                </c:pt>
                <c:pt idx="6">
                  <c:v>2.5081692591541511</c:v>
                </c:pt>
                <c:pt idx="7">
                  <c:v>1.8993946517515772</c:v>
                </c:pt>
                <c:pt idx="8">
                  <c:v>1.6018973090419379</c:v>
                </c:pt>
                <c:pt idx="9">
                  <c:v>1.3032826753606801</c:v>
                </c:pt>
                <c:pt idx="10">
                  <c:v>1.0808672859438091</c:v>
                </c:pt>
                <c:pt idx="11">
                  <c:v>0.90053652312457133</c:v>
                </c:pt>
                <c:pt idx="12">
                  <c:v>0.76400356639278133</c:v>
                </c:pt>
                <c:pt idx="13">
                  <c:v>0.66113831093909803</c:v>
                </c:pt>
                <c:pt idx="14">
                  <c:v>0.55946483252180768</c:v>
                </c:pt>
                <c:pt idx="15">
                  <c:v>0.48319110219264627</c:v>
                </c:pt>
                <c:pt idx="16">
                  <c:v>0.42457056921505842</c:v>
                </c:pt>
                <c:pt idx="17">
                  <c:v>0.35775656911226766</c:v>
                </c:pt>
                <c:pt idx="18">
                  <c:v>0.31917278755903949</c:v>
                </c:pt>
                <c:pt idx="19">
                  <c:v>0.27872685438644712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DDB-B376-5C585982A0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'LEADS, CALLS AND BUYOUT'!$F$2:$F$21</c:f>
              <c:numCache>
                <c:formatCode>0.00</c:formatCode>
                <c:ptCount val="20"/>
                <c:pt idx="0">
                  <c:v>16.45608117316435</c:v>
                </c:pt>
                <c:pt idx="1">
                  <c:v>8.7310213639513155</c:v>
                </c:pt>
                <c:pt idx="2">
                  <c:v>8.4590287165514315</c:v>
                </c:pt>
                <c:pt idx="3">
                  <c:v>7.5345980098822078</c:v>
                </c:pt>
                <c:pt idx="4">
                  <c:v>6.892464875984647</c:v>
                </c:pt>
                <c:pt idx="5">
                  <c:v>5.8629048030515971</c:v>
                </c:pt>
                <c:pt idx="6">
                  <c:v>5.635694348740671</c:v>
                </c:pt>
                <c:pt idx="7">
                  <c:v>4.8775052803776529</c:v>
                </c:pt>
                <c:pt idx="8">
                  <c:v>4.6277483188147857</c:v>
                </c:pt>
                <c:pt idx="9">
                  <c:v>4.183417151508225</c:v>
                </c:pt>
                <c:pt idx="10">
                  <c:v>3.8164326978390264</c:v>
                </c:pt>
                <c:pt idx="11">
                  <c:v>3.4687669905744603</c:v>
                </c:pt>
                <c:pt idx="12">
                  <c:v>3.1880952528962578</c:v>
                </c:pt>
                <c:pt idx="13">
                  <c:v>2.9710701772590618</c:v>
                </c:pt>
                <c:pt idx="14">
                  <c:v>2.6937457471262172</c:v>
                </c:pt>
                <c:pt idx="15">
                  <c:v>2.4815981767693986</c:v>
                </c:pt>
                <c:pt idx="16">
                  <c:v>2.3168150081793852</c:v>
                </c:pt>
                <c:pt idx="17">
                  <c:v>2.0670580466165176</c:v>
                </c:pt>
                <c:pt idx="18">
                  <c:v>1.9465788843232676</c:v>
                </c:pt>
                <c:pt idx="19">
                  <c:v>1.789374976389527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E-4DDB-B376-5C585982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1312"/>
        <c:axId val="467962952"/>
      </c:lineChart>
      <c:catAx>
        <c:axId val="4679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попыток прозвона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62952"/>
        <c:crosses val="autoZero"/>
        <c:auto val="1"/>
        <c:lblAlgn val="ctr"/>
        <c:lblOffset val="100"/>
        <c:noMultiLvlLbl val="0"/>
      </c:catAx>
      <c:valAx>
        <c:axId val="4679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лидов и звонков,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6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Лиды и звонки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005899675519914E-2"/>
          <c:y val="9.1249999999999998E-2"/>
          <c:w val="0.91499410032448014"/>
          <c:h val="0.599028274874731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'LEADS, CALLS AND BUYOUT'!$C$2:$C$21</c:f>
              <c:numCache>
                <c:formatCode>General</c:formatCode>
                <c:ptCount val="20"/>
                <c:pt idx="0">
                  <c:v>688270</c:v>
                </c:pt>
                <c:pt idx="1">
                  <c:v>182586</c:v>
                </c:pt>
                <c:pt idx="2">
                  <c:v>117932</c:v>
                </c:pt>
                <c:pt idx="3">
                  <c:v>78783</c:v>
                </c:pt>
                <c:pt idx="4">
                  <c:v>57655</c:v>
                </c:pt>
                <c:pt idx="5">
                  <c:v>40869</c:v>
                </c:pt>
                <c:pt idx="6">
                  <c:v>33673</c:v>
                </c:pt>
                <c:pt idx="7">
                  <c:v>25500</c:v>
                </c:pt>
                <c:pt idx="8">
                  <c:v>21506</c:v>
                </c:pt>
                <c:pt idx="9">
                  <c:v>17497</c:v>
                </c:pt>
                <c:pt idx="10">
                  <c:v>14511</c:v>
                </c:pt>
                <c:pt idx="11">
                  <c:v>12090</c:v>
                </c:pt>
                <c:pt idx="12">
                  <c:v>10257</c:v>
                </c:pt>
                <c:pt idx="13">
                  <c:v>8876</c:v>
                </c:pt>
                <c:pt idx="14">
                  <c:v>7511</c:v>
                </c:pt>
                <c:pt idx="15">
                  <c:v>6487</c:v>
                </c:pt>
                <c:pt idx="16">
                  <c:v>5700</c:v>
                </c:pt>
                <c:pt idx="17">
                  <c:v>4803</c:v>
                </c:pt>
                <c:pt idx="18">
                  <c:v>4285</c:v>
                </c:pt>
                <c:pt idx="19">
                  <c:v>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7-494E-B2FB-2BCF7E69B9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'LEADS, CALLS AND BUYOUT'!$E$2:$E$21</c:f>
              <c:numCache>
                <c:formatCode>0</c:formatCode>
                <c:ptCount val="20"/>
                <c:pt idx="0">
                  <c:v>688270</c:v>
                </c:pt>
                <c:pt idx="1">
                  <c:v>365172</c:v>
                </c:pt>
                <c:pt idx="2">
                  <c:v>353796</c:v>
                </c:pt>
                <c:pt idx="3">
                  <c:v>315132</c:v>
                </c:pt>
                <c:pt idx="4">
                  <c:v>288275</c:v>
                </c:pt>
                <c:pt idx="5">
                  <c:v>245214</c:v>
                </c:pt>
                <c:pt idx="6">
                  <c:v>235711</c:v>
                </c:pt>
                <c:pt idx="7">
                  <c:v>204000</c:v>
                </c:pt>
                <c:pt idx="8">
                  <c:v>193554</c:v>
                </c:pt>
                <c:pt idx="9">
                  <c:v>174970</c:v>
                </c:pt>
                <c:pt idx="10">
                  <c:v>159621</c:v>
                </c:pt>
                <c:pt idx="11">
                  <c:v>145080</c:v>
                </c:pt>
                <c:pt idx="12">
                  <c:v>133341</c:v>
                </c:pt>
                <c:pt idx="13">
                  <c:v>124264</c:v>
                </c:pt>
                <c:pt idx="14">
                  <c:v>112665</c:v>
                </c:pt>
                <c:pt idx="15">
                  <c:v>103792</c:v>
                </c:pt>
                <c:pt idx="16">
                  <c:v>96900</c:v>
                </c:pt>
                <c:pt idx="17">
                  <c:v>86454</c:v>
                </c:pt>
                <c:pt idx="18">
                  <c:v>81415</c:v>
                </c:pt>
                <c:pt idx="19">
                  <c:v>74840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7-494E-B2FB-2BCF7E69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1312"/>
        <c:axId val="467962952"/>
      </c:lineChart>
      <c:catAx>
        <c:axId val="4679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попыток прозвона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62952"/>
        <c:crosses val="autoZero"/>
        <c:auto val="1"/>
        <c:lblAlgn val="ctr"/>
        <c:lblOffset val="100"/>
        <c:noMultiLvlLbl val="0"/>
      </c:catAx>
      <c:valAx>
        <c:axId val="4679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Лиды</a:t>
                </a:r>
                <a:r>
                  <a:rPr lang="ru-RU" baseline="0"/>
                  <a:t> и звонки,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96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26</xdr:row>
      <xdr:rowOff>0</xdr:rowOff>
    </xdr:from>
    <xdr:to>
      <xdr:col>15</xdr:col>
      <xdr:colOff>8947</xdr:colOff>
      <xdr:row>28</xdr:row>
      <xdr:rowOff>171449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5976" y="4953000"/>
          <a:ext cx="1523421" cy="552449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22</xdr:row>
      <xdr:rowOff>57150</xdr:rowOff>
    </xdr:from>
    <xdr:to>
      <xdr:col>9</xdr:col>
      <xdr:colOff>85725</xdr:colOff>
      <xdr:row>39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342899</xdr:colOff>
      <xdr:row>22</xdr:row>
      <xdr:rowOff>47625</xdr:rowOff>
    </xdr:from>
    <xdr:to>
      <xdr:col>13</xdr:col>
      <xdr:colOff>809624</xdr:colOff>
      <xdr:row>39</xdr:row>
      <xdr:rowOff>161925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workbookViewId="0">
      <pane xSplit="1" topLeftCell="B1" activePane="topRight" state="frozen"/>
      <selection pane="topRight" activeCell="W17" sqref="W17"/>
    </sheetView>
  </sheetViews>
  <sheetFormatPr defaultRowHeight="15" x14ac:dyDescent="0.25"/>
  <cols>
    <col min="1" max="1" width="12.140625" bestFit="1" customWidth="1"/>
    <col min="2" max="2" width="9.85546875" style="1" bestFit="1" customWidth="1"/>
    <col min="3" max="3" width="8.7109375" bestFit="1" customWidth="1"/>
    <col min="4" max="4" width="11.28515625" bestFit="1" customWidth="1"/>
    <col min="5" max="5" width="10.85546875" customWidth="1"/>
    <col min="6" max="6" width="13.5703125" bestFit="1" customWidth="1"/>
    <col min="7" max="7" width="15.7109375" customWidth="1"/>
    <col min="8" max="8" width="8.28515625" customWidth="1"/>
    <col min="9" max="9" width="11.85546875" customWidth="1"/>
    <col min="10" max="10" width="16.5703125" bestFit="1" customWidth="1"/>
    <col min="11" max="11" width="17.28515625" bestFit="1" customWidth="1"/>
    <col min="12" max="12" width="18.85546875" bestFit="1" customWidth="1"/>
    <col min="13" max="13" width="22.140625" customWidth="1"/>
    <col min="14" max="14" width="15.28515625" bestFit="1" customWidth="1"/>
    <col min="15" max="15" width="22.85546875" customWidth="1"/>
    <col min="16" max="16" width="12.7109375" customWidth="1"/>
    <col min="17" max="17" width="21.42578125" bestFit="1" customWidth="1"/>
    <col min="18" max="20" width="17.7109375" customWidth="1"/>
    <col min="22" max="23" width="8.85546875" customWidth="1"/>
    <col min="26" max="27" width="11" bestFit="1" customWidth="1"/>
    <col min="28" max="28" width="11" customWidth="1"/>
    <col min="29" max="29" width="12" bestFit="1" customWidth="1"/>
  </cols>
  <sheetData>
    <row r="1" spans="1:36" x14ac:dyDescent="0.25">
      <c r="A1" s="3" t="s">
        <v>4</v>
      </c>
      <c r="B1" s="4" t="s">
        <v>13</v>
      </c>
      <c r="C1" s="10" t="s">
        <v>0</v>
      </c>
      <c r="D1" s="10" t="s">
        <v>5</v>
      </c>
      <c r="E1" s="12" t="s">
        <v>6</v>
      </c>
      <c r="F1" s="12" t="s">
        <v>7</v>
      </c>
      <c r="G1" s="28" t="s">
        <v>16</v>
      </c>
      <c r="H1" s="28" t="s">
        <v>8</v>
      </c>
      <c r="I1" s="28" t="s">
        <v>9</v>
      </c>
      <c r="J1" s="5" t="s">
        <v>1</v>
      </c>
      <c r="K1" s="5" t="s">
        <v>10</v>
      </c>
      <c r="L1" s="5" t="s">
        <v>11</v>
      </c>
      <c r="M1" s="5" t="s">
        <v>12</v>
      </c>
      <c r="N1" s="8" t="s">
        <v>3</v>
      </c>
      <c r="O1" s="32" t="s">
        <v>14</v>
      </c>
      <c r="P1" s="5" t="s">
        <v>32</v>
      </c>
      <c r="Q1" s="32" t="s">
        <v>33</v>
      </c>
      <c r="R1" s="5" t="s">
        <v>37</v>
      </c>
      <c r="S1" s="5" t="s">
        <v>38</v>
      </c>
      <c r="T1" s="5" t="s">
        <v>36</v>
      </c>
      <c r="U1" s="32" t="s">
        <v>34</v>
      </c>
      <c r="V1" s="19" t="s">
        <v>35</v>
      </c>
      <c r="W1" s="19" t="s">
        <v>52</v>
      </c>
      <c r="X1" s="36" t="s">
        <v>40</v>
      </c>
      <c r="Y1" s="20" t="s">
        <v>41</v>
      </c>
      <c r="Z1" s="15" t="s">
        <v>42</v>
      </c>
      <c r="AA1" s="15" t="s">
        <v>47</v>
      </c>
      <c r="AB1" s="17" t="s">
        <v>44</v>
      </c>
      <c r="AC1" s="15" t="s">
        <v>43</v>
      </c>
      <c r="AD1" s="5" t="s">
        <v>45</v>
      </c>
      <c r="AE1" s="5" t="s">
        <v>46</v>
      </c>
      <c r="AF1" s="5" t="s">
        <v>50</v>
      </c>
      <c r="AG1" s="5" t="s">
        <v>51</v>
      </c>
      <c r="AH1" s="15" t="s">
        <v>53</v>
      </c>
      <c r="AI1" s="15" t="s">
        <v>54</v>
      </c>
      <c r="AJ1" s="2"/>
    </row>
    <row r="2" spans="1:36" x14ac:dyDescent="0.25">
      <c r="A2" s="3">
        <v>1</v>
      </c>
      <c r="B2" s="4">
        <v>57.557136059420898</v>
      </c>
      <c r="C2" s="10">
        <v>688270</v>
      </c>
      <c r="D2" s="11">
        <f>C2/SUM($C$2:$C$21)*100</f>
        <v>51.266523802394424</v>
      </c>
      <c r="E2" s="13">
        <f>A2*C2</f>
        <v>688270</v>
      </c>
      <c r="F2" s="14">
        <f>E2/SUM($E$2:$E$21)*100</f>
        <v>16.45608117316435</v>
      </c>
      <c r="G2" s="29">
        <f>D2-F2</f>
        <v>34.810442629230074</v>
      </c>
      <c r="H2" s="29">
        <f>D2/F2</f>
        <v>3.1153543339344352</v>
      </c>
      <c r="I2" s="29">
        <f>H2/$H$2*100</f>
        <v>100</v>
      </c>
      <c r="J2" s="5">
        <v>368732211</v>
      </c>
      <c r="K2" s="6">
        <f>J2/60</f>
        <v>6145536.8499999996</v>
      </c>
      <c r="L2" s="6">
        <f>K2/60</f>
        <v>102425.61416666667</v>
      </c>
      <c r="M2" s="7">
        <f>K2/E2</f>
        <v>8.9289622531855226</v>
      </c>
      <c r="N2" s="9">
        <f>J2/SUM($J$2:$J$21)*100</f>
        <v>45.584274877604216</v>
      </c>
      <c r="O2" s="30">
        <f>0.083*K2</f>
        <v>510079.55855000002</v>
      </c>
      <c r="P2" s="34">
        <f>$P$26*F2/100</f>
        <v>535744.01411272679</v>
      </c>
      <c r="Q2" s="17">
        <f>16*C2</f>
        <v>11012320</v>
      </c>
      <c r="R2" s="35">
        <f>$R$22*D2/100</f>
        <v>5611718.285174367</v>
      </c>
      <c r="S2" s="35">
        <f>$S$22*D2/100</f>
        <v>539221.81001882255</v>
      </c>
      <c r="T2" s="35">
        <f>$T$22*D2/100</f>
        <v>2860495.6713317288</v>
      </c>
      <c r="U2" s="3">
        <f>67*C2*B2/100</f>
        <v>26541949.523863807</v>
      </c>
      <c r="V2" s="24">
        <f>U2-SUM(O2:T2)</f>
        <v>5472370.1846761629</v>
      </c>
      <c r="W2" s="24"/>
      <c r="X2" s="4">
        <f>0.31*D2:D21</f>
        <v>15.892622378742271</v>
      </c>
      <c r="Y2" s="18">
        <f>SUM($X$2:$X$21)</f>
        <v>30.999999999999996</v>
      </c>
      <c r="Z2" s="17">
        <f>($I$45+$I$43)*D2/100</f>
        <v>1030615820.8765668</v>
      </c>
      <c r="AA2" s="17">
        <f>($I$44+$I$47)*F2/100</f>
        <v>437878716.12506837</v>
      </c>
      <c r="AB2" s="2">
        <f>(Z2+AA2)/3600</f>
        <v>407915.14916712086</v>
      </c>
      <c r="AC2" s="18">
        <f>(Z2+AA2)/SUM($I$43,$I$44,$I$45,$I$47)*100</f>
        <v>31.437183793894146</v>
      </c>
      <c r="AD2" s="4">
        <f>O2/SUM($O$2:$O$21)*100</f>
        <v>45.584274877604201</v>
      </c>
      <c r="AE2" s="4">
        <f>P2/SUM($P$2:$P$21)*100</f>
        <v>16.45608117316435</v>
      </c>
      <c r="AF2" s="17">
        <f>(O2+P2)</f>
        <v>1045823.5726627267</v>
      </c>
      <c r="AG2" s="18">
        <f>AF2/SUM($AF$2:$AF$21)*100</f>
        <v>23.906831657671106</v>
      </c>
      <c r="AH2" s="3"/>
      <c r="AI2" s="18">
        <f>V2/C2</f>
        <v>7.9509061628084368</v>
      </c>
      <c r="AJ2" s="2"/>
    </row>
    <row r="3" spans="1:36" x14ac:dyDescent="0.25">
      <c r="A3" s="3">
        <v>2</v>
      </c>
      <c r="B3" s="4">
        <v>54.863458968474902</v>
      </c>
      <c r="C3" s="10">
        <v>182586</v>
      </c>
      <c r="D3" s="11">
        <f t="shared" ref="D3:D21" si="0">C3/SUM($C$2:$C$21)*100</f>
        <v>13.600112622929938</v>
      </c>
      <c r="E3" s="13">
        <f t="shared" ref="E3:E21" si="1">A3*C3</f>
        <v>365172</v>
      </c>
      <c r="F3" s="14">
        <f t="shared" ref="F3:F21" si="2">E3/SUM($E$2:$E$21)*100</f>
        <v>8.7310213639513155</v>
      </c>
      <c r="G3" s="29">
        <f t="shared" ref="G3:G21" si="3">D3-F3</f>
        <v>4.8690912589786226</v>
      </c>
      <c r="H3" s="29">
        <f t="shared" ref="H3:H21" si="4">D3/F3</f>
        <v>1.5576771669672178</v>
      </c>
      <c r="I3" s="29">
        <f t="shared" ref="I3:I21" si="5">H3/$H$2*100</f>
        <v>50.000000000000014</v>
      </c>
      <c r="J3" s="5">
        <v>106392441</v>
      </c>
      <c r="K3" s="6">
        <f t="shared" ref="K3:L21" si="6">J3/60</f>
        <v>1773207.35</v>
      </c>
      <c r="L3" s="6">
        <f t="shared" si="6"/>
        <v>29553.455833333333</v>
      </c>
      <c r="M3" s="7">
        <f t="shared" ref="M2:M21" si="7">K3/E3</f>
        <v>4.8558141095155163</v>
      </c>
      <c r="N3" s="9">
        <f t="shared" ref="N2:N21" si="8">J3/SUM($J$2:$J$21)*100</f>
        <v>13.152694911818507</v>
      </c>
      <c r="O3" s="30">
        <f t="shared" ref="O3:O21" si="9">0.083*K3</f>
        <v>147176.21005000002</v>
      </c>
      <c r="P3" s="34">
        <f t="shared" ref="P2:P21" si="10">$P$26*F3/100</f>
        <v>284247.04421458539</v>
      </c>
      <c r="Q3" s="17">
        <f t="shared" ref="Q3:Q21" si="11">16*C3</f>
        <v>2921376</v>
      </c>
      <c r="R3" s="35">
        <f t="shared" ref="R3:R21" si="12">$R$22*D3/100</f>
        <v>1488690.7678917388</v>
      </c>
      <c r="S3" s="35">
        <f t="shared" ref="S3:S21" si="13">$S$22*D3/100</f>
        <v>143046.12056910331</v>
      </c>
      <c r="T3" s="35">
        <f t="shared" ref="T3:T21" si="14">$T$22*D3/100</f>
        <v>758839.49997206766</v>
      </c>
      <c r="U3" s="3">
        <f>67*C3*B3/100</f>
        <v>6711590.6778760329</v>
      </c>
      <c r="V3" s="24">
        <f t="shared" ref="V3:V21" si="15">U3-SUM(O3:T3)</f>
        <v>968215.03517853748</v>
      </c>
      <c r="W3" s="24"/>
      <c r="X3" s="4">
        <f t="shared" ref="X3:X21" si="16">0.31*D3:D22</f>
        <v>4.216034913108281</v>
      </c>
      <c r="Y3" s="18">
        <f>SUM(X3:$X$21)</f>
        <v>15.107377621257726</v>
      </c>
      <c r="Z3" s="17">
        <f t="shared" ref="Z3:Z21" si="17">($I$45+$I$43)*D3/100</f>
        <v>273404362.05350929</v>
      </c>
      <c r="AA3" s="17">
        <f t="shared" ref="AA3:AA21" si="18">($I$44+$I$47)*F3/100</f>
        <v>232323138.48464042</v>
      </c>
      <c r="AB3" s="2">
        <f t="shared" ref="AB3:AB21" si="19">(Z3+AA3)/3600</f>
        <v>140479.86126059713</v>
      </c>
      <c r="AC3" s="18">
        <f t="shared" ref="AC3:AC21" si="20">(Z3+AA3)/SUM($I$43,$I$44,$I$45,$I$47)*100</f>
        <v>10.826494742368123</v>
      </c>
      <c r="AD3" s="4">
        <f t="shared" ref="AD3:AD21" si="21">O3/SUM($O$2:$O$21)*100</f>
        <v>13.152694911818507</v>
      </c>
      <c r="AE3" s="4">
        <f t="shared" ref="AE3:AE21" si="22">P3/SUM($P$2:$P$21)*100</f>
        <v>8.7310213639513155</v>
      </c>
      <c r="AF3" s="17">
        <f t="shared" ref="AF3:AF21" si="23">(O3+P3)</f>
        <v>431423.25426458544</v>
      </c>
      <c r="AG3" s="18">
        <f t="shared" ref="AG3:AG21" si="24">AF3/SUM($AF$2:$AF$21)*100</f>
        <v>9.8620488029813096</v>
      </c>
      <c r="AH3" s="3"/>
      <c r="AI3" s="18">
        <f t="shared" ref="AI3:AI21" si="25">V3/C3</f>
        <v>5.302789015469628</v>
      </c>
      <c r="AJ3" s="2"/>
    </row>
    <row r="4" spans="1:36" x14ac:dyDescent="0.25">
      <c r="A4" s="3">
        <v>3</v>
      </c>
      <c r="B4" s="4">
        <v>54.430693478296703</v>
      </c>
      <c r="C4" s="10">
        <v>117932</v>
      </c>
      <c r="D4" s="11">
        <f t="shared" si="0"/>
        <v>8.7842905909947842</v>
      </c>
      <c r="E4" s="13">
        <f t="shared" si="1"/>
        <v>353796</v>
      </c>
      <c r="F4" s="14">
        <f t="shared" si="2"/>
        <v>8.4590287165514315</v>
      </c>
      <c r="G4" s="29">
        <f t="shared" si="3"/>
        <v>0.32526187444335264</v>
      </c>
      <c r="H4" s="29">
        <f t="shared" si="4"/>
        <v>1.0384514446448121</v>
      </c>
      <c r="I4" s="29">
        <f t="shared" si="5"/>
        <v>33.333333333333343</v>
      </c>
      <c r="J4" s="5">
        <v>72728891</v>
      </c>
      <c r="K4" s="6">
        <f t="shared" si="6"/>
        <v>1212148.1833333333</v>
      </c>
      <c r="L4" s="6">
        <f t="shared" si="6"/>
        <v>20202.469722222224</v>
      </c>
      <c r="M4" s="7">
        <f t="shared" si="7"/>
        <v>3.4261217858125397</v>
      </c>
      <c r="N4" s="9">
        <f t="shared" si="8"/>
        <v>8.9910608837135602</v>
      </c>
      <c r="O4" s="30">
        <f>0.083*K4</f>
        <v>100608.29921666667</v>
      </c>
      <c r="P4" s="34">
        <f t="shared" si="10"/>
        <v>275392.05430576124</v>
      </c>
      <c r="Q4" s="17">
        <f t="shared" si="11"/>
        <v>1886912</v>
      </c>
      <c r="R4" s="35">
        <f t="shared" si="12"/>
        <v>961542.9421697642</v>
      </c>
      <c r="S4" s="35">
        <f t="shared" si="13"/>
        <v>92393.256278989051</v>
      </c>
      <c r="T4" s="35">
        <f t="shared" si="14"/>
        <v>490133.19701787591</v>
      </c>
      <c r="U4" s="3">
        <f t="shared" ref="U3:U21" si="26">67*C4*B4/100</f>
        <v>4300810.7639992656</v>
      </c>
      <c r="V4" s="24">
        <f t="shared" si="15"/>
        <v>493829.01501020882</v>
      </c>
      <c r="W4" s="24"/>
      <c r="X4" s="4">
        <f t="shared" si="16"/>
        <v>2.7231300832083831</v>
      </c>
      <c r="Y4" s="18">
        <f>SUM(X4:$X$21)</f>
        <v>10.891342708149445</v>
      </c>
      <c r="Z4" s="17">
        <f t="shared" si="17"/>
        <v>176591432.12346214</v>
      </c>
      <c r="AA4" s="17">
        <f t="shared" si="18"/>
        <v>225085705.10146403</v>
      </c>
      <c r="AB4" s="2">
        <f t="shared" si="19"/>
        <v>111576.98256247949</v>
      </c>
      <c r="AC4" s="18">
        <f t="shared" si="20"/>
        <v>8.5990091693008353</v>
      </c>
      <c r="AD4" s="4">
        <f t="shared" si="21"/>
        <v>8.9910608837135584</v>
      </c>
      <c r="AE4" s="4">
        <f t="shared" si="22"/>
        <v>8.4590287165514333</v>
      </c>
      <c r="AF4" s="17">
        <f t="shared" si="23"/>
        <v>376000.3535224279</v>
      </c>
      <c r="AG4" s="18">
        <f t="shared" si="24"/>
        <v>8.595118134504327</v>
      </c>
      <c r="AH4" s="3"/>
      <c r="AI4" s="18">
        <f t="shared" si="25"/>
        <v>4.1874047333226674</v>
      </c>
      <c r="AJ4" s="2"/>
    </row>
    <row r="5" spans="1:36" x14ac:dyDescent="0.25">
      <c r="A5" s="3">
        <v>4</v>
      </c>
      <c r="B5" s="4">
        <v>54.066412091103402</v>
      </c>
      <c r="C5" s="10">
        <v>78783</v>
      </c>
      <c r="D5" s="11">
        <f t="shared" si="0"/>
        <v>5.8682356411350787</v>
      </c>
      <c r="E5" s="13">
        <f t="shared" si="1"/>
        <v>315132</v>
      </c>
      <c r="F5" s="14">
        <f t="shared" si="2"/>
        <v>7.5345980098822078</v>
      </c>
      <c r="G5" s="29">
        <f t="shared" si="3"/>
        <v>-1.6663623687471292</v>
      </c>
      <c r="H5" s="29">
        <f t="shared" si="4"/>
        <v>0.77883858348360901</v>
      </c>
      <c r="I5" s="29">
        <f t="shared" si="5"/>
        <v>25.000000000000007</v>
      </c>
      <c r="J5" s="5">
        <v>50982681</v>
      </c>
      <c r="K5" s="6">
        <f t="shared" si="6"/>
        <v>849711.35</v>
      </c>
      <c r="L5" s="6">
        <f t="shared" si="6"/>
        <v>14161.855833333333</v>
      </c>
      <c r="M5" s="7">
        <f t="shared" si="7"/>
        <v>2.6963664432682175</v>
      </c>
      <c r="N5" s="9">
        <f t="shared" si="8"/>
        <v>6.3027001042260711</v>
      </c>
      <c r="O5" s="30">
        <f>0.083*K5</f>
        <v>70526.042050000004</v>
      </c>
      <c r="P5" s="34">
        <f t="shared" si="10"/>
        <v>245296.29746374505</v>
      </c>
      <c r="Q5" s="17">
        <f t="shared" si="11"/>
        <v>1260528</v>
      </c>
      <c r="R5" s="35">
        <f t="shared" si="12"/>
        <v>642346.75586745364</v>
      </c>
      <c r="S5" s="35">
        <f t="shared" si="13"/>
        <v>61722.161155815171</v>
      </c>
      <c r="T5" s="35">
        <f t="shared" si="14"/>
        <v>327427.36204473191</v>
      </c>
      <c r="U5" s="3">
        <f t="shared" si="26"/>
        <v>2853874.4763281774</v>
      </c>
      <c r="V5" s="24">
        <f t="shared" si="15"/>
        <v>246027.85774643114</v>
      </c>
      <c r="W5" s="24"/>
      <c r="X5" s="4">
        <f t="shared" si="16"/>
        <v>1.8191530487518743</v>
      </c>
      <c r="Y5" s="18">
        <f>SUM(X5:$X$21)</f>
        <v>8.1682126249410629</v>
      </c>
      <c r="Z5" s="17">
        <f t="shared" si="17"/>
        <v>117969701.15814808</v>
      </c>
      <c r="AA5" s="17">
        <f t="shared" si="18"/>
        <v>200487592.90674445</v>
      </c>
      <c r="AB5" s="2">
        <f t="shared" si="19"/>
        <v>88460.359462470151</v>
      </c>
      <c r="AC5" s="18">
        <f t="shared" si="20"/>
        <v>6.8174584458893879</v>
      </c>
      <c r="AD5" s="4">
        <f t="shared" si="21"/>
        <v>6.3027001042260693</v>
      </c>
      <c r="AE5" s="4">
        <f t="shared" si="22"/>
        <v>7.5345980098822078</v>
      </c>
      <c r="AF5" s="17">
        <f t="shared" si="23"/>
        <v>315822.33951374504</v>
      </c>
      <c r="AG5" s="18">
        <f t="shared" si="24"/>
        <v>7.2194887377260253</v>
      </c>
      <c r="AH5" s="3"/>
      <c r="AI5" s="18">
        <f t="shared" si="25"/>
        <v>3.1228546481656085</v>
      </c>
      <c r="AJ5" s="2"/>
    </row>
    <row r="6" spans="1:36" x14ac:dyDescent="0.25">
      <c r="A6" s="3">
        <v>5</v>
      </c>
      <c r="B6" s="4">
        <v>53.602993464494901</v>
      </c>
      <c r="C6" s="10">
        <v>57655</v>
      </c>
      <c r="D6" s="11">
        <f t="shared" si="0"/>
        <v>4.2944940645779281</v>
      </c>
      <c r="E6" s="13">
        <f t="shared" si="1"/>
        <v>288275</v>
      </c>
      <c r="F6" s="14">
        <f t="shared" si="2"/>
        <v>6.892464875984647</v>
      </c>
      <c r="G6" s="29">
        <f t="shared" si="3"/>
        <v>-2.5979708114067188</v>
      </c>
      <c r="H6" s="29">
        <f t="shared" si="4"/>
        <v>0.62307086678688706</v>
      </c>
      <c r="I6" s="29">
        <f t="shared" si="5"/>
        <v>20</v>
      </c>
      <c r="J6" s="5">
        <v>39053315</v>
      </c>
      <c r="K6" s="6">
        <f t="shared" si="6"/>
        <v>650888.58333333337</v>
      </c>
      <c r="L6" s="6">
        <f t="shared" si="6"/>
        <v>10848.143055555556</v>
      </c>
      <c r="M6" s="7">
        <f t="shared" si="7"/>
        <v>2.2578738473101496</v>
      </c>
      <c r="N6" s="9">
        <f t="shared" si="8"/>
        <v>4.8279401493396072</v>
      </c>
      <c r="O6" s="30">
        <f t="shared" si="9"/>
        <v>54023.75241666667</v>
      </c>
      <c r="P6" s="34">
        <f t="shared" si="10"/>
        <v>224391.01757790742</v>
      </c>
      <c r="Q6" s="17">
        <f t="shared" si="11"/>
        <v>922480</v>
      </c>
      <c r="R6" s="35">
        <f t="shared" si="12"/>
        <v>470082.40622390655</v>
      </c>
      <c r="S6" s="35">
        <f t="shared" si="13"/>
        <v>45169.531516171293</v>
      </c>
      <c r="T6" s="35">
        <f t="shared" si="14"/>
        <v>239617.99574386622</v>
      </c>
      <c r="U6" s="3">
        <f t="shared" si="26"/>
        <v>2070621.9940909538</v>
      </c>
      <c r="V6" s="24">
        <f t="shared" si="15"/>
        <v>114857.29061243543</v>
      </c>
      <c r="W6" s="24"/>
      <c r="X6" s="4">
        <f t="shared" si="16"/>
        <v>1.3312931600191578</v>
      </c>
      <c r="Y6" s="18">
        <f>SUM(X6:$X$21)</f>
        <v>6.3490595761891884</v>
      </c>
      <c r="Z6" s="17">
        <f t="shared" si="17"/>
        <v>86332624.046723619</v>
      </c>
      <c r="AA6" s="17">
        <f t="shared" si="18"/>
        <v>183401117.13565037</v>
      </c>
      <c r="AB6" s="2">
        <f t="shared" si="19"/>
        <v>74926.039217326106</v>
      </c>
      <c r="AC6" s="18">
        <f t="shared" si="20"/>
        <v>5.7743961474168728</v>
      </c>
      <c r="AD6" s="4">
        <f t="shared" si="21"/>
        <v>4.8279401493396064</v>
      </c>
      <c r="AE6" s="4">
        <f t="shared" si="22"/>
        <v>6.8924648759846479</v>
      </c>
      <c r="AF6" s="17">
        <f t="shared" si="23"/>
        <v>278414.76999457408</v>
      </c>
      <c r="AG6" s="18">
        <f t="shared" si="24"/>
        <v>6.3643765652775519</v>
      </c>
      <c r="AH6" s="3"/>
      <c r="AI6" s="18">
        <f t="shared" si="25"/>
        <v>1.9921479596294411</v>
      </c>
      <c r="AJ6" s="2"/>
    </row>
    <row r="7" spans="1:36" x14ac:dyDescent="0.25">
      <c r="A7" s="3">
        <v>6</v>
      </c>
      <c r="B7" s="4">
        <v>53.107924312200197</v>
      </c>
      <c r="C7" s="10">
        <v>40869</v>
      </c>
      <c r="D7" s="11">
        <f t="shared" si="0"/>
        <v>3.0441709812719688</v>
      </c>
      <c r="E7" s="13">
        <f t="shared" si="1"/>
        <v>245214</v>
      </c>
      <c r="F7" s="14">
        <f t="shared" si="2"/>
        <v>5.8629048030515971</v>
      </c>
      <c r="G7" s="29">
        <f t="shared" si="3"/>
        <v>-2.8187338217796283</v>
      </c>
      <c r="H7" s="29">
        <f t="shared" si="4"/>
        <v>0.51922572232240594</v>
      </c>
      <c r="I7" s="29">
        <f t="shared" si="5"/>
        <v>16.666666666666668</v>
      </c>
      <c r="J7" s="5">
        <v>28958955</v>
      </c>
      <c r="K7" s="6">
        <f t="shared" si="6"/>
        <v>482649.25</v>
      </c>
      <c r="L7" s="6">
        <f t="shared" si="6"/>
        <v>8044.1541666666662</v>
      </c>
      <c r="M7" s="7">
        <f t="shared" si="7"/>
        <v>1.9682777084505778</v>
      </c>
      <c r="N7" s="9">
        <f t="shared" si="8"/>
        <v>3.5800315934106743</v>
      </c>
      <c r="O7" s="30">
        <f t="shared" si="9"/>
        <v>40059.887750000002</v>
      </c>
      <c r="P7" s="34">
        <f t="shared" si="10"/>
        <v>190872.67013909976</v>
      </c>
      <c r="Q7" s="17">
        <f t="shared" si="11"/>
        <v>653904</v>
      </c>
      <c r="R7" s="35">
        <f t="shared" si="12"/>
        <v>333219.9784921488</v>
      </c>
      <c r="S7" s="35">
        <f t="shared" si="13"/>
        <v>32018.620822728379</v>
      </c>
      <c r="T7" s="35">
        <f t="shared" si="14"/>
        <v>169854.26880680028</v>
      </c>
      <c r="U7" s="3">
        <f t="shared" si="26"/>
        <v>1454213.3983392576</v>
      </c>
      <c r="V7" s="24">
        <f t="shared" si="15"/>
        <v>34283.972328480566</v>
      </c>
      <c r="W7" s="27"/>
      <c r="X7" s="4">
        <f t="shared" si="16"/>
        <v>0.94369300419431035</v>
      </c>
      <c r="Y7" s="18">
        <f>SUM(X7:$X$21)</f>
        <v>5.0177664161700308</v>
      </c>
      <c r="Z7" s="17">
        <f t="shared" si="17"/>
        <v>61197259.772188842</v>
      </c>
      <c r="AA7" s="17">
        <f t="shared" si="18"/>
        <v>156005624.96678993</v>
      </c>
      <c r="AB7" s="2">
        <f t="shared" si="19"/>
        <v>60334.134649716325</v>
      </c>
      <c r="AC7" s="18">
        <f t="shared" si="20"/>
        <v>4.6498279946244558</v>
      </c>
      <c r="AD7" s="4">
        <f t="shared" si="21"/>
        <v>3.5800315934106735</v>
      </c>
      <c r="AE7" s="4">
        <f t="shared" si="22"/>
        <v>5.862904803051598</v>
      </c>
      <c r="AF7" s="17">
        <f t="shared" si="23"/>
        <v>230932.55788909976</v>
      </c>
      <c r="AG7" s="18">
        <f t="shared" si="24"/>
        <v>5.278964760445831</v>
      </c>
      <c r="AH7" s="3"/>
      <c r="AI7" s="18">
        <f t="shared" si="25"/>
        <v>0.83887475417750779</v>
      </c>
      <c r="AJ7" s="2"/>
    </row>
    <row r="8" spans="1:36" x14ac:dyDescent="0.25">
      <c r="A8" s="3">
        <v>7</v>
      </c>
      <c r="B8" s="4">
        <v>53.163859822023802</v>
      </c>
      <c r="C8" s="10">
        <v>33673</v>
      </c>
      <c r="D8" s="11">
        <f t="shared" si="0"/>
        <v>2.5081692591541511</v>
      </c>
      <c r="E8" s="13">
        <f t="shared" si="1"/>
        <v>235711</v>
      </c>
      <c r="F8" s="14">
        <f t="shared" si="2"/>
        <v>5.635694348740671</v>
      </c>
      <c r="G8" s="29">
        <f t="shared" si="3"/>
        <v>-3.1275250895865199</v>
      </c>
      <c r="H8" s="29">
        <f t="shared" si="4"/>
        <v>0.44505061913349087</v>
      </c>
      <c r="I8" s="29">
        <f t="shared" si="5"/>
        <v>14.28571428571429</v>
      </c>
      <c r="J8" s="5">
        <v>24480255</v>
      </c>
      <c r="K8" s="6">
        <f t="shared" si="6"/>
        <v>408004.25</v>
      </c>
      <c r="L8" s="6">
        <f t="shared" si="6"/>
        <v>6800.0708333333332</v>
      </c>
      <c r="M8" s="7">
        <f t="shared" si="7"/>
        <v>1.7309512496234796</v>
      </c>
      <c r="N8" s="9">
        <f t="shared" si="8"/>
        <v>3.0263552781773244</v>
      </c>
      <c r="O8" s="30">
        <f t="shared" si="9"/>
        <v>33864.352749999998</v>
      </c>
      <c r="P8" s="34">
        <f t="shared" si="10"/>
        <v>183475.60886065781</v>
      </c>
      <c r="Q8" s="17">
        <f t="shared" si="11"/>
        <v>538768</v>
      </c>
      <c r="R8" s="35">
        <f t="shared" si="12"/>
        <v>274548.34558629099</v>
      </c>
      <c r="S8" s="35">
        <f t="shared" si="13"/>
        <v>26380.949349475955</v>
      </c>
      <c r="T8" s="35">
        <f t="shared" si="14"/>
        <v>139947.21655855014</v>
      </c>
      <c r="U8" s="3">
        <f t="shared" si="26"/>
        <v>1199425.056697295</v>
      </c>
      <c r="V8" s="24">
        <f t="shared" si="15"/>
        <v>2440.5835923198611</v>
      </c>
      <c r="W8" s="27"/>
      <c r="X8" s="4">
        <f t="shared" si="16"/>
        <v>0.77753247033778683</v>
      </c>
      <c r="Y8" s="18">
        <f>SUM(X8:$X$21)</f>
        <v>4.0740734119757205</v>
      </c>
      <c r="Z8" s="17">
        <f t="shared" si="17"/>
        <v>50421965.996449992</v>
      </c>
      <c r="AA8" s="17">
        <f t="shared" si="18"/>
        <v>149959797.83595967</v>
      </c>
      <c r="AB8" s="2">
        <f t="shared" si="19"/>
        <v>55661.601064558243</v>
      </c>
      <c r="AC8" s="18">
        <f t="shared" si="20"/>
        <v>4.2897254159394533</v>
      </c>
      <c r="AD8" s="4">
        <f t="shared" si="21"/>
        <v>3.0263552781773235</v>
      </c>
      <c r="AE8" s="4">
        <f t="shared" si="22"/>
        <v>5.6356943487406728</v>
      </c>
      <c r="AF8" s="17">
        <f t="shared" si="23"/>
        <v>217339.9616106578</v>
      </c>
      <c r="AG8" s="18">
        <f t="shared" si="24"/>
        <v>4.9682470452273444</v>
      </c>
      <c r="AH8" s="3"/>
      <c r="AI8" s="18">
        <f t="shared" si="25"/>
        <v>7.2478947296643045E-2</v>
      </c>
      <c r="AJ8" s="2"/>
    </row>
    <row r="9" spans="1:36" x14ac:dyDescent="0.25">
      <c r="A9" s="3">
        <v>8</v>
      </c>
      <c r="B9" s="4">
        <v>53.072968618123198</v>
      </c>
      <c r="C9" s="10">
        <v>25500</v>
      </c>
      <c r="D9" s="11">
        <f t="shared" si="0"/>
        <v>1.8993946517515772</v>
      </c>
      <c r="E9" s="13">
        <f t="shared" si="1"/>
        <v>204000</v>
      </c>
      <c r="F9" s="14">
        <f t="shared" si="2"/>
        <v>4.8775052803776529</v>
      </c>
      <c r="G9" s="29">
        <f t="shared" si="3"/>
        <v>-2.9781106286260757</v>
      </c>
      <c r="H9" s="29">
        <f t="shared" si="4"/>
        <v>0.38941929174180451</v>
      </c>
      <c r="I9" s="29">
        <f t="shared" si="5"/>
        <v>12.500000000000004</v>
      </c>
      <c r="J9" s="5">
        <v>19225847</v>
      </c>
      <c r="K9" s="6">
        <f t="shared" si="6"/>
        <v>320430.78333333333</v>
      </c>
      <c r="L9" s="6">
        <f t="shared" si="6"/>
        <v>5340.5130555555552</v>
      </c>
      <c r="M9" s="7">
        <f t="shared" si="7"/>
        <v>1.5707391339869281</v>
      </c>
      <c r="N9" s="9">
        <f t="shared" si="8"/>
        <v>2.3767825762386741</v>
      </c>
      <c r="O9" s="30">
        <f t="shared" si="9"/>
        <v>26595.755016666666</v>
      </c>
      <c r="P9" s="34">
        <f t="shared" si="10"/>
        <v>158792.01313292206</v>
      </c>
      <c r="Q9" s="17">
        <f t="shared" si="11"/>
        <v>408000</v>
      </c>
      <c r="R9" s="35">
        <f t="shared" si="12"/>
        <v>207910.87258190304</v>
      </c>
      <c r="S9" s="35">
        <f t="shared" si="13"/>
        <v>19977.851941069606</v>
      </c>
      <c r="T9" s="35">
        <f t="shared" si="14"/>
        <v>105979.68765013598</v>
      </c>
      <c r="U9" s="3">
        <f t="shared" si="26"/>
        <v>906751.66884063487</v>
      </c>
      <c r="V9" s="26">
        <f t="shared" si="15"/>
        <v>-20504.5114820624</v>
      </c>
      <c r="W9" s="27">
        <f>SUM($V$9:V9)/SUM($V$2:$V$8)*100</f>
        <v>-0.27965690854597308</v>
      </c>
      <c r="X9" s="4">
        <f t="shared" si="16"/>
        <v>0.58881234204298893</v>
      </c>
      <c r="Y9" s="18">
        <f>SUM(X9:$X$21)</f>
        <v>3.2965409416379337</v>
      </c>
      <c r="Z9" s="17">
        <f t="shared" si="17"/>
        <v>38183711.962387517</v>
      </c>
      <c r="AA9" s="17">
        <f t="shared" si="18"/>
        <v>129785197.79957566</v>
      </c>
      <c r="AB9" s="2">
        <f t="shared" si="19"/>
        <v>46658.030489434219</v>
      </c>
      <c r="AC9" s="18">
        <f t="shared" si="20"/>
        <v>3.5958387006522297</v>
      </c>
      <c r="AD9" s="4">
        <f t="shared" si="21"/>
        <v>2.3767825762386732</v>
      </c>
      <c r="AE9" s="4">
        <f t="shared" si="22"/>
        <v>4.8775052803776537</v>
      </c>
      <c r="AF9" s="17">
        <f t="shared" si="23"/>
        <v>185387.76814958872</v>
      </c>
      <c r="AG9" s="18">
        <f t="shared" si="24"/>
        <v>4.237841142994478</v>
      </c>
      <c r="AH9" s="4">
        <f>SUM($AG$9)</f>
        <v>4.237841142994478</v>
      </c>
      <c r="AI9" s="18">
        <f t="shared" si="25"/>
        <v>-0.80409848949264318</v>
      </c>
      <c r="AJ9" s="2"/>
    </row>
    <row r="10" spans="1:36" x14ac:dyDescent="0.25">
      <c r="A10" s="3">
        <v>9</v>
      </c>
      <c r="B10" s="4">
        <v>52.618170237932702</v>
      </c>
      <c r="C10" s="10">
        <v>21506</v>
      </c>
      <c r="D10" s="11">
        <f t="shared" si="0"/>
        <v>1.6018973090419379</v>
      </c>
      <c r="E10" s="13">
        <f t="shared" si="1"/>
        <v>193554</v>
      </c>
      <c r="F10" s="14">
        <f t="shared" si="2"/>
        <v>4.6277483188147857</v>
      </c>
      <c r="G10" s="29">
        <f t="shared" si="3"/>
        <v>-3.0258510097728477</v>
      </c>
      <c r="H10" s="29">
        <f t="shared" si="4"/>
        <v>0.34615048154827066</v>
      </c>
      <c r="I10" s="29">
        <f t="shared" si="5"/>
        <v>11.111111111111112</v>
      </c>
      <c r="J10" s="5">
        <v>16598395</v>
      </c>
      <c r="K10" s="6">
        <f t="shared" si="6"/>
        <v>276639.91666666669</v>
      </c>
      <c r="L10" s="6">
        <f t="shared" si="6"/>
        <v>4610.6652777777781</v>
      </c>
      <c r="M10" s="7">
        <f t="shared" si="7"/>
        <v>1.4292647874322757</v>
      </c>
      <c r="N10" s="9">
        <f t="shared" si="8"/>
        <v>2.0519655664339322</v>
      </c>
      <c r="O10" s="30">
        <f t="shared" si="9"/>
        <v>22961.113083333337</v>
      </c>
      <c r="P10" s="34">
        <f t="shared" si="10"/>
        <v>150660.92798985098</v>
      </c>
      <c r="Q10" s="17">
        <f t="shared" si="11"/>
        <v>344096</v>
      </c>
      <c r="R10" s="35">
        <f t="shared" si="12"/>
        <v>175346.32257829045</v>
      </c>
      <c r="S10" s="35">
        <f t="shared" si="13"/>
        <v>16848.771915476194</v>
      </c>
      <c r="T10" s="35">
        <f t="shared" si="14"/>
        <v>89380.359317797032</v>
      </c>
      <c r="U10" s="3">
        <f>67*C10*B10/100</f>
        <v>758176.26732177706</v>
      </c>
      <c r="V10" s="26">
        <f t="shared" si="15"/>
        <v>-41117.227562970947</v>
      </c>
      <c r="W10" s="27">
        <f>SUM($V$9:V10)/SUM($V$2:$V$8)*100</f>
        <v>-0.84044650640110596</v>
      </c>
      <c r="X10" s="4">
        <f t="shared" si="16"/>
        <v>0.49658816580300075</v>
      </c>
      <c r="Y10" s="18">
        <f>SUM(X10:$X$21)</f>
        <v>2.7077285995949452</v>
      </c>
      <c r="Z10" s="17">
        <f t="shared" si="17"/>
        <v>32203094.488749251</v>
      </c>
      <c r="AA10" s="17">
        <f t="shared" si="18"/>
        <v>123139432.22989738</v>
      </c>
      <c r="AB10" s="2">
        <f t="shared" si="19"/>
        <v>43150.701866290736</v>
      </c>
      <c r="AC10" s="18">
        <f t="shared" si="20"/>
        <v>3.3255360782159786</v>
      </c>
      <c r="AD10" s="4">
        <f t="shared" si="21"/>
        <v>2.0519655664339322</v>
      </c>
      <c r="AE10" s="4">
        <f t="shared" si="22"/>
        <v>4.6277483188147865</v>
      </c>
      <c r="AF10" s="17">
        <f t="shared" si="23"/>
        <v>173622.04107318431</v>
      </c>
      <c r="AG10" s="18">
        <f t="shared" si="24"/>
        <v>3.9688844433194608</v>
      </c>
      <c r="AH10" s="4">
        <f>SUM($AG$9:AG10)</f>
        <v>8.2067255863139383</v>
      </c>
      <c r="AI10" s="18">
        <f t="shared" si="25"/>
        <v>-1.9118956367046847</v>
      </c>
      <c r="AJ10" s="2"/>
    </row>
    <row r="11" spans="1:36" x14ac:dyDescent="0.25">
      <c r="A11" s="3">
        <v>10</v>
      </c>
      <c r="B11" s="4">
        <v>51.958092890358003</v>
      </c>
      <c r="C11" s="10">
        <v>17497</v>
      </c>
      <c r="D11" s="11">
        <f t="shared" si="0"/>
        <v>1.3032826753606801</v>
      </c>
      <c r="E11" s="13">
        <f t="shared" si="1"/>
        <v>174970</v>
      </c>
      <c r="F11" s="14">
        <f t="shared" si="2"/>
        <v>4.183417151508225</v>
      </c>
      <c r="G11" s="29">
        <f t="shared" si="3"/>
        <v>-2.8801344761475449</v>
      </c>
      <c r="H11" s="29">
        <f t="shared" si="4"/>
        <v>0.31153543339344358</v>
      </c>
      <c r="I11" s="29">
        <f t="shared" si="5"/>
        <v>10.000000000000002</v>
      </c>
      <c r="J11" s="5">
        <v>13847838</v>
      </c>
      <c r="K11" s="6">
        <f t="shared" si="6"/>
        <v>230797.3</v>
      </c>
      <c r="L11" s="6">
        <f t="shared" si="6"/>
        <v>3846.6216666666664</v>
      </c>
      <c r="M11" s="7">
        <f t="shared" si="7"/>
        <v>1.3190678402011773</v>
      </c>
      <c r="N11" s="9">
        <f t="shared" si="8"/>
        <v>1.7119297827022033</v>
      </c>
      <c r="O11" s="30">
        <f t="shared" si="9"/>
        <v>19156.175899999998</v>
      </c>
      <c r="P11" s="34">
        <f t="shared" si="10"/>
        <v>136195.28695033025</v>
      </c>
      <c r="Q11" s="17">
        <f t="shared" si="11"/>
        <v>279952</v>
      </c>
      <c r="R11" s="35">
        <f>$R$22*D11/100</f>
        <v>142659.47206139439</v>
      </c>
      <c r="S11" s="35">
        <f t="shared" si="13"/>
        <v>13707.940212270387</v>
      </c>
      <c r="T11" s="35">
        <f t="shared" si="14"/>
        <v>72718.689992722706</v>
      </c>
      <c r="U11" s="3">
        <f t="shared" si="26"/>
        <v>609104.20337273797</v>
      </c>
      <c r="V11" s="26">
        <f t="shared" si="15"/>
        <v>-55285.361743979738</v>
      </c>
      <c r="W11" s="27">
        <f>SUM($V$9:V11)/SUM($V$2:$V$8)*100</f>
        <v>-1.5944724370697101</v>
      </c>
      <c r="X11" s="4">
        <f t="shared" si="16"/>
        <v>0.40401762936181085</v>
      </c>
      <c r="Y11" s="18">
        <f>SUM(X11:$X$21)</f>
        <v>2.211140433791944</v>
      </c>
      <c r="Z11" s="17">
        <f t="shared" si="17"/>
        <v>26200016.008074287</v>
      </c>
      <c r="AA11" s="17">
        <f t="shared" si="18"/>
        <v>111316255.19113603</v>
      </c>
      <c r="AB11" s="2">
        <f t="shared" si="19"/>
        <v>38198.964222002869</v>
      </c>
      <c r="AC11" s="18">
        <f t="shared" si="20"/>
        <v>2.9439158154224399</v>
      </c>
      <c r="AD11" s="4">
        <f t="shared" si="21"/>
        <v>1.7119297827022026</v>
      </c>
      <c r="AE11" s="4">
        <f t="shared" si="22"/>
        <v>4.183417151508225</v>
      </c>
      <c r="AF11" s="17">
        <f t="shared" si="23"/>
        <v>155351.46285033025</v>
      </c>
      <c r="AG11" s="18">
        <f t="shared" si="24"/>
        <v>3.551231170549956</v>
      </c>
      <c r="AH11" s="4">
        <f>SUM($AG$9:AG11)</f>
        <v>11.757956756863894</v>
      </c>
      <c r="AI11" s="18">
        <f t="shared" si="25"/>
        <v>-3.1597051919746093</v>
      </c>
      <c r="AJ11" s="2"/>
    </row>
    <row r="12" spans="1:36" x14ac:dyDescent="0.25">
      <c r="A12" s="3">
        <v>11</v>
      </c>
      <c r="B12" s="4">
        <v>51.691474966170503</v>
      </c>
      <c r="C12" s="10">
        <v>14511</v>
      </c>
      <c r="D12" s="11">
        <f t="shared" si="0"/>
        <v>1.0808672859438091</v>
      </c>
      <c r="E12" s="13">
        <f t="shared" si="1"/>
        <v>159621</v>
      </c>
      <c r="F12" s="14">
        <f t="shared" si="2"/>
        <v>3.8164326978390264</v>
      </c>
      <c r="G12" s="29">
        <f t="shared" si="3"/>
        <v>-2.7355654118952173</v>
      </c>
      <c r="H12" s="29">
        <f t="shared" si="4"/>
        <v>0.28321403035767595</v>
      </c>
      <c r="I12" s="29">
        <f t="shared" si="5"/>
        <v>9.0909090909090917</v>
      </c>
      <c r="J12" s="5">
        <v>11771709</v>
      </c>
      <c r="K12" s="6">
        <f t="shared" si="6"/>
        <v>196195.15</v>
      </c>
      <c r="L12" s="6">
        <f t="shared" si="6"/>
        <v>3269.9191666666666</v>
      </c>
      <c r="M12" s="7">
        <f t="shared" si="7"/>
        <v>1.2291311920110761</v>
      </c>
      <c r="N12" s="9">
        <f t="shared" si="8"/>
        <v>1.4552697128897356</v>
      </c>
      <c r="O12" s="30">
        <f t="shared" si="9"/>
        <v>16284.19745</v>
      </c>
      <c r="P12" s="34">
        <f t="shared" si="10"/>
        <v>124247.74474652037</v>
      </c>
      <c r="Q12" s="17">
        <f t="shared" si="11"/>
        <v>232176</v>
      </c>
      <c r="R12" s="35">
        <f t="shared" si="12"/>
        <v>118313.51655043116</v>
      </c>
      <c r="S12" s="35">
        <f t="shared" si="13"/>
        <v>11368.572922229843</v>
      </c>
      <c r="T12" s="35">
        <f t="shared" si="14"/>
        <v>60308.676372200905</v>
      </c>
      <c r="U12" s="3">
        <f t="shared" si="26"/>
        <v>502563.64546684711</v>
      </c>
      <c r="V12" s="26">
        <f t="shared" si="15"/>
        <v>-60135.062574535143</v>
      </c>
      <c r="W12" s="27">
        <f>SUM($V$9:V12)/SUM($V$2:$V$8)*100</f>
        <v>-2.4146424620676248</v>
      </c>
      <c r="X12" s="4">
        <f t="shared" si="16"/>
        <v>0.33506885864258079</v>
      </c>
      <c r="Y12" s="18">
        <f>SUM(X12:$X$21)</f>
        <v>1.8071228044301333</v>
      </c>
      <c r="Z12" s="17">
        <f t="shared" si="17"/>
        <v>21728778.207302164</v>
      </c>
      <c r="AA12" s="17">
        <f t="shared" si="18"/>
        <v>101551191.46061797</v>
      </c>
      <c r="AB12" s="2">
        <f t="shared" si="19"/>
        <v>34244.436018866705</v>
      </c>
      <c r="AC12" s="18">
        <f t="shared" si="20"/>
        <v>2.6391484386923434</v>
      </c>
      <c r="AD12" s="4">
        <f t="shared" si="21"/>
        <v>1.4552697128897352</v>
      </c>
      <c r="AE12" s="4">
        <f t="shared" si="22"/>
        <v>3.8164326978390268</v>
      </c>
      <c r="AF12" s="17">
        <f t="shared" si="23"/>
        <v>140531.94219652037</v>
      </c>
      <c r="AG12" s="18">
        <f t="shared" si="24"/>
        <v>3.2124667797110913</v>
      </c>
      <c r="AH12" s="4">
        <f>SUM($AG$9:AG12)</f>
        <v>14.970423536574986</v>
      </c>
      <c r="AI12" s="18">
        <f t="shared" si="25"/>
        <v>-4.1441018933591858</v>
      </c>
      <c r="AJ12" s="2"/>
    </row>
    <row r="13" spans="1:36" x14ac:dyDescent="0.25">
      <c r="A13" s="3">
        <v>12</v>
      </c>
      <c r="B13" s="4">
        <v>51.173556403800802</v>
      </c>
      <c r="C13" s="10">
        <v>12090</v>
      </c>
      <c r="D13" s="11">
        <f t="shared" si="0"/>
        <v>0.90053652312457133</v>
      </c>
      <c r="E13" s="13">
        <f t="shared" si="1"/>
        <v>145080</v>
      </c>
      <c r="F13" s="14">
        <f t="shared" si="2"/>
        <v>3.4687669905744603</v>
      </c>
      <c r="G13" s="29">
        <f t="shared" si="3"/>
        <v>-2.5682304674498888</v>
      </c>
      <c r="H13" s="29">
        <f t="shared" si="4"/>
        <v>0.25961286116120302</v>
      </c>
      <c r="I13" s="29">
        <f t="shared" si="5"/>
        <v>8.3333333333333357</v>
      </c>
      <c r="J13" s="5">
        <v>10015071</v>
      </c>
      <c r="K13" s="6">
        <f t="shared" si="6"/>
        <v>166917.85</v>
      </c>
      <c r="L13" s="6">
        <f t="shared" si="6"/>
        <v>2781.9641666666666</v>
      </c>
      <c r="M13" s="7">
        <f t="shared" si="7"/>
        <v>1.1505228149986215</v>
      </c>
      <c r="N13" s="9">
        <f t="shared" si="8"/>
        <v>1.2381065059236782</v>
      </c>
      <c r="O13" s="30">
        <f>0.083*K13</f>
        <v>13854.181550000001</v>
      </c>
      <c r="P13" s="34">
        <f t="shared" si="10"/>
        <v>112929.14345747224</v>
      </c>
      <c r="Q13" s="17">
        <f t="shared" si="11"/>
        <v>193440</v>
      </c>
      <c r="R13" s="35">
        <f t="shared" si="12"/>
        <v>98574.213706478738</v>
      </c>
      <c r="S13" s="35">
        <f t="shared" si="13"/>
        <v>9471.8521555894731</v>
      </c>
      <c r="T13" s="35">
        <f t="shared" si="14"/>
        <v>50246.840144711525</v>
      </c>
      <c r="U13" s="3">
        <f t="shared" si="26"/>
        <v>414521.1589377076</v>
      </c>
      <c r="V13" s="26">
        <f t="shared" si="15"/>
        <v>-63995.072076544457</v>
      </c>
      <c r="W13" s="27">
        <f>SUM($V$9:V13)/SUM($V$2:$V$8)*100</f>
        <v>-3.287458380396592</v>
      </c>
      <c r="X13" s="4">
        <f t="shared" si="16"/>
        <v>0.27916632216861709</v>
      </c>
      <c r="Y13" s="18">
        <f>SUM(X13:$X$21)</f>
        <v>1.4720539457875523</v>
      </c>
      <c r="Z13" s="17">
        <f t="shared" si="17"/>
        <v>18103571.671579026</v>
      </c>
      <c r="AA13" s="17">
        <f t="shared" si="18"/>
        <v>92300178.905698225</v>
      </c>
      <c r="AB13" s="2">
        <f t="shared" si="19"/>
        <v>30667.708493688122</v>
      </c>
      <c r="AC13" s="18">
        <f t="shared" si="20"/>
        <v>2.3634973852335461</v>
      </c>
      <c r="AD13" s="4">
        <f t="shared" si="21"/>
        <v>1.238106505923678</v>
      </c>
      <c r="AE13" s="4">
        <f t="shared" si="22"/>
        <v>3.4687669905744607</v>
      </c>
      <c r="AF13" s="17">
        <f t="shared" si="23"/>
        <v>126783.32500747225</v>
      </c>
      <c r="AG13" s="18">
        <f t="shared" si="24"/>
        <v>2.8981825301913724</v>
      </c>
      <c r="AH13" s="4">
        <f>SUM($AG$9:AG13)</f>
        <v>17.868606066766358</v>
      </c>
      <c r="AI13" s="18">
        <f t="shared" si="25"/>
        <v>-5.2932234968192269</v>
      </c>
      <c r="AJ13" s="2"/>
    </row>
    <row r="14" spans="1:36" x14ac:dyDescent="0.25">
      <c r="A14" s="3">
        <v>13</v>
      </c>
      <c r="B14" s="4">
        <v>52.479220406993399</v>
      </c>
      <c r="C14" s="10">
        <v>10257</v>
      </c>
      <c r="D14" s="11">
        <f t="shared" si="0"/>
        <v>0.76400356639278133</v>
      </c>
      <c r="E14" s="13">
        <f t="shared" si="1"/>
        <v>133341</v>
      </c>
      <c r="F14" s="14">
        <f t="shared" si="2"/>
        <v>3.1880952528962578</v>
      </c>
      <c r="G14" s="29">
        <f t="shared" si="3"/>
        <v>-2.4240916865034765</v>
      </c>
      <c r="H14" s="29">
        <f t="shared" si="4"/>
        <v>0.23964264107187966</v>
      </c>
      <c r="I14" s="29">
        <f t="shared" si="5"/>
        <v>7.6923076923076925</v>
      </c>
      <c r="J14" s="5">
        <v>8649660</v>
      </c>
      <c r="K14" s="6">
        <f t="shared" si="6"/>
        <v>144161</v>
      </c>
      <c r="L14" s="6">
        <f t="shared" si="6"/>
        <v>2402.6833333333334</v>
      </c>
      <c r="M14" s="7">
        <f t="shared" si="7"/>
        <v>1.0811453341432868</v>
      </c>
      <c r="N14" s="9">
        <f t="shared" si="8"/>
        <v>1.0693084771967971</v>
      </c>
      <c r="O14" s="30">
        <f t="shared" si="9"/>
        <v>11965.363000000001</v>
      </c>
      <c r="P14" s="34">
        <f t="shared" si="10"/>
        <v>103791.59717233805</v>
      </c>
      <c r="Q14" s="17">
        <f t="shared" si="11"/>
        <v>164112</v>
      </c>
      <c r="R14" s="35">
        <f t="shared" si="12"/>
        <v>83629.090983238391</v>
      </c>
      <c r="S14" s="35">
        <f t="shared" si="13"/>
        <v>8035.7971513549383</v>
      </c>
      <c r="T14" s="35">
        <f t="shared" si="14"/>
        <v>42628.770832448805</v>
      </c>
      <c r="U14" s="3">
        <f t="shared" si="26"/>
        <v>360647.17368873599</v>
      </c>
      <c r="V14" s="26">
        <f t="shared" si="15"/>
        <v>-53515.445450644242</v>
      </c>
      <c r="W14" s="27">
        <f>SUM($V$9:V14)/SUM($V$2:$V$8)*100</f>
        <v>-4.0173447786792451</v>
      </c>
      <c r="X14" s="4">
        <f t="shared" si="16"/>
        <v>0.23684110558176222</v>
      </c>
      <c r="Y14" s="18">
        <f>SUM(X14:$X$21)</f>
        <v>1.1928876236189354</v>
      </c>
      <c r="Z14" s="17">
        <f t="shared" si="17"/>
        <v>15358836.611694461</v>
      </c>
      <c r="AA14" s="17">
        <f t="shared" si="18"/>
        <v>84831804.214672625</v>
      </c>
      <c r="AB14" s="2">
        <f t="shared" si="19"/>
        <v>27830.733562879745</v>
      </c>
      <c r="AC14" s="18">
        <f t="shared" si="20"/>
        <v>2.1448575467754902</v>
      </c>
      <c r="AD14" s="4">
        <f t="shared" si="21"/>
        <v>1.0693084771967969</v>
      </c>
      <c r="AE14" s="4">
        <f t="shared" si="22"/>
        <v>3.1880952528962587</v>
      </c>
      <c r="AF14" s="17">
        <f t="shared" si="23"/>
        <v>115756.96017233805</v>
      </c>
      <c r="AG14" s="18">
        <f t="shared" si="24"/>
        <v>2.6461271598592013</v>
      </c>
      <c r="AH14" s="4">
        <f>SUM($AG$9:AG14)</f>
        <v>20.514733226625559</v>
      </c>
      <c r="AI14" s="18">
        <f t="shared" si="25"/>
        <v>-5.2174559277219696</v>
      </c>
      <c r="AJ14" s="2"/>
    </row>
    <row r="15" spans="1:36" x14ac:dyDescent="0.25">
      <c r="A15" s="3">
        <v>14</v>
      </c>
      <c r="B15" s="4">
        <v>51.090446141923998</v>
      </c>
      <c r="C15" s="10">
        <v>8876</v>
      </c>
      <c r="D15" s="11">
        <f t="shared" si="0"/>
        <v>0.66113831093909803</v>
      </c>
      <c r="E15" s="13">
        <f t="shared" si="1"/>
        <v>124264</v>
      </c>
      <c r="F15" s="14">
        <f t="shared" si="2"/>
        <v>2.9710701772590618</v>
      </c>
      <c r="G15" s="29">
        <f t="shared" si="3"/>
        <v>-2.3099318663199639</v>
      </c>
      <c r="H15" s="29">
        <f t="shared" si="4"/>
        <v>0.22252530956674546</v>
      </c>
      <c r="I15" s="29">
        <f t="shared" si="5"/>
        <v>7.142857142857145</v>
      </c>
      <c r="J15" s="5">
        <v>7671214</v>
      </c>
      <c r="K15" s="6">
        <f t="shared" si="6"/>
        <v>127853.56666666667</v>
      </c>
      <c r="L15" s="6">
        <f t="shared" si="6"/>
        <v>2130.8927777777776</v>
      </c>
      <c r="M15" s="7">
        <f t="shared" si="7"/>
        <v>1.028886617738578</v>
      </c>
      <c r="N15" s="9">
        <f t="shared" si="8"/>
        <v>0.94834873978754652</v>
      </c>
      <c r="O15" s="30">
        <f t="shared" si="9"/>
        <v>10611.846033333333</v>
      </c>
      <c r="P15" s="34">
        <f t="shared" si="10"/>
        <v>96726.13098014424</v>
      </c>
      <c r="Q15" s="17">
        <f t="shared" si="11"/>
        <v>142016</v>
      </c>
      <c r="R15" s="35">
        <f t="shared" si="12"/>
        <v>72369.290393606716</v>
      </c>
      <c r="S15" s="35">
        <f t="shared" si="13"/>
        <v>6953.8593658405425</v>
      </c>
      <c r="T15" s="35">
        <f t="shared" si="14"/>
        <v>36889.243434612035</v>
      </c>
      <c r="U15" s="3">
        <f t="shared" si="26"/>
        <v>303830.79597033066</v>
      </c>
      <c r="V15" s="26">
        <f t="shared" si="15"/>
        <v>-61735.574237206252</v>
      </c>
      <c r="W15" s="27">
        <f>SUM($V$9:V15)/SUM($V$2:$V$8)*100</f>
        <v>-4.8593438603735812</v>
      </c>
      <c r="X15" s="4">
        <f t="shared" si="16"/>
        <v>0.20495287639112039</v>
      </c>
      <c r="Y15" s="18">
        <f>SUM(X15:$X$21)</f>
        <v>0.956046518037173</v>
      </c>
      <c r="Z15" s="17">
        <f t="shared" si="17"/>
        <v>13290926.563849084</v>
      </c>
      <c r="AA15" s="17">
        <f t="shared" si="18"/>
        <v>79056999.114541516</v>
      </c>
      <c r="AB15" s="2">
        <f t="shared" si="19"/>
        <v>25652.201577330721</v>
      </c>
      <c r="AC15" s="18">
        <f t="shared" si="20"/>
        <v>1.976962555450902</v>
      </c>
      <c r="AD15" s="4">
        <f t="shared" si="21"/>
        <v>0.94834873978754641</v>
      </c>
      <c r="AE15" s="4">
        <f t="shared" si="22"/>
        <v>2.9710701772590622</v>
      </c>
      <c r="AF15" s="17">
        <f t="shared" si="23"/>
        <v>107337.97701347758</v>
      </c>
      <c r="AG15" s="18">
        <f t="shared" si="24"/>
        <v>2.4536748013842464</v>
      </c>
      <c r="AH15" s="4">
        <f>SUM($AG$9:AG15)</f>
        <v>22.968408028009804</v>
      </c>
      <c r="AI15" s="18">
        <f t="shared" si="25"/>
        <v>-6.9553373408299066</v>
      </c>
      <c r="AJ15" s="2"/>
    </row>
    <row r="16" spans="1:36" x14ac:dyDescent="0.25">
      <c r="A16" s="3">
        <v>15</v>
      </c>
      <c r="B16" s="4">
        <v>51.043717999212198</v>
      </c>
      <c r="C16" s="10">
        <v>7511</v>
      </c>
      <c r="D16" s="11">
        <f t="shared" si="0"/>
        <v>0.55946483252180768</v>
      </c>
      <c r="E16" s="13">
        <f t="shared" si="1"/>
        <v>112665</v>
      </c>
      <c r="F16" s="14">
        <f t="shared" si="2"/>
        <v>2.6937457471262172</v>
      </c>
      <c r="G16" s="29">
        <f t="shared" si="3"/>
        <v>-2.1342809146044095</v>
      </c>
      <c r="H16" s="29">
        <f t="shared" si="4"/>
        <v>0.20769028892896238</v>
      </c>
      <c r="I16" s="29">
        <f t="shared" si="5"/>
        <v>6.6666666666666679</v>
      </c>
      <c r="J16" s="5">
        <v>6624289</v>
      </c>
      <c r="K16" s="6">
        <f t="shared" si="6"/>
        <v>110404.81666666667</v>
      </c>
      <c r="L16" s="6">
        <f t="shared" si="6"/>
        <v>1840.0802777777778</v>
      </c>
      <c r="M16" s="7">
        <f t="shared" si="7"/>
        <v>0.97993890442166298</v>
      </c>
      <c r="N16" s="9">
        <f t="shared" si="8"/>
        <v>0.81892333144903895</v>
      </c>
      <c r="O16" s="30">
        <f t="shared" si="9"/>
        <v>9163.5997833333331</v>
      </c>
      <c r="P16" s="34">
        <f t="shared" si="10"/>
        <v>87697.559605983668</v>
      </c>
      <c r="Q16" s="17">
        <f t="shared" si="11"/>
        <v>120176</v>
      </c>
      <c r="R16" s="35">
        <f t="shared" si="12"/>
        <v>61239.943684810729</v>
      </c>
      <c r="S16" s="35">
        <f t="shared" si="13"/>
        <v>5884.4567031126981</v>
      </c>
      <c r="T16" s="35">
        <f t="shared" si="14"/>
        <v>31216.21309569299</v>
      </c>
      <c r="U16" s="3">
        <f t="shared" si="26"/>
        <v>256870.87514769551</v>
      </c>
      <c r="V16" s="26">
        <f t="shared" si="15"/>
        <v>-58506.897725237912</v>
      </c>
      <c r="W16" s="27">
        <f>SUM($V$9:V16)/SUM($V$2:$V$8)*100</f>
        <v>-5.6573076724238724</v>
      </c>
      <c r="X16" s="4">
        <f t="shared" si="16"/>
        <v>0.17343409808176039</v>
      </c>
      <c r="Y16" s="18">
        <f>SUM(X16:$X$21)</f>
        <v>0.75109364164605263</v>
      </c>
      <c r="Z16" s="17">
        <f t="shared" si="17"/>
        <v>11246974.923509516</v>
      </c>
      <c r="AA16" s="17">
        <f t="shared" si="18"/>
        <v>71677692.69651565</v>
      </c>
      <c r="AB16" s="2">
        <f t="shared" si="19"/>
        <v>23034.629894451431</v>
      </c>
      <c r="AC16" s="18">
        <f t="shared" si="20"/>
        <v>1.7752316752509725</v>
      </c>
      <c r="AD16" s="4">
        <f t="shared" si="21"/>
        <v>0.81892333144903862</v>
      </c>
      <c r="AE16" s="4">
        <f t="shared" si="22"/>
        <v>2.6937457471262181</v>
      </c>
      <c r="AF16" s="17">
        <f t="shared" si="23"/>
        <v>96861.159389317007</v>
      </c>
      <c r="AG16" s="18">
        <f t="shared" si="24"/>
        <v>2.2141817149822791</v>
      </c>
      <c r="AH16" s="4">
        <f>SUM($AG$9:AG16)</f>
        <v>25.182589742992082</v>
      </c>
      <c r="AI16" s="18">
        <f t="shared" si="25"/>
        <v>-7.7894951038793652</v>
      </c>
      <c r="AJ16" s="2"/>
    </row>
    <row r="17" spans="1:36" x14ac:dyDescent="0.25">
      <c r="A17" s="3">
        <v>16</v>
      </c>
      <c r="B17" s="4">
        <v>50.167071688942798</v>
      </c>
      <c r="C17" s="10">
        <v>6487</v>
      </c>
      <c r="D17" s="11">
        <f t="shared" si="0"/>
        <v>0.48319110219264627</v>
      </c>
      <c r="E17" s="13">
        <f t="shared" si="1"/>
        <v>103792</v>
      </c>
      <c r="F17" s="14">
        <f t="shared" si="2"/>
        <v>2.4815981767693986</v>
      </c>
      <c r="G17" s="29">
        <f t="shared" si="3"/>
        <v>-1.9984070745767524</v>
      </c>
      <c r="H17" s="29">
        <f t="shared" si="4"/>
        <v>0.19470964587090225</v>
      </c>
      <c r="I17" s="29">
        <f t="shared" si="5"/>
        <v>6.2500000000000018</v>
      </c>
      <c r="J17" s="5">
        <v>5872004</v>
      </c>
      <c r="K17" s="6">
        <f t="shared" si="6"/>
        <v>97866.733333333337</v>
      </c>
      <c r="L17" s="6">
        <f t="shared" si="6"/>
        <v>1631.1122222222223</v>
      </c>
      <c r="M17" s="7">
        <f t="shared" si="7"/>
        <v>0.94291210626380972</v>
      </c>
      <c r="N17" s="9">
        <f t="shared" si="8"/>
        <v>0.7259225975741822</v>
      </c>
      <c r="O17" s="30">
        <f t="shared" si="9"/>
        <v>8122.9388666666673</v>
      </c>
      <c r="P17" s="34">
        <f t="shared" si="10"/>
        <v>80790.885426922774</v>
      </c>
      <c r="Q17" s="17">
        <f t="shared" si="11"/>
        <v>103792</v>
      </c>
      <c r="R17" s="35">
        <f>$R$22*D17/100</f>
        <v>52890.895311325679</v>
      </c>
      <c r="S17" s="35">
        <f t="shared" si="13"/>
        <v>5082.2088447732749</v>
      </c>
      <c r="T17" s="35">
        <f t="shared" si="14"/>
        <v>26960.401324958122</v>
      </c>
      <c r="U17" s="3">
        <f t="shared" si="26"/>
        <v>218040.6420109352</v>
      </c>
      <c r="V17" s="26">
        <f t="shared" si="15"/>
        <v>-59598.687763711292</v>
      </c>
      <c r="W17" s="27">
        <f>SUM($V$9:V17)/SUM($V$2:$V$8)*100</f>
        <v>-6.4701621892445678</v>
      </c>
      <c r="X17" s="4">
        <f t="shared" si="16"/>
        <v>0.14978924167972035</v>
      </c>
      <c r="Y17" s="18">
        <f>SUM(X17:$X$21)</f>
        <v>0.57765954356429228</v>
      </c>
      <c r="Z17" s="17">
        <f t="shared" si="17"/>
        <v>9713636.8431375604</v>
      </c>
      <c r="AA17" s="17">
        <f t="shared" si="18"/>
        <v>66032672.794184104</v>
      </c>
      <c r="AB17" s="2">
        <f t="shared" si="19"/>
        <v>21040.641565922684</v>
      </c>
      <c r="AC17" s="18">
        <f t="shared" si="20"/>
        <v>1.6215590850203112</v>
      </c>
      <c r="AD17" s="4">
        <f t="shared" si="21"/>
        <v>0.72592259757418209</v>
      </c>
      <c r="AE17" s="4">
        <f t="shared" si="22"/>
        <v>2.4815981767693991</v>
      </c>
      <c r="AF17" s="17">
        <f t="shared" si="23"/>
        <v>88913.824293589438</v>
      </c>
      <c r="AG17" s="18">
        <f t="shared" si="24"/>
        <v>2.0325109177015093</v>
      </c>
      <c r="AH17" s="4">
        <f>SUM($AG$9:AG17)</f>
        <v>27.21510066069359</v>
      </c>
      <c r="AI17" s="18">
        <f t="shared" si="25"/>
        <v>-9.1874036941130406</v>
      </c>
      <c r="AJ17" s="2"/>
    </row>
    <row r="18" spans="1:36" x14ac:dyDescent="0.25">
      <c r="A18" s="3">
        <v>17</v>
      </c>
      <c r="B18" s="4">
        <v>51.385041551246502</v>
      </c>
      <c r="C18" s="10">
        <v>5700</v>
      </c>
      <c r="D18" s="11">
        <f t="shared" si="0"/>
        <v>0.42457056921505842</v>
      </c>
      <c r="E18" s="13">
        <f t="shared" si="1"/>
        <v>96900</v>
      </c>
      <c r="F18" s="14">
        <f t="shared" si="2"/>
        <v>2.3168150081793852</v>
      </c>
      <c r="G18" s="29">
        <f t="shared" si="3"/>
        <v>-1.8922444389643269</v>
      </c>
      <c r="H18" s="29">
        <f t="shared" si="4"/>
        <v>0.18325613729026094</v>
      </c>
      <c r="I18" s="29">
        <f t="shared" si="5"/>
        <v>5.8823529411764719</v>
      </c>
      <c r="J18" s="5">
        <v>5218380</v>
      </c>
      <c r="K18" s="6">
        <f t="shared" si="6"/>
        <v>86973</v>
      </c>
      <c r="L18" s="6">
        <f t="shared" si="6"/>
        <v>1449.55</v>
      </c>
      <c r="M18" s="7">
        <f t="shared" si="7"/>
        <v>0.89755417956656347</v>
      </c>
      <c r="N18" s="9">
        <f t="shared" si="8"/>
        <v>0.64511876434845083</v>
      </c>
      <c r="O18" s="30">
        <f t="shared" si="9"/>
        <v>7218.759</v>
      </c>
      <c r="P18" s="34">
        <f t="shared" si="10"/>
        <v>75426.20623813798</v>
      </c>
      <c r="Q18" s="17">
        <f t="shared" si="11"/>
        <v>91200</v>
      </c>
      <c r="R18" s="35">
        <f t="shared" si="12"/>
        <v>46474.195047719499</v>
      </c>
      <c r="S18" s="35">
        <f t="shared" si="13"/>
        <v>4465.6374927096767</v>
      </c>
      <c r="T18" s="35">
        <f t="shared" si="14"/>
        <v>23689.577239442162</v>
      </c>
      <c r="U18" s="3">
        <f t="shared" si="26"/>
        <v>196239.47368421042</v>
      </c>
      <c r="V18" s="26">
        <f t="shared" si="15"/>
        <v>-52234.901333798887</v>
      </c>
      <c r="W18" s="27">
        <f>SUM($V$9:V18)/SUM($V$2:$V$8)*100</f>
        <v>-7.182583503841272</v>
      </c>
      <c r="X18" s="4">
        <f t="shared" si="16"/>
        <v>0.13161687645666811</v>
      </c>
      <c r="Y18" s="18">
        <f>SUM(X18:$X$21)</f>
        <v>0.42787030188457192</v>
      </c>
      <c r="Z18" s="17">
        <f t="shared" si="17"/>
        <v>8535182.6739454456</v>
      </c>
      <c r="AA18" s="17">
        <f t="shared" si="18"/>
        <v>61647968.954798438</v>
      </c>
      <c r="AB18" s="2">
        <f t="shared" si="19"/>
        <v>19495.319896873301</v>
      </c>
      <c r="AC18" s="18">
        <f t="shared" si="20"/>
        <v>1.5024643138901279</v>
      </c>
      <c r="AD18" s="4">
        <f t="shared" si="21"/>
        <v>0.64511876434845072</v>
      </c>
      <c r="AE18" s="4">
        <f t="shared" si="22"/>
        <v>2.3168150081793857</v>
      </c>
      <c r="AF18" s="17">
        <f t="shared" si="23"/>
        <v>82644.965238137986</v>
      </c>
      <c r="AG18" s="18">
        <f t="shared" si="24"/>
        <v>1.889208966931007</v>
      </c>
      <c r="AH18" s="4">
        <f>SUM($AG$9:AG18)</f>
        <v>29.104309627624598</v>
      </c>
      <c r="AI18" s="18">
        <f t="shared" si="25"/>
        <v>-9.1640177778594545</v>
      </c>
      <c r="AJ18" s="2"/>
    </row>
    <row r="19" spans="1:36" x14ac:dyDescent="0.25">
      <c r="A19" s="3">
        <v>18</v>
      </c>
      <c r="B19" s="4">
        <v>48.639246981788403</v>
      </c>
      <c r="C19" s="10">
        <v>4803</v>
      </c>
      <c r="D19" s="11">
        <f t="shared" si="0"/>
        <v>0.35775656911226766</v>
      </c>
      <c r="E19" s="13">
        <f t="shared" si="1"/>
        <v>86454</v>
      </c>
      <c r="F19" s="14">
        <f t="shared" si="2"/>
        <v>2.0670580466165176</v>
      </c>
      <c r="G19" s="29">
        <f t="shared" si="3"/>
        <v>-1.7093014775042499</v>
      </c>
      <c r="H19" s="29">
        <f t="shared" si="4"/>
        <v>0.17307524077413536</v>
      </c>
      <c r="I19" s="29">
        <f t="shared" si="5"/>
        <v>5.555555555555558</v>
      </c>
      <c r="J19" s="5">
        <v>4450152</v>
      </c>
      <c r="K19" s="6">
        <f t="shared" si="6"/>
        <v>74169.2</v>
      </c>
      <c r="L19" s="6">
        <f t="shared" si="6"/>
        <v>1236.1533333333332</v>
      </c>
      <c r="M19" s="7">
        <f t="shared" si="7"/>
        <v>0.85790362504915907</v>
      </c>
      <c r="N19" s="9">
        <f t="shared" si="8"/>
        <v>0.55014708767908571</v>
      </c>
      <c r="O19" s="30">
        <f t="shared" si="9"/>
        <v>6156.0436</v>
      </c>
      <c r="P19" s="34">
        <f t="shared" si="10"/>
        <v>67295.121095066876</v>
      </c>
      <c r="Q19" s="17">
        <f t="shared" si="11"/>
        <v>76848</v>
      </c>
      <c r="R19" s="35">
        <f t="shared" si="12"/>
        <v>39160.624353367857</v>
      </c>
      <c r="S19" s="35">
        <f t="shared" si="13"/>
        <v>3762.8871714885227</v>
      </c>
      <c r="T19" s="35">
        <f t="shared" si="14"/>
        <v>19961.585873866788</v>
      </c>
      <c r="U19" s="3">
        <f t="shared" si="26"/>
        <v>156521.58317986492</v>
      </c>
      <c r="V19" s="26">
        <f t="shared" si="15"/>
        <v>-56662.678913925134</v>
      </c>
      <c r="W19" s="27">
        <f>SUM($V$9:V19)/SUM($V$2:$V$8)*100</f>
        <v>-7.9553943864055201</v>
      </c>
      <c r="X19" s="4">
        <f t="shared" si="16"/>
        <v>0.11090453642480297</v>
      </c>
      <c r="Y19" s="18">
        <f>SUM(X19:$X$21)</f>
        <v>0.29625342542790384</v>
      </c>
      <c r="Z19" s="17">
        <f t="shared" si="17"/>
        <v>7192014.4531508731</v>
      </c>
      <c r="AA19" s="17">
        <f t="shared" si="18"/>
        <v>55002203.385120161</v>
      </c>
      <c r="AB19" s="2">
        <f t="shared" si="19"/>
        <v>17276.171621741956</v>
      </c>
      <c r="AC19" s="18">
        <f t="shared" si="20"/>
        <v>1.3314391084432338</v>
      </c>
      <c r="AD19" s="4">
        <f t="shared" si="21"/>
        <v>0.5501470876790856</v>
      </c>
      <c r="AE19" s="4">
        <f t="shared" si="22"/>
        <v>2.0670580466165176</v>
      </c>
      <c r="AF19" s="17">
        <f t="shared" si="23"/>
        <v>73451.16469506688</v>
      </c>
      <c r="AG19" s="18">
        <f t="shared" si="24"/>
        <v>1.6790447981144672</v>
      </c>
      <c r="AH19" s="4">
        <f>SUM($AG$9:AG19)</f>
        <v>30.783354425739066</v>
      </c>
      <c r="AI19" s="18">
        <f t="shared" si="25"/>
        <v>-11.79735142909122</v>
      </c>
      <c r="AJ19" s="2"/>
    </row>
    <row r="20" spans="1:36" x14ac:dyDescent="0.25">
      <c r="A20" s="3">
        <v>19</v>
      </c>
      <c r="B20" s="4">
        <v>49.931161083065597</v>
      </c>
      <c r="C20" s="10">
        <v>4285</v>
      </c>
      <c r="D20" s="11">
        <f t="shared" si="0"/>
        <v>0.31917278755903949</v>
      </c>
      <c r="E20" s="13">
        <f t="shared" si="1"/>
        <v>81415</v>
      </c>
      <c r="F20" s="14">
        <f t="shared" si="2"/>
        <v>1.9465788843232676</v>
      </c>
      <c r="G20" s="29">
        <f t="shared" si="3"/>
        <v>-1.6274060967642281</v>
      </c>
      <c r="H20" s="29">
        <f t="shared" si="4"/>
        <v>0.16396601757549661</v>
      </c>
      <c r="I20" s="29">
        <f t="shared" si="5"/>
        <v>5.2631578947368434</v>
      </c>
      <c r="J20" s="5">
        <v>4057620</v>
      </c>
      <c r="K20" s="6">
        <f t="shared" si="6"/>
        <v>67627</v>
      </c>
      <c r="L20" s="6">
        <f t="shared" si="6"/>
        <v>1127.1166666666666</v>
      </c>
      <c r="M20" s="7">
        <f t="shared" si="7"/>
        <v>0.83064545845360194</v>
      </c>
      <c r="N20" s="9">
        <f t="shared" si="8"/>
        <v>0.50162057968096641</v>
      </c>
      <c r="O20" s="30">
        <f t="shared" si="9"/>
        <v>5613.0410000000002</v>
      </c>
      <c r="P20" s="34">
        <f t="shared" si="10"/>
        <v>63372.802692239464</v>
      </c>
      <c r="Q20" s="17">
        <f t="shared" si="11"/>
        <v>68560</v>
      </c>
      <c r="R20" s="35">
        <f t="shared" si="12"/>
        <v>34937.179961311936</v>
      </c>
      <c r="S20" s="35">
        <f t="shared" si="13"/>
        <v>3357.0625712738529</v>
      </c>
      <c r="T20" s="35">
        <f t="shared" si="14"/>
        <v>17808.7435914052</v>
      </c>
      <c r="U20" s="3">
        <f t="shared" si="26"/>
        <v>143349.86691142718</v>
      </c>
      <c r="V20" s="26">
        <f t="shared" si="15"/>
        <v>-50298.96290480328</v>
      </c>
      <c r="W20" s="27">
        <f>SUM($V$9:V20)/SUM($V$2:$V$8)*100</f>
        <v>-8.6414118260958706</v>
      </c>
      <c r="X20" s="4">
        <f t="shared" si="16"/>
        <v>9.8943564143302243E-2</v>
      </c>
      <c r="Y20" s="18">
        <f>SUM(X20:$X$21)</f>
        <v>0.18534888900310087</v>
      </c>
      <c r="Z20" s="17">
        <f t="shared" si="17"/>
        <v>6416361.0101502156</v>
      </c>
      <c r="AA20" s="17">
        <f t="shared" si="18"/>
        <v>51796381.759080648</v>
      </c>
      <c r="AB20" s="2">
        <f t="shared" si="19"/>
        <v>16170.206324786352</v>
      </c>
      <c r="AC20" s="18">
        <f t="shared" si="20"/>
        <v>1.2462046316628248</v>
      </c>
      <c r="AD20" s="4">
        <f t="shared" si="21"/>
        <v>0.50162057968096629</v>
      </c>
      <c r="AE20" s="4">
        <f t="shared" si="22"/>
        <v>1.9465788843232679</v>
      </c>
      <c r="AF20" s="17">
        <f t="shared" si="23"/>
        <v>68985.843692239461</v>
      </c>
      <c r="AG20" s="18">
        <f t="shared" si="24"/>
        <v>1.5769705283212723</v>
      </c>
      <c r="AH20" s="4">
        <f>SUM($AG$9:AG20)</f>
        <v>32.360324954060339</v>
      </c>
      <c r="AI20" s="18">
        <f t="shared" si="25"/>
        <v>-11.738381074633205</v>
      </c>
      <c r="AJ20" s="2"/>
    </row>
    <row r="21" spans="1:36" x14ac:dyDescent="0.25">
      <c r="A21" s="3">
        <v>20</v>
      </c>
      <c r="B21" s="4">
        <v>48.802946593001799</v>
      </c>
      <c r="C21" s="10">
        <v>3742</v>
      </c>
      <c r="D21" s="11">
        <f t="shared" si="0"/>
        <v>0.27872685438644712</v>
      </c>
      <c r="E21" s="13">
        <f t="shared" si="1"/>
        <v>74840</v>
      </c>
      <c r="F21" s="14">
        <f t="shared" si="2"/>
        <v>1.789374976389527</v>
      </c>
      <c r="G21" s="29">
        <f t="shared" si="3"/>
        <v>-1.5106481220030799</v>
      </c>
      <c r="H21" s="29">
        <f t="shared" si="4"/>
        <v>0.15576771669672182</v>
      </c>
      <c r="I21" s="29">
        <f t="shared" si="5"/>
        <v>5.0000000000000018</v>
      </c>
      <c r="J21" s="5">
        <v>3571291</v>
      </c>
      <c r="K21" s="6">
        <f t="shared" si="6"/>
        <v>59521.51666666667</v>
      </c>
      <c r="L21" s="6">
        <f t="shared" si="6"/>
        <v>992.02527777777789</v>
      </c>
      <c r="M21" s="7">
        <f t="shared" si="7"/>
        <v>0.79531689827186891</v>
      </c>
      <c r="N21" s="9">
        <f t="shared" si="8"/>
        <v>0.44149847980575263</v>
      </c>
      <c r="O21" s="30">
        <f t="shared" si="9"/>
        <v>4940.2858833333339</v>
      </c>
      <c r="P21" s="34">
        <f>$P$26*F21/100</f>
        <v>58254.873837587678</v>
      </c>
      <c r="Q21" s="17">
        <f t="shared" si="11"/>
        <v>59872</v>
      </c>
      <c r="R21" s="35">
        <f t="shared" si="12"/>
        <v>30509.901380450243</v>
      </c>
      <c r="S21" s="35">
        <f t="shared" si="13"/>
        <v>2931.6518417051948</v>
      </c>
      <c r="T21" s="35">
        <f t="shared" si="14"/>
        <v>15551.999654384661</v>
      </c>
      <c r="U21" s="3">
        <f t="shared" si="26"/>
        <v>122355.81952117854</v>
      </c>
      <c r="V21" s="26">
        <f t="shared" si="15"/>
        <v>-49704.893076282562</v>
      </c>
      <c r="W21" s="27">
        <f>SUM($V$9:V21)/SUM($V$2:$V$8)*100</f>
        <v>-9.3193268668653868</v>
      </c>
      <c r="X21" s="4">
        <f t="shared" si="16"/>
        <v>8.6405324859798613E-2</v>
      </c>
      <c r="Y21" s="18">
        <f>SUM(X21:$X$21)</f>
        <v>8.6405324859798613E-2</v>
      </c>
      <c r="Z21" s="17">
        <f t="shared" si="17"/>
        <v>5603272.5554217286</v>
      </c>
      <c r="AA21" s="17">
        <f t="shared" si="18"/>
        <v>47613353.937844321</v>
      </c>
      <c r="AB21" s="2">
        <f t="shared" si="19"/>
        <v>14782.396248129457</v>
      </c>
      <c r="AC21" s="18">
        <f t="shared" si="20"/>
        <v>1.139248955856319</v>
      </c>
      <c r="AD21" s="4">
        <f t="shared" si="21"/>
        <v>0.44149847980575258</v>
      </c>
      <c r="AE21" s="4">
        <f t="shared" si="22"/>
        <v>1.7893749763895275</v>
      </c>
      <c r="AF21" s="17">
        <f t="shared" si="23"/>
        <v>63195.159720921016</v>
      </c>
      <c r="AG21" s="18">
        <f t="shared" si="24"/>
        <v>1.4445993421061671</v>
      </c>
      <c r="AH21" s="4">
        <f>SUM($AG$9:AG21)</f>
        <v>33.804924296166504</v>
      </c>
      <c r="AI21" s="18">
        <f t="shared" si="25"/>
        <v>-13.282975167365731</v>
      </c>
      <c r="AJ21" s="2"/>
    </row>
    <row r="22" spans="1:36" x14ac:dyDescent="0.25">
      <c r="A22" s="21"/>
      <c r="B22" s="22"/>
      <c r="C22" s="21"/>
      <c r="D22" s="22">
        <f>SUM(D10:D21)*0.3</f>
        <v>2.6203825157370431</v>
      </c>
      <c r="E22" s="21"/>
      <c r="F22" s="21"/>
      <c r="G22" s="28"/>
      <c r="H22" s="28"/>
      <c r="I22" s="28"/>
      <c r="J22" s="21" t="s">
        <v>30</v>
      </c>
      <c r="K22" s="21"/>
      <c r="L22" s="21"/>
      <c r="M22" s="21"/>
      <c r="N22" s="21" t="s">
        <v>39</v>
      </c>
      <c r="O22" s="23">
        <f>SUM(O2:O21)</f>
        <v>1118981.4029500003</v>
      </c>
      <c r="P22" s="23" t="b">
        <f>3255599=P26</f>
        <v>1</v>
      </c>
      <c r="Q22" s="33">
        <f t="shared" ref="Q22" si="27">SUM(Q2:Q21)</f>
        <v>21480528</v>
      </c>
      <c r="R22" s="23">
        <v>10946165</v>
      </c>
      <c r="S22" s="23">
        <v>1051801</v>
      </c>
      <c r="T22" s="23">
        <v>5579656</v>
      </c>
      <c r="U22" s="33">
        <f t="shared" ref="U22" si="28">SUM(U2:U21)</f>
        <v>50081459.065248877</v>
      </c>
      <c r="V22" s="23">
        <f t="shared" ref="V22" si="29">SUM(V2:V21)</f>
        <v>6648728.6622988749</v>
      </c>
      <c r="W22" s="23"/>
      <c r="X22" s="22"/>
      <c r="Y22" s="21"/>
      <c r="Z22" s="23" t="b">
        <f>SUM(Z2:Z21)=I43+I45</f>
        <v>1</v>
      </c>
      <c r="AA22" s="23" t="b">
        <f>SUM(AA2:AA21)=SUM(I44,I47)</f>
        <v>1</v>
      </c>
      <c r="AB22" s="23"/>
      <c r="AC22" s="22" t="b">
        <f>SUM(AC2:AC21)=100</f>
        <v>1</v>
      </c>
      <c r="AD22" s="3" t="b">
        <f>SUM(AD2:AD21)=100</f>
        <v>1</v>
      </c>
      <c r="AE22" s="3" t="b">
        <f>SUM(AE2:AE21)=100</f>
        <v>1</v>
      </c>
      <c r="AF22" s="3"/>
      <c r="AG22" s="3" t="b">
        <f>SUM(AG2:AG21)=100</f>
        <v>1</v>
      </c>
    </row>
    <row r="23" spans="1:36" x14ac:dyDescent="0.25">
      <c r="O23" s="31" t="s">
        <v>55</v>
      </c>
      <c r="P23" t="s">
        <v>56</v>
      </c>
      <c r="Q23" t="s">
        <v>58</v>
      </c>
      <c r="R23" t="s">
        <v>57</v>
      </c>
      <c r="S23" t="s">
        <v>57</v>
      </c>
      <c r="T23" t="s">
        <v>57</v>
      </c>
      <c r="U23" t="s">
        <v>59</v>
      </c>
      <c r="V23" s="2"/>
      <c r="W23" s="2"/>
      <c r="X23" t="s">
        <v>60</v>
      </c>
    </row>
    <row r="25" spans="1:36" x14ac:dyDescent="0.25">
      <c r="O25" t="s">
        <v>15</v>
      </c>
      <c r="P25" s="15" t="s">
        <v>27</v>
      </c>
      <c r="R25" t="s">
        <v>28</v>
      </c>
      <c r="Z25" t="s">
        <v>49</v>
      </c>
    </row>
    <row r="26" spans="1:36" x14ac:dyDescent="0.25">
      <c r="O26">
        <v>1183262</v>
      </c>
      <c r="P26">
        <v>3255599</v>
      </c>
      <c r="R26">
        <f>I43-SUM(J2:J21)</f>
        <v>305804050</v>
      </c>
      <c r="Z26" s="25">
        <f>P26/K49*8*22</f>
        <v>440.87685502792658</v>
      </c>
    </row>
    <row r="27" spans="1:36" x14ac:dyDescent="0.25">
      <c r="P27">
        <v>2807920</v>
      </c>
    </row>
    <row r="28" spans="1:36" x14ac:dyDescent="0.25">
      <c r="R28" s="1"/>
      <c r="S28" s="1"/>
      <c r="T28" s="1"/>
    </row>
    <row r="30" spans="1:36" x14ac:dyDescent="0.25">
      <c r="O30" s="16" t="s">
        <v>29</v>
      </c>
    </row>
    <row r="31" spans="1:36" x14ac:dyDescent="0.25">
      <c r="O31" s="2">
        <f>SUM(O2:O21)</f>
        <v>1118981.4029500003</v>
      </c>
    </row>
    <row r="42" spans="8:13" x14ac:dyDescent="0.25">
      <c r="H42" t="s">
        <v>17</v>
      </c>
      <c r="I42" t="s">
        <v>18</v>
      </c>
      <c r="J42" t="s">
        <v>19</v>
      </c>
      <c r="K42" t="s">
        <v>20</v>
      </c>
      <c r="L42" t="s">
        <v>21</v>
      </c>
      <c r="M42" t="s">
        <v>31</v>
      </c>
    </row>
    <row r="43" spans="8:13" x14ac:dyDescent="0.25">
      <c r="H43" t="s">
        <v>22</v>
      </c>
      <c r="I43">
        <v>1114706269</v>
      </c>
      <c r="J43" s="2">
        <f>I43/60</f>
        <v>18578437.816666666</v>
      </c>
      <c r="K43" s="2">
        <f>J43/60</f>
        <v>309640.63027777779</v>
      </c>
      <c r="L43" s="1">
        <f>I43/SUM($I$43:$I$47)*100</f>
        <v>23.824931935045463</v>
      </c>
      <c r="M43" s="2">
        <f>L43*$P$26/100</f>
        <v>775644.24582802074</v>
      </c>
    </row>
    <row r="44" spans="8:13" x14ac:dyDescent="0.25">
      <c r="H44" t="s">
        <v>23</v>
      </c>
      <c r="I44">
        <v>982610077</v>
      </c>
      <c r="J44" s="2">
        <f t="shared" ref="J44:K47" si="30">I44/60</f>
        <v>16376834.616666667</v>
      </c>
      <c r="K44" s="2">
        <f t="shared" si="30"/>
        <v>272947.24361111113</v>
      </c>
      <c r="L44" s="1">
        <f t="shared" ref="L44:L47" si="31">I44/SUM($I$43:$I$47)*100</f>
        <v>21.001602712987687</v>
      </c>
      <c r="M44" s="2">
        <f t="shared" ref="M44:M45" si="32">L44*$P$26/100</f>
        <v>683727.96790800011</v>
      </c>
    </row>
    <row r="45" spans="8:13" x14ac:dyDescent="0.25">
      <c r="H45" t="s">
        <v>24</v>
      </c>
      <c r="I45">
        <v>895603275</v>
      </c>
      <c r="J45" s="2">
        <f t="shared" si="30"/>
        <v>14926721.25</v>
      </c>
      <c r="K45" s="2">
        <f t="shared" si="30"/>
        <v>248778.6875</v>
      </c>
      <c r="L45" s="1">
        <f t="shared" si="31"/>
        <v>19.141981758854541</v>
      </c>
      <c r="M45" s="2">
        <f t="shared" si="32"/>
        <v>623186.16672145086</v>
      </c>
    </row>
    <row r="46" spans="8:13" x14ac:dyDescent="0.25">
      <c r="H46" t="s">
        <v>25</v>
      </c>
      <c r="I46">
        <v>7535956</v>
      </c>
      <c r="J46" s="2">
        <f t="shared" si="30"/>
        <v>125599.26666666666</v>
      </c>
      <c r="K46" s="2">
        <f t="shared" si="30"/>
        <v>2093.3211111111109</v>
      </c>
      <c r="L46" s="1">
        <f t="shared" si="31"/>
        <v>0.16106811611148969</v>
      </c>
      <c r="M46" s="2">
        <f>L46*$P$26/100</f>
        <v>5243.7319774444968</v>
      </c>
    </row>
    <row r="47" spans="8:13" x14ac:dyDescent="0.25">
      <c r="H47" t="s">
        <v>26</v>
      </c>
      <c r="I47">
        <v>1678282948</v>
      </c>
      <c r="J47" s="2">
        <f t="shared" si="30"/>
        <v>27971382.466666665</v>
      </c>
      <c r="K47" s="2">
        <f t="shared" si="30"/>
        <v>466189.70777777774</v>
      </c>
      <c r="L47" s="1">
        <f t="shared" si="31"/>
        <v>35.870415477000819</v>
      </c>
      <c r="M47" s="2">
        <f>L47*$P$26/100</f>
        <v>1167796.887565084</v>
      </c>
    </row>
    <row r="48" spans="8:13" x14ac:dyDescent="0.25">
      <c r="K48" t="s">
        <v>48</v>
      </c>
    </row>
    <row r="49" spans="9:11" x14ac:dyDescent="0.25">
      <c r="I49">
        <f>SUM(I43:I47)</f>
        <v>4678738525</v>
      </c>
      <c r="K49" s="2">
        <f>SUM(K43:K47)</f>
        <v>1299649.5902777778</v>
      </c>
    </row>
    <row r="50" spans="9:11" x14ac:dyDescent="0.25">
      <c r="I50">
        <f>SUM(J2:J21)</f>
        <v>808902219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1" sqref="F11:F12"/>
    </sheetView>
  </sheetViews>
  <sheetFormatPr defaultRowHeight="15" x14ac:dyDescent="0.25"/>
  <cols>
    <col min="1" max="1" width="13.7109375" bestFit="1" customWidth="1"/>
    <col min="2" max="2" width="11" bestFit="1" customWidth="1"/>
    <col min="3" max="3" width="10.5703125" bestFit="1" customWidth="1"/>
    <col min="4" max="4" width="12.140625" bestFit="1" customWidth="1"/>
    <col min="5" max="5" width="9.570312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22</v>
      </c>
      <c r="B2">
        <v>1114706269</v>
      </c>
      <c r="C2" s="2">
        <f>B2/60</f>
        <v>18578437.816666666</v>
      </c>
      <c r="D2" s="2">
        <f>C2/60</f>
        <v>309640.63027777779</v>
      </c>
      <c r="E2" s="1">
        <f>B2/SUM($B$2:$B$6)*100</f>
        <v>23.824931935045463</v>
      </c>
    </row>
    <row r="3" spans="1:5" x14ac:dyDescent="0.25">
      <c r="A3" t="s">
        <v>23</v>
      </c>
      <c r="B3">
        <v>982610077</v>
      </c>
      <c r="C3" s="2">
        <f t="shared" ref="C3:D6" si="0">B3/60</f>
        <v>16376834.616666667</v>
      </c>
      <c r="D3" s="2">
        <f t="shared" si="0"/>
        <v>272947.24361111113</v>
      </c>
      <c r="E3" s="1">
        <f t="shared" ref="E3:E6" si="1">B3/SUM($B$2:$B$6)*100</f>
        <v>21.001602712987687</v>
      </c>
    </row>
    <row r="4" spans="1:5" x14ac:dyDescent="0.25">
      <c r="A4" t="s">
        <v>24</v>
      </c>
      <c r="B4">
        <v>895603275</v>
      </c>
      <c r="C4" s="2">
        <f t="shared" si="0"/>
        <v>14926721.25</v>
      </c>
      <c r="D4" s="2">
        <f t="shared" si="0"/>
        <v>248778.6875</v>
      </c>
      <c r="E4" s="1">
        <f t="shared" si="1"/>
        <v>19.141981758854541</v>
      </c>
    </row>
    <row r="5" spans="1:5" x14ac:dyDescent="0.25">
      <c r="A5" t="s">
        <v>25</v>
      </c>
      <c r="B5">
        <v>7535956</v>
      </c>
      <c r="C5" s="2">
        <f t="shared" si="0"/>
        <v>125599.26666666666</v>
      </c>
      <c r="D5" s="2">
        <f t="shared" si="0"/>
        <v>2093.3211111111109</v>
      </c>
      <c r="E5" s="1">
        <f t="shared" si="1"/>
        <v>0.16106811611148969</v>
      </c>
    </row>
    <row r="6" spans="1:5" x14ac:dyDescent="0.25">
      <c r="A6" t="s">
        <v>26</v>
      </c>
      <c r="B6">
        <v>1678282948</v>
      </c>
      <c r="C6" s="2">
        <f t="shared" si="0"/>
        <v>27971382.466666665</v>
      </c>
      <c r="D6" s="2">
        <f t="shared" si="0"/>
        <v>466189.70777777774</v>
      </c>
      <c r="E6" s="1">
        <f t="shared" si="1"/>
        <v>35.870415477000819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LEADS, CALLS AND BUYOUT</vt:lpstr>
      <vt:lpstr>ПО СТРАНАМ</vt:lpstr>
      <vt:lpstr>EVENTS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Raznitsyn</dc:creator>
  <cp:lastModifiedBy>Yuriy Raznitsyn</cp:lastModifiedBy>
  <dcterms:created xsi:type="dcterms:W3CDTF">2022-08-08T14:19:14Z</dcterms:created>
  <dcterms:modified xsi:type="dcterms:W3CDTF">2022-08-11T14:03:13Z</dcterms:modified>
</cp:coreProperties>
</file>