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0" windowHeight="7170" tabRatio="910" activeTab="1"/>
  </bookViews>
  <sheets>
    <sheet name="Death Table" sheetId="117" r:id="rId1"/>
    <sheet name="Death Fig" sheetId="119" r:id="rId2"/>
    <sheet name="DALYs Table" sheetId="118" r:id="rId3"/>
    <sheet name="DALYs Fig" sheetId="120" r:id="rId4"/>
    <sheet name="AEB" sheetId="123" r:id="rId5"/>
    <sheet name="SM" sheetId="121" r:id="rId6"/>
    <sheet name="HR" sheetId="12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</externalReferences>
  <calcPr calcId="162913"/>
</workbook>
</file>

<file path=xl/calcChain.xml><?xml version="1.0" encoding="utf-8"?>
<calcChain xmlns="http://schemas.openxmlformats.org/spreadsheetml/2006/main">
  <c r="M9" i="117" l="1"/>
  <c r="M8" i="117"/>
  <c r="M6" i="117"/>
  <c r="M5" i="117"/>
  <c r="M4" i="117"/>
  <c r="M2" i="120" l="1"/>
  <c r="M5" i="118"/>
  <c r="M6" i="118"/>
  <c r="M7" i="118"/>
  <c r="M8" i="118"/>
  <c r="M9" i="118"/>
  <c r="M4" i="118"/>
  <c r="M3" i="119"/>
  <c r="M22" i="117"/>
  <c r="M14" i="119" s="1"/>
  <c r="M20" i="117"/>
  <c r="M12" i="119" s="1"/>
  <c r="M19" i="117"/>
  <c r="M11" i="119" s="1"/>
  <c r="M18" i="117"/>
  <c r="M10" i="119" s="1"/>
  <c r="M17" i="117"/>
  <c r="M9" i="119" s="1"/>
  <c r="M16" i="117"/>
  <c r="M8" i="119" s="1"/>
  <c r="M15" i="117"/>
  <c r="M7" i="119" s="1"/>
  <c r="M14" i="117"/>
  <c r="M6" i="119" s="1"/>
  <c r="M12" i="117"/>
  <c r="M4" i="119" s="1"/>
  <c r="M21" i="117"/>
  <c r="M13" i="119" s="1"/>
  <c r="M23" i="117"/>
  <c r="M15" i="119" s="1"/>
  <c r="M24" i="117"/>
  <c r="M16" i="119" s="1"/>
  <c r="M7" i="117"/>
  <c r="M10" i="117" s="1"/>
  <c r="M10" i="118" l="1"/>
  <c r="M14" i="118"/>
  <c r="M5" i="120" s="1"/>
  <c r="M20" i="118" l="1"/>
  <c r="M11" i="120" s="1"/>
  <c r="M16" i="118"/>
  <c r="M7" i="120" s="1"/>
  <c r="M24" i="118"/>
  <c r="M15" i="120" s="1"/>
  <c r="M22" i="118"/>
  <c r="M13" i="120" s="1"/>
  <c r="M18" i="118"/>
  <c r="M9" i="120" s="1"/>
  <c r="M17" i="118"/>
  <c r="M8" i="120" s="1"/>
  <c r="M12" i="118"/>
  <c r="M3" i="120" s="1"/>
  <c r="M23" i="118"/>
  <c r="M14" i="120" s="1"/>
  <c r="M19" i="118"/>
  <c r="M10" i="120" s="1"/>
  <c r="M15" i="118"/>
  <c r="M6" i="120" s="1"/>
  <c r="M21" i="118"/>
  <c r="M12" i="120" s="1"/>
  <c r="L3" i="123" l="1"/>
  <c r="K3" i="123"/>
  <c r="J3" i="123"/>
  <c r="I3" i="123"/>
  <c r="H3" i="123"/>
  <c r="G3" i="123"/>
  <c r="F3" i="123"/>
  <c r="E3" i="123"/>
  <c r="D3" i="123"/>
  <c r="C3" i="123"/>
  <c r="E16" i="117" l="1"/>
  <c r="B16" i="120" l="1"/>
  <c r="B15" i="120"/>
  <c r="B14" i="120"/>
  <c r="B12" i="120"/>
  <c r="B8" i="120"/>
  <c r="B5" i="120"/>
  <c r="B4" i="120"/>
  <c r="B3" i="120"/>
  <c r="L2" i="120"/>
  <c r="K2" i="120"/>
  <c r="J2" i="120"/>
  <c r="I2" i="120"/>
  <c r="H2" i="120"/>
  <c r="G2" i="120"/>
  <c r="F2" i="120"/>
  <c r="E2" i="120"/>
  <c r="D2" i="120"/>
  <c r="C2" i="120"/>
  <c r="L9" i="118"/>
  <c r="K9" i="118"/>
  <c r="J9" i="118"/>
  <c r="I9" i="118"/>
  <c r="H9" i="118"/>
  <c r="G9" i="118"/>
  <c r="F9" i="118"/>
  <c r="E9" i="118"/>
  <c r="D9" i="118"/>
  <c r="C9" i="118"/>
  <c r="L8" i="118"/>
  <c r="K8" i="118"/>
  <c r="J8" i="118"/>
  <c r="I8" i="118"/>
  <c r="H8" i="118"/>
  <c r="G8" i="118"/>
  <c r="F8" i="118"/>
  <c r="E8" i="118"/>
  <c r="D8" i="118"/>
  <c r="C8" i="118"/>
  <c r="L7" i="118"/>
  <c r="K7" i="118"/>
  <c r="J7" i="118"/>
  <c r="I7" i="118"/>
  <c r="H7" i="118"/>
  <c r="G7" i="118"/>
  <c r="F7" i="118"/>
  <c r="E7" i="118"/>
  <c r="D7" i="118"/>
  <c r="C7" i="118"/>
  <c r="L6" i="118"/>
  <c r="K6" i="118"/>
  <c r="J6" i="118"/>
  <c r="I6" i="118"/>
  <c r="H6" i="118"/>
  <c r="G6" i="118"/>
  <c r="F6" i="118"/>
  <c r="E6" i="118"/>
  <c r="D6" i="118"/>
  <c r="C6" i="118"/>
  <c r="L5" i="118"/>
  <c r="K5" i="118"/>
  <c r="J5" i="118"/>
  <c r="I5" i="118"/>
  <c r="H5" i="118"/>
  <c r="G5" i="118"/>
  <c r="F5" i="118"/>
  <c r="E5" i="118"/>
  <c r="D5" i="118"/>
  <c r="C5" i="118"/>
  <c r="L4" i="118"/>
  <c r="K4" i="118"/>
  <c r="J4" i="118"/>
  <c r="I4" i="118"/>
  <c r="H4" i="118"/>
  <c r="G4" i="118"/>
  <c r="F4" i="118"/>
  <c r="E4" i="118"/>
  <c r="D4" i="118"/>
  <c r="C4" i="118"/>
  <c r="B17" i="119"/>
  <c r="B16" i="119"/>
  <c r="B15" i="119"/>
  <c r="B14" i="119"/>
  <c r="B13" i="119"/>
  <c r="B12" i="119"/>
  <c r="B11" i="119"/>
  <c r="B10" i="119"/>
  <c r="B9" i="119"/>
  <c r="B8" i="119"/>
  <c r="B7" i="119"/>
  <c r="B6" i="119"/>
  <c r="B5" i="119"/>
  <c r="B4" i="119"/>
  <c r="L3" i="119"/>
  <c r="K3" i="119"/>
  <c r="J3" i="119"/>
  <c r="I3" i="119"/>
  <c r="H3" i="119"/>
  <c r="G3" i="119"/>
  <c r="F3" i="119"/>
  <c r="E3" i="119"/>
  <c r="D3" i="119"/>
  <c r="C3" i="119"/>
  <c r="J25" i="117"/>
  <c r="I25" i="117"/>
  <c r="G25" i="117"/>
  <c r="F25" i="117"/>
  <c r="L24" i="117"/>
  <c r="K24" i="117"/>
  <c r="J24" i="117"/>
  <c r="I24" i="117"/>
  <c r="H24" i="117"/>
  <c r="G24" i="117"/>
  <c r="F24" i="117"/>
  <c r="E24" i="117"/>
  <c r="D24" i="117"/>
  <c r="C24" i="117"/>
  <c r="L23" i="117"/>
  <c r="K23" i="117"/>
  <c r="I23" i="117"/>
  <c r="H23" i="117"/>
  <c r="F23" i="117"/>
  <c r="E23" i="117"/>
  <c r="D23" i="117"/>
  <c r="C23" i="117"/>
  <c r="L22" i="117"/>
  <c r="K22" i="117"/>
  <c r="J22" i="117"/>
  <c r="I22" i="117"/>
  <c r="H22" i="117"/>
  <c r="G22" i="117"/>
  <c r="F22" i="117"/>
  <c r="E22" i="117"/>
  <c r="D22" i="117"/>
  <c r="C22" i="117"/>
  <c r="L21" i="117"/>
  <c r="K21" i="117"/>
  <c r="J21" i="117"/>
  <c r="I21" i="117"/>
  <c r="H21" i="117"/>
  <c r="G21" i="117"/>
  <c r="F21" i="117"/>
  <c r="E21" i="117"/>
  <c r="D21" i="117"/>
  <c r="C21" i="117"/>
  <c r="L20" i="117"/>
  <c r="K20" i="117"/>
  <c r="J20" i="117"/>
  <c r="I20" i="117"/>
  <c r="H20" i="117"/>
  <c r="G20" i="117"/>
  <c r="F20" i="117"/>
  <c r="E20" i="117"/>
  <c r="D20" i="117"/>
  <c r="L19" i="117"/>
  <c r="K19" i="117"/>
  <c r="J19" i="117"/>
  <c r="I19" i="117"/>
  <c r="H19" i="117"/>
  <c r="G19" i="117"/>
  <c r="F19" i="117"/>
  <c r="E19" i="117"/>
  <c r="D19" i="117"/>
  <c r="C19" i="117"/>
  <c r="L18" i="117"/>
  <c r="K18" i="117"/>
  <c r="J18" i="117"/>
  <c r="I18" i="117"/>
  <c r="H18" i="117"/>
  <c r="G18" i="117"/>
  <c r="F18" i="117"/>
  <c r="E18" i="117"/>
  <c r="D18" i="117"/>
  <c r="C18" i="117"/>
  <c r="L17" i="117"/>
  <c r="K17" i="117"/>
  <c r="J17" i="117"/>
  <c r="I17" i="117"/>
  <c r="H17" i="117"/>
  <c r="G17" i="117"/>
  <c r="F17" i="117"/>
  <c r="E17" i="117"/>
  <c r="D17" i="117"/>
  <c r="C17" i="117"/>
  <c r="L16" i="117"/>
  <c r="K16" i="117"/>
  <c r="J16" i="117"/>
  <c r="I16" i="117"/>
  <c r="H16" i="117"/>
  <c r="G16" i="117"/>
  <c r="F16" i="117"/>
  <c r="D16" i="117"/>
  <c r="C16" i="117"/>
  <c r="L15" i="117"/>
  <c r="K15" i="117"/>
  <c r="J15" i="117"/>
  <c r="I15" i="117"/>
  <c r="H15" i="117"/>
  <c r="G15" i="117"/>
  <c r="F15" i="117"/>
  <c r="E15" i="117"/>
  <c r="D15" i="117"/>
  <c r="C15" i="117"/>
  <c r="L14" i="117"/>
  <c r="K14" i="117"/>
  <c r="J14" i="117"/>
  <c r="I14" i="117"/>
  <c r="H14" i="117"/>
  <c r="G14" i="117"/>
  <c r="F14" i="117"/>
  <c r="E14" i="117"/>
  <c r="D14" i="117"/>
  <c r="C14" i="117"/>
  <c r="I13" i="117"/>
  <c r="H13" i="117"/>
  <c r="G13" i="117"/>
  <c r="F13" i="117"/>
  <c r="E13" i="117"/>
  <c r="D13" i="117"/>
  <c r="C13" i="117"/>
  <c r="L12" i="117"/>
  <c r="J12" i="117"/>
  <c r="I12" i="117"/>
  <c r="H12" i="117"/>
  <c r="G12" i="117"/>
  <c r="F12" i="117"/>
  <c r="E12" i="117"/>
  <c r="D12" i="117"/>
  <c r="C12" i="117"/>
  <c r="L9" i="117"/>
  <c r="K9" i="117"/>
  <c r="J9" i="117"/>
  <c r="I9" i="117"/>
  <c r="H9" i="117"/>
  <c r="G9" i="117"/>
  <c r="F9" i="117"/>
  <c r="E9" i="117"/>
  <c r="D9" i="117"/>
  <c r="C9" i="117"/>
  <c r="L8" i="117"/>
  <c r="K8" i="117"/>
  <c r="J8" i="117"/>
  <c r="I8" i="117"/>
  <c r="H8" i="117"/>
  <c r="G8" i="117"/>
  <c r="F8" i="117"/>
  <c r="E8" i="117"/>
  <c r="D8" i="117"/>
  <c r="C8" i="117"/>
  <c r="L7" i="117"/>
  <c r="K7" i="117"/>
  <c r="J7" i="117"/>
  <c r="I7" i="117"/>
  <c r="H7" i="117"/>
  <c r="G7" i="117"/>
  <c r="F7" i="117"/>
  <c r="E7" i="117"/>
  <c r="D7" i="117"/>
  <c r="C7" i="117"/>
  <c r="L6" i="117"/>
  <c r="K6" i="117"/>
  <c r="J6" i="117"/>
  <c r="I6" i="117"/>
  <c r="H6" i="117"/>
  <c r="G6" i="117"/>
  <c r="F6" i="117"/>
  <c r="E6" i="117"/>
  <c r="D6" i="117"/>
  <c r="C6" i="117"/>
  <c r="L5" i="117"/>
  <c r="K5" i="117"/>
  <c r="J5" i="117"/>
  <c r="I5" i="117"/>
  <c r="H5" i="117"/>
  <c r="G5" i="117"/>
  <c r="F5" i="117"/>
  <c r="E5" i="117"/>
  <c r="D5" i="117"/>
  <c r="C5" i="117"/>
  <c r="L4" i="117"/>
  <c r="K4" i="117"/>
  <c r="J4" i="117"/>
  <c r="I4" i="117"/>
  <c r="H4" i="117"/>
  <c r="G4" i="117"/>
  <c r="F4" i="117"/>
  <c r="E4" i="117"/>
  <c r="D4" i="117"/>
  <c r="C4" i="117"/>
  <c r="I4" i="122" l="1"/>
  <c r="I4" i="121"/>
  <c r="F4" i="122"/>
  <c r="F4" i="121"/>
  <c r="N4" i="122"/>
  <c r="N4" i="121"/>
  <c r="G4" i="122"/>
  <c r="G4" i="121"/>
  <c r="K4" i="122"/>
  <c r="K4" i="121"/>
  <c r="E4" i="122"/>
  <c r="E4" i="121"/>
  <c r="M4" i="122"/>
  <c r="M4" i="121"/>
  <c r="J4" i="122"/>
  <c r="J4" i="121"/>
  <c r="H4" i="122"/>
  <c r="H4" i="121"/>
  <c r="L4" i="122"/>
  <c r="L4" i="121"/>
  <c r="G10" i="117"/>
  <c r="I5" i="121" s="1"/>
  <c r="D10" i="117"/>
  <c r="F5" i="121" s="1"/>
  <c r="L10" i="117"/>
  <c r="N5" i="121" s="1"/>
  <c r="C10" i="118"/>
  <c r="G10" i="118"/>
  <c r="K10" i="118"/>
  <c r="K16" i="118" s="1"/>
  <c r="K10" i="117"/>
  <c r="M5" i="121" s="1"/>
  <c r="H10" i="117"/>
  <c r="J5" i="121" s="1"/>
  <c r="F10" i="118"/>
  <c r="J10" i="118"/>
  <c r="J22" i="118" s="1"/>
  <c r="L7" i="119"/>
  <c r="L11" i="119"/>
  <c r="L15" i="119"/>
  <c r="L4" i="123" s="1"/>
  <c r="L6" i="119"/>
  <c r="L12" i="119"/>
  <c r="L14" i="119"/>
  <c r="L4" i="119"/>
  <c r="L8" i="119"/>
  <c r="L10" i="119"/>
  <c r="L16" i="119"/>
  <c r="L9" i="119"/>
  <c r="L13" i="119"/>
  <c r="N5" i="122" s="1"/>
  <c r="L10" i="118"/>
  <c r="K8" i="119"/>
  <c r="K12" i="119"/>
  <c r="K16" i="119"/>
  <c r="K6" i="119"/>
  <c r="K10" i="119"/>
  <c r="K14" i="119"/>
  <c r="K7" i="119"/>
  <c r="K11" i="119"/>
  <c r="K9" i="119"/>
  <c r="K13" i="119"/>
  <c r="M5" i="122" s="1"/>
  <c r="K15" i="119"/>
  <c r="K4" i="123" s="1"/>
  <c r="J4" i="119"/>
  <c r="J6" i="119"/>
  <c r="J12" i="119"/>
  <c r="J16" i="119"/>
  <c r="J9" i="119"/>
  <c r="J13" i="119"/>
  <c r="L5" i="122" s="1"/>
  <c r="J17" i="119"/>
  <c r="J7" i="119"/>
  <c r="J11" i="119"/>
  <c r="J8" i="119"/>
  <c r="J10" i="119"/>
  <c r="J14" i="119"/>
  <c r="I5" i="119"/>
  <c r="I9" i="119"/>
  <c r="I13" i="119"/>
  <c r="K5" i="122" s="1"/>
  <c r="I17" i="119"/>
  <c r="I7" i="119"/>
  <c r="I11" i="119"/>
  <c r="I15" i="119"/>
  <c r="I4" i="123" s="1"/>
  <c r="I6" i="119"/>
  <c r="I10" i="119"/>
  <c r="I16" i="119"/>
  <c r="I4" i="119"/>
  <c r="I8" i="119"/>
  <c r="I12" i="119"/>
  <c r="I14" i="119"/>
  <c r="H5" i="119"/>
  <c r="H9" i="119"/>
  <c r="H6" i="119"/>
  <c r="H10" i="119"/>
  <c r="H12" i="119"/>
  <c r="H16" i="119"/>
  <c r="H4" i="119"/>
  <c r="H8" i="119"/>
  <c r="H14" i="119"/>
  <c r="H7" i="119"/>
  <c r="H11" i="119"/>
  <c r="H13" i="119"/>
  <c r="J5" i="122" s="1"/>
  <c r="H15" i="119"/>
  <c r="H4" i="123" s="1"/>
  <c r="G4" i="119"/>
  <c r="G6" i="119"/>
  <c r="G10" i="119"/>
  <c r="G14" i="119"/>
  <c r="G8" i="119"/>
  <c r="G12" i="119"/>
  <c r="G16" i="119"/>
  <c r="G9" i="119"/>
  <c r="G13" i="119"/>
  <c r="I5" i="122" s="1"/>
  <c r="G17" i="119"/>
  <c r="G5" i="119"/>
  <c r="G7" i="119"/>
  <c r="G11" i="119"/>
  <c r="F4" i="119"/>
  <c r="F8" i="119"/>
  <c r="F10" i="119"/>
  <c r="F16" i="119"/>
  <c r="F5" i="119"/>
  <c r="F9" i="119"/>
  <c r="F13" i="119"/>
  <c r="H5" i="122" s="1"/>
  <c r="F15" i="119"/>
  <c r="F4" i="123" s="1"/>
  <c r="F7" i="119"/>
  <c r="F11" i="119"/>
  <c r="F17" i="119"/>
  <c r="F6" i="119"/>
  <c r="F12" i="119"/>
  <c r="F14" i="119"/>
  <c r="E5" i="119"/>
  <c r="E9" i="119"/>
  <c r="E13" i="119"/>
  <c r="G5" i="122" s="1"/>
  <c r="E15" i="119"/>
  <c r="E4" i="123" s="1"/>
  <c r="E7" i="119"/>
  <c r="E11" i="119"/>
  <c r="E4" i="119"/>
  <c r="E6" i="119"/>
  <c r="E10" i="119"/>
  <c r="E16" i="119"/>
  <c r="E8" i="119"/>
  <c r="E12" i="119"/>
  <c r="E14" i="119"/>
  <c r="D7" i="119"/>
  <c r="D9" i="119"/>
  <c r="D15" i="119"/>
  <c r="D4" i="123" s="1"/>
  <c r="D4" i="119"/>
  <c r="D8" i="119"/>
  <c r="D12" i="119"/>
  <c r="D16" i="119"/>
  <c r="D6" i="119"/>
  <c r="D10" i="119"/>
  <c r="D14" i="119"/>
  <c r="D5" i="119"/>
  <c r="D11" i="119"/>
  <c r="D13" i="119"/>
  <c r="F5" i="122" s="1"/>
  <c r="C14" i="119"/>
  <c r="C4" i="119"/>
  <c r="C16" i="119"/>
  <c r="C6" i="119"/>
  <c r="C10" i="119"/>
  <c r="C7" i="119"/>
  <c r="C11" i="119"/>
  <c r="C8" i="119"/>
  <c r="C5" i="119"/>
  <c r="C9" i="119"/>
  <c r="C13" i="119"/>
  <c r="E5" i="122" s="1"/>
  <c r="C15" i="119"/>
  <c r="C4" i="123" s="1"/>
  <c r="C10" i="117"/>
  <c r="E5" i="121" s="1"/>
  <c r="E10" i="117"/>
  <c r="G5" i="121" s="1"/>
  <c r="I10" i="117"/>
  <c r="K5" i="121" s="1"/>
  <c r="F10" i="117"/>
  <c r="H5" i="121" s="1"/>
  <c r="H6" i="121" s="1"/>
  <c r="F14" i="118"/>
  <c r="F13" i="118"/>
  <c r="F15" i="118"/>
  <c r="G25" i="118"/>
  <c r="G21" i="118"/>
  <c r="G17" i="118"/>
  <c r="G13" i="118"/>
  <c r="G24" i="118"/>
  <c r="G20" i="118"/>
  <c r="G16" i="118"/>
  <c r="G12" i="118"/>
  <c r="G15" i="118"/>
  <c r="G22" i="118"/>
  <c r="G14" i="118"/>
  <c r="G19" i="118"/>
  <c r="G18" i="118"/>
  <c r="K14" i="118"/>
  <c r="K20" i="118"/>
  <c r="K23" i="118"/>
  <c r="K15" i="118"/>
  <c r="D10" i="118"/>
  <c r="H10" i="118"/>
  <c r="E10" i="118"/>
  <c r="I10" i="118"/>
  <c r="J10" i="117"/>
  <c r="L5" i="121" s="1"/>
  <c r="J20" i="118"/>
  <c r="J21" i="118"/>
  <c r="J17" i="118"/>
  <c r="J15" i="118" l="1"/>
  <c r="G6" i="121"/>
  <c r="J6" i="121"/>
  <c r="F7" i="121"/>
  <c r="K7" i="121"/>
  <c r="N7" i="121"/>
  <c r="E7" i="121"/>
  <c r="G7" i="121"/>
  <c r="J19" i="118"/>
  <c r="J10" i="120" s="1"/>
  <c r="K24" i="118"/>
  <c r="J7" i="121"/>
  <c r="I7" i="121"/>
  <c r="K6" i="121"/>
  <c r="M6" i="121"/>
  <c r="N6" i="121"/>
  <c r="E6" i="121"/>
  <c r="J12" i="118"/>
  <c r="J3" i="120" s="1"/>
  <c r="L7" i="121"/>
  <c r="K21" i="118"/>
  <c r="K12" i="120" s="1"/>
  <c r="M6" i="122" s="1"/>
  <c r="M7" i="121"/>
  <c r="F6" i="121"/>
  <c r="L6" i="121"/>
  <c r="F17" i="118"/>
  <c r="F8" i="120" s="1"/>
  <c r="H7" i="121"/>
  <c r="I6" i="121"/>
  <c r="F12" i="118"/>
  <c r="F3" i="120" s="1"/>
  <c r="F21" i="118"/>
  <c r="F12" i="120" s="1"/>
  <c r="H6" i="122" s="1"/>
  <c r="F16" i="118"/>
  <c r="F7" i="120" s="1"/>
  <c r="K19" i="118"/>
  <c r="K10" i="120" s="1"/>
  <c r="J16" i="118"/>
  <c r="J7" i="120" s="1"/>
  <c r="F20" i="118"/>
  <c r="F24" i="118"/>
  <c r="F25" i="118"/>
  <c r="F19" i="118"/>
  <c r="F10" i="120" s="1"/>
  <c r="F23" i="118"/>
  <c r="J14" i="118"/>
  <c r="J5" i="120" s="1"/>
  <c r="K17" i="118"/>
  <c r="K8" i="120" s="1"/>
  <c r="K18" i="118"/>
  <c r="J25" i="118"/>
  <c r="J16" i="120" s="1"/>
  <c r="F22" i="118"/>
  <c r="C24" i="118"/>
  <c r="C15" i="120" s="1"/>
  <c r="K22" i="118"/>
  <c r="K13" i="120" s="1"/>
  <c r="F18" i="118"/>
  <c r="C15" i="118"/>
  <c r="C12" i="118"/>
  <c r="C13" i="118"/>
  <c r="L16" i="118"/>
  <c r="C23" i="118"/>
  <c r="C16" i="118"/>
  <c r="C17" i="118"/>
  <c r="L17" i="118"/>
  <c r="C14" i="118"/>
  <c r="C18" i="118"/>
  <c r="C21" i="118"/>
  <c r="C22" i="118"/>
  <c r="C19" i="118"/>
  <c r="L23" i="118"/>
  <c r="L14" i="118"/>
  <c r="L18" i="118"/>
  <c r="L20" i="118"/>
  <c r="L11" i="120" s="1"/>
  <c r="L21" i="118"/>
  <c r="L22" i="118"/>
  <c r="L19" i="118"/>
  <c r="L24" i="118"/>
  <c r="L15" i="118"/>
  <c r="L12" i="118"/>
  <c r="J18" i="118"/>
  <c r="J24" i="118"/>
  <c r="K7" i="120"/>
  <c r="K11" i="120"/>
  <c r="K15" i="120"/>
  <c r="K5" i="120"/>
  <c r="K6" i="120"/>
  <c r="K9" i="120"/>
  <c r="K14" i="120"/>
  <c r="K5" i="123" s="1"/>
  <c r="J6" i="120"/>
  <c r="J11" i="120"/>
  <c r="J8" i="120"/>
  <c r="J13" i="120"/>
  <c r="J12" i="120"/>
  <c r="L6" i="122" s="1"/>
  <c r="G9" i="120"/>
  <c r="G6" i="120"/>
  <c r="G11" i="120"/>
  <c r="G12" i="120"/>
  <c r="I6" i="122" s="1"/>
  <c r="G10" i="120"/>
  <c r="G15" i="120"/>
  <c r="G16" i="120"/>
  <c r="G5" i="120"/>
  <c r="G4" i="120"/>
  <c r="G13" i="120"/>
  <c r="G7" i="120"/>
  <c r="G8" i="120"/>
  <c r="F6" i="120"/>
  <c r="F5" i="120"/>
  <c r="F4" i="120"/>
  <c r="G3" i="120"/>
  <c r="H24" i="118"/>
  <c r="H20" i="118"/>
  <c r="H16" i="118"/>
  <c r="H12" i="118"/>
  <c r="H23" i="118"/>
  <c r="H19" i="118"/>
  <c r="H15" i="118"/>
  <c r="H22" i="118"/>
  <c r="H14" i="118"/>
  <c r="H21" i="118"/>
  <c r="H13" i="118"/>
  <c r="H18" i="118"/>
  <c r="H17" i="118"/>
  <c r="D24" i="118"/>
  <c r="D20" i="118"/>
  <c r="D16" i="118"/>
  <c r="D12" i="118"/>
  <c r="D23" i="118"/>
  <c r="D19" i="118"/>
  <c r="D15" i="118"/>
  <c r="D18" i="118"/>
  <c r="D17" i="118"/>
  <c r="D22" i="118"/>
  <c r="D14" i="118"/>
  <c r="D21" i="118"/>
  <c r="D13" i="118"/>
  <c r="I23" i="118"/>
  <c r="I19" i="118"/>
  <c r="I15" i="118"/>
  <c r="I22" i="118"/>
  <c r="I18" i="118"/>
  <c r="I14" i="118"/>
  <c r="I21" i="118"/>
  <c r="I13" i="118"/>
  <c r="I20" i="118"/>
  <c r="I12" i="118"/>
  <c r="I25" i="118"/>
  <c r="I17" i="118"/>
  <c r="I24" i="118"/>
  <c r="I16" i="118"/>
  <c r="E23" i="118"/>
  <c r="E19" i="118"/>
  <c r="E15" i="118"/>
  <c r="E22" i="118"/>
  <c r="E18" i="118"/>
  <c r="E14" i="118"/>
  <c r="E17" i="118"/>
  <c r="E24" i="118"/>
  <c r="E16" i="118"/>
  <c r="E21" i="118"/>
  <c r="E13" i="118"/>
  <c r="E20" i="118"/>
  <c r="E12" i="118"/>
  <c r="E8" i="121" l="1"/>
  <c r="I8" i="121"/>
  <c r="M8" i="121"/>
  <c r="F16" i="120"/>
  <c r="F15" i="120"/>
  <c r="H8" i="121" s="1"/>
  <c r="F13" i="120"/>
  <c r="F14" i="120"/>
  <c r="F5" i="123" s="1"/>
  <c r="F11" i="120"/>
  <c r="F9" i="120"/>
  <c r="C8" i="120"/>
  <c r="L10" i="120"/>
  <c r="L7" i="120"/>
  <c r="C9" i="120"/>
  <c r="C3" i="120"/>
  <c r="L9" i="120"/>
  <c r="C7" i="120"/>
  <c r="C4" i="120"/>
  <c r="J9" i="120"/>
  <c r="C10" i="120"/>
  <c r="C6" i="120"/>
  <c r="C12" i="120"/>
  <c r="E6" i="122" s="1"/>
  <c r="C13" i="120"/>
  <c r="C5" i="120"/>
  <c r="C14" i="120"/>
  <c r="C5" i="123" s="1"/>
  <c r="L14" i="120"/>
  <c r="L5" i="123" s="1"/>
  <c r="L6" i="120"/>
  <c r="L15" i="120"/>
  <c r="N8" i="121" s="1"/>
  <c r="L12" i="120"/>
  <c r="N6" i="122" s="1"/>
  <c r="L3" i="120"/>
  <c r="L13" i="120"/>
  <c r="L5" i="120"/>
  <c r="L8" i="120"/>
  <c r="J15" i="120"/>
  <c r="L8" i="121" s="1"/>
  <c r="I8" i="120"/>
  <c r="I4" i="120"/>
  <c r="I13" i="120"/>
  <c r="I16" i="120"/>
  <c r="I12" i="120"/>
  <c r="K6" i="122" s="1"/>
  <c r="I6" i="120"/>
  <c r="I3" i="120"/>
  <c r="I5" i="120"/>
  <c r="I10" i="120"/>
  <c r="I7" i="120"/>
  <c r="I15" i="120"/>
  <c r="K8" i="121" s="1"/>
  <c r="I11" i="120"/>
  <c r="I9" i="120"/>
  <c r="I14" i="120"/>
  <c r="I5" i="123" s="1"/>
  <c r="H9" i="120"/>
  <c r="H13" i="120"/>
  <c r="H4" i="120"/>
  <c r="H6" i="120"/>
  <c r="H7" i="120"/>
  <c r="H8" i="120"/>
  <c r="H12" i="120"/>
  <c r="J6" i="122" s="1"/>
  <c r="H10" i="120"/>
  <c r="H11" i="120"/>
  <c r="H5" i="120"/>
  <c r="H14" i="120"/>
  <c r="H5" i="123" s="1"/>
  <c r="H15" i="120"/>
  <c r="J8" i="121" s="1"/>
  <c r="E4" i="120"/>
  <c r="E13" i="120"/>
  <c r="E6" i="120"/>
  <c r="E3" i="120"/>
  <c r="E7" i="120"/>
  <c r="E5" i="120"/>
  <c r="E10" i="120"/>
  <c r="E8" i="120"/>
  <c r="E12" i="120"/>
  <c r="G6" i="122" s="1"/>
  <c r="E11" i="120"/>
  <c r="E15" i="120"/>
  <c r="G8" i="121" s="1"/>
  <c r="E9" i="120"/>
  <c r="E14" i="120"/>
  <c r="E5" i="123" s="1"/>
  <c r="D5" i="120"/>
  <c r="D9" i="120"/>
  <c r="D3" i="120"/>
  <c r="D13" i="120"/>
  <c r="D6" i="120"/>
  <c r="D7" i="120"/>
  <c r="D8" i="120"/>
  <c r="D10" i="120"/>
  <c r="D11" i="120"/>
  <c r="D4" i="120"/>
  <c r="D12" i="120"/>
  <c r="F6" i="122" s="1"/>
  <c r="D14" i="120"/>
  <c r="D5" i="123" s="1"/>
  <c r="D15" i="120"/>
  <c r="F8" i="121" s="1"/>
  <c r="H3" i="120"/>
  <c r="J23" i="117" l="1"/>
  <c r="J15" i="119" l="1"/>
  <c r="J4" i="123" s="1"/>
  <c r="J23" i="118"/>
  <c r="J14" i="120" l="1"/>
  <c r="J5" i="123" s="1"/>
  <c r="L25" i="117" l="1"/>
  <c r="L17" i="119" l="1"/>
  <c r="L25" i="118"/>
  <c r="L16" i="120" l="1"/>
  <c r="K25" i="117"/>
  <c r="K17" i="119" l="1"/>
  <c r="K25" i="118"/>
  <c r="H25" i="117"/>
  <c r="K16" i="120" l="1"/>
  <c r="H17" i="119"/>
  <c r="H25" i="118"/>
  <c r="E25" i="117"/>
  <c r="H16" i="120" l="1"/>
  <c r="E17" i="119"/>
  <c r="E25" i="118" l="1"/>
  <c r="E16" i="120" l="1"/>
  <c r="C25" i="117" l="1"/>
  <c r="C17" i="119" l="1"/>
  <c r="C25" i="118"/>
  <c r="C16" i="120" l="1"/>
  <c r="K12" i="117"/>
  <c r="K4" i="119" l="1"/>
  <c r="K12" i="118" l="1"/>
  <c r="K3" i="120" l="1"/>
  <c r="G23" i="117" l="1"/>
  <c r="G15" i="119" l="1"/>
  <c r="G4" i="123" s="1"/>
  <c r="G23" i="118" l="1"/>
  <c r="G14" i="120" l="1"/>
  <c r="G5" i="123" s="1"/>
  <c r="C20" i="117" l="1"/>
  <c r="C12" i="119" s="1"/>
  <c r="C20" i="118" l="1"/>
  <c r="C11" i="120" s="1"/>
  <c r="L13" i="117" l="1"/>
  <c r="L5" i="119" s="1"/>
  <c r="L13" i="118" l="1"/>
  <c r="L4" i="120" s="1"/>
  <c r="K13" i="117" l="1"/>
  <c r="K5" i="119" s="1"/>
  <c r="K13" i="118" l="1"/>
  <c r="K4" i="120" s="1"/>
  <c r="J13" i="117" l="1"/>
  <c r="J5" i="119" s="1"/>
  <c r="J13" i="118" l="1"/>
  <c r="J4" i="120" s="1"/>
  <c r="D25" i="117" l="1"/>
  <c r="D17" i="119" s="1"/>
  <c r="D25" i="118" l="1"/>
  <c r="D16" i="120" s="1"/>
  <c r="M13" i="117" l="1"/>
  <c r="M5" i="119" s="1"/>
  <c r="M13" i="118" l="1"/>
  <c r="M4" i="120" s="1"/>
  <c r="M25" i="117" l="1"/>
  <c r="M17" i="119" s="1"/>
  <c r="M25" i="118" l="1"/>
  <c r="M16" i="120" s="1"/>
</calcChain>
</file>

<file path=xl/sharedStrings.xml><?xml version="1.0" encoding="utf-8"?>
<sst xmlns="http://schemas.openxmlformats.org/spreadsheetml/2006/main" count="92" uniqueCount="56">
  <si>
    <t>ABS</t>
    <phoneticPr fontId="6"/>
  </si>
  <si>
    <t>Pedestrian</t>
    <phoneticPr fontId="6"/>
  </si>
  <si>
    <t>Bicyclist</t>
    <phoneticPr fontId="6"/>
  </si>
  <si>
    <t>Occupant</t>
    <phoneticPr fontId="6"/>
  </si>
  <si>
    <t>Others</t>
    <phoneticPr fontId="6"/>
  </si>
  <si>
    <t>Total</t>
    <phoneticPr fontId="6"/>
  </si>
  <si>
    <t>Seatbelt</t>
    <phoneticPr fontId="6"/>
  </si>
  <si>
    <t>Airbag-front</t>
    <phoneticPr fontId="6"/>
  </si>
  <si>
    <t>Airbag-side</t>
    <phoneticPr fontId="6"/>
  </si>
  <si>
    <t>Side door beam</t>
    <phoneticPr fontId="6"/>
  </si>
  <si>
    <t>Side structure and padding</t>
    <phoneticPr fontId="6"/>
  </si>
  <si>
    <t>Side-impact optimization</t>
    <phoneticPr fontId="6"/>
  </si>
  <si>
    <t>Head restrains</t>
    <phoneticPr fontId="6"/>
  </si>
  <si>
    <t>Motorcycle helmet</t>
    <phoneticPr fontId="6"/>
  </si>
  <si>
    <t>Speed management</t>
    <phoneticPr fontId="6"/>
  </si>
  <si>
    <t>Overall</t>
    <phoneticPr fontId="6"/>
  </si>
  <si>
    <t>Motocyclist (three wheeler)</t>
    <phoneticPr fontId="6"/>
  </si>
  <si>
    <t>Brunei</t>
    <phoneticPr fontId="6"/>
  </si>
  <si>
    <t>Cambodia</t>
    <phoneticPr fontId="6"/>
  </si>
  <si>
    <t>Indonesia</t>
    <phoneticPr fontId="6"/>
  </si>
  <si>
    <t>Laos</t>
    <phoneticPr fontId="6"/>
  </si>
  <si>
    <t>Malaysia</t>
    <phoneticPr fontId="6"/>
  </si>
  <si>
    <t>Myanmar</t>
    <phoneticPr fontId="6"/>
  </si>
  <si>
    <t>Philippines</t>
    <phoneticPr fontId="6"/>
  </si>
  <si>
    <t>Singapore</t>
    <phoneticPr fontId="6"/>
  </si>
  <si>
    <t>Thailand</t>
    <phoneticPr fontId="6"/>
  </si>
  <si>
    <t>Vietnam</t>
    <phoneticPr fontId="6"/>
  </si>
  <si>
    <t xml:space="preserve"> </t>
    <phoneticPr fontId="6"/>
  </si>
  <si>
    <t>Deaths</t>
    <phoneticPr fontId="6"/>
  </si>
  <si>
    <t>DALYs</t>
    <phoneticPr fontId="6"/>
  </si>
  <si>
    <t>Head restrains</t>
    <phoneticPr fontId="6"/>
  </si>
  <si>
    <t xml:space="preserve">Speed limiting </t>
    <phoneticPr fontId="6"/>
  </si>
  <si>
    <t xml:space="preserve">ABS=antilock-brake systems. ESC=electronic stability control. TC=traction control. AEB=Autonomous Emergency Braking. </t>
    <phoneticPr fontId="6"/>
  </si>
  <si>
    <t>ABS=antilock-brake systems. ESC=electronic stability control. TC=traction control. AEB=Autonomous Emergency Braking. DALY=disability-adjusted life year.</t>
    <phoneticPr fontId="6"/>
  </si>
  <si>
    <t>Table 4: Estimates of the effect of improving vehicle design on road traffic deaths in the ASIAN region</t>
    <phoneticPr fontId="6"/>
  </si>
  <si>
    <t>Road traffic deaths in 2019</t>
    <phoneticPr fontId="6"/>
  </si>
  <si>
    <t>Vehicle front-end (pedestrian protection)</t>
    <phoneticPr fontId="6"/>
  </si>
  <si>
    <t>Motorcyclist</t>
    <phoneticPr fontId="6"/>
  </si>
  <si>
    <t>DALYs lost to road traffic injuries in 2019</t>
    <phoneticPr fontId="6"/>
  </si>
  <si>
    <t>Table 5: Estimates of the effect of improving vehicle design on health loss (DALYs) due to road traffic crashes in the ASIAN region</t>
    <phoneticPr fontId="6"/>
  </si>
  <si>
    <t>Deaths (baseline)</t>
    <phoneticPr fontId="6"/>
  </si>
  <si>
    <t>DALYs (baseline)</t>
    <phoneticPr fontId="6"/>
  </si>
  <si>
    <t>Death (SM)</t>
    <phoneticPr fontId="6"/>
  </si>
  <si>
    <t>DALYs (SM)</t>
    <phoneticPr fontId="6"/>
  </si>
  <si>
    <t>ESC</t>
    <phoneticPr fontId="6"/>
  </si>
  <si>
    <t>AEB</t>
    <phoneticPr fontId="6"/>
  </si>
  <si>
    <t>ASEAN</t>
    <phoneticPr fontId="6"/>
  </si>
  <si>
    <t>Airbag front</t>
    <phoneticPr fontId="6"/>
  </si>
  <si>
    <t>Airbag side</t>
    <phoneticPr fontId="6"/>
  </si>
  <si>
    <t>Side padding</t>
    <phoneticPr fontId="6"/>
  </si>
  <si>
    <t>Pedestrian protection</t>
    <phoneticPr fontId="6"/>
  </si>
  <si>
    <t>Side optimization</t>
    <phoneticPr fontId="6"/>
  </si>
  <si>
    <t>Motorcycle helmet</t>
    <phoneticPr fontId="6"/>
  </si>
  <si>
    <t>Side opt.</t>
    <phoneticPr fontId="6"/>
  </si>
  <si>
    <t>Estimates of deaths averted</t>
    <phoneticPr fontId="6"/>
  </si>
  <si>
    <t>Estimates of DALYs averted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</si>
</sst>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0_ "/>
    <numFmt numFmtId="177" formatCode="0.000_ "/>
  </numFmts>
  <fonts count="8" x14ac:knownFonts="1"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indexed="64"/>
      </top>
      <bottom style="medium">
        <color rgb="FFC00000"/>
      </bottom>
      <diagonal/>
    </border>
    <border>
      <left/>
      <right/>
      <top style="medium">
        <color rgb="FFC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7" fillId="2" borderId="15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vertical="distributed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justify"/>
    </xf>
    <xf numFmtId="176" fontId="0" fillId="0" borderId="0" xfId="0" applyNumberFormat="1"/>
    <xf numFmtId="0" fontId="7" fillId="2" borderId="15" xfId="0" applyFont="1" applyFill="1" applyBorder="1" applyAlignment="1">
      <alignment horizontal="center"/>
    </xf>
    <xf numFmtId="0" fontId="0" fillId="2" borderId="0" xfId="0" applyFill="1" applyBorder="1"/>
    <xf numFmtId="177" fontId="0" fillId="3" borderId="0" xfId="0" applyNumberForma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 vertical="justify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617">
    <cellStyle name="Comma 2" xfId="119"/>
    <cellStyle name="Comma 2 2" xfId="6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Normal" xfId="0" builtinId="0"/>
    <cellStyle name="Normal 2" xfId="280"/>
    <cellStyle name="桁区切り [0.00] 2" xfId="6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117" Type="http://schemas.openxmlformats.org/officeDocument/2006/relationships/externalLink" Target="externalLinks/externalLink110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77.xml"/><Relationship Id="rId89" Type="http://schemas.openxmlformats.org/officeDocument/2006/relationships/externalLink" Target="externalLinks/externalLink82.xml"/><Relationship Id="rId112" Type="http://schemas.openxmlformats.org/officeDocument/2006/relationships/externalLink" Target="externalLinks/externalLink105.xml"/><Relationship Id="rId133" Type="http://schemas.openxmlformats.org/officeDocument/2006/relationships/externalLink" Target="externalLinks/externalLink126.xml"/><Relationship Id="rId138" Type="http://schemas.openxmlformats.org/officeDocument/2006/relationships/externalLink" Target="externalLinks/externalLink131.xml"/><Relationship Id="rId154" Type="http://schemas.openxmlformats.org/officeDocument/2006/relationships/externalLink" Target="externalLinks/externalLink147.xml"/><Relationship Id="rId159" Type="http://schemas.openxmlformats.org/officeDocument/2006/relationships/externalLink" Target="externalLinks/externalLink152.xml"/><Relationship Id="rId170" Type="http://schemas.openxmlformats.org/officeDocument/2006/relationships/externalLink" Target="externalLinks/externalLink163.xml"/><Relationship Id="rId16" Type="http://schemas.openxmlformats.org/officeDocument/2006/relationships/externalLink" Target="externalLinks/externalLink9.xml"/><Relationship Id="rId107" Type="http://schemas.openxmlformats.org/officeDocument/2006/relationships/externalLink" Target="externalLinks/externalLink100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102" Type="http://schemas.openxmlformats.org/officeDocument/2006/relationships/externalLink" Target="externalLinks/externalLink95.xml"/><Relationship Id="rId123" Type="http://schemas.openxmlformats.org/officeDocument/2006/relationships/externalLink" Target="externalLinks/externalLink116.xml"/><Relationship Id="rId128" Type="http://schemas.openxmlformats.org/officeDocument/2006/relationships/externalLink" Target="externalLinks/externalLink121.xml"/><Relationship Id="rId144" Type="http://schemas.openxmlformats.org/officeDocument/2006/relationships/externalLink" Target="externalLinks/externalLink137.xml"/><Relationship Id="rId149" Type="http://schemas.openxmlformats.org/officeDocument/2006/relationships/externalLink" Target="externalLinks/externalLink142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3.xml"/><Relationship Id="rId95" Type="http://schemas.openxmlformats.org/officeDocument/2006/relationships/externalLink" Target="externalLinks/externalLink88.xml"/><Relationship Id="rId160" Type="http://schemas.openxmlformats.org/officeDocument/2006/relationships/externalLink" Target="externalLinks/externalLink153.xml"/><Relationship Id="rId165" Type="http://schemas.openxmlformats.org/officeDocument/2006/relationships/externalLink" Target="externalLinks/externalLink158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113" Type="http://schemas.openxmlformats.org/officeDocument/2006/relationships/externalLink" Target="externalLinks/externalLink106.xml"/><Relationship Id="rId118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27.xml"/><Relationship Id="rId139" Type="http://schemas.openxmlformats.org/officeDocument/2006/relationships/externalLink" Target="externalLinks/externalLink132.xml"/><Relationship Id="rId80" Type="http://schemas.openxmlformats.org/officeDocument/2006/relationships/externalLink" Target="externalLinks/externalLink73.xml"/><Relationship Id="rId85" Type="http://schemas.openxmlformats.org/officeDocument/2006/relationships/externalLink" Target="externalLinks/externalLink78.xml"/><Relationship Id="rId150" Type="http://schemas.openxmlformats.org/officeDocument/2006/relationships/externalLink" Target="externalLinks/externalLink143.xml"/><Relationship Id="rId155" Type="http://schemas.openxmlformats.org/officeDocument/2006/relationships/externalLink" Target="externalLinks/externalLink148.xml"/><Relationship Id="rId171" Type="http://schemas.openxmlformats.org/officeDocument/2006/relationships/theme" Target="theme/theme1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52.xml"/><Relationship Id="rId103" Type="http://schemas.openxmlformats.org/officeDocument/2006/relationships/externalLink" Target="externalLinks/externalLink96.xml"/><Relationship Id="rId108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17.xml"/><Relationship Id="rId129" Type="http://schemas.openxmlformats.org/officeDocument/2006/relationships/externalLink" Target="externalLinks/externalLink122.xml"/><Relationship Id="rId54" Type="http://schemas.openxmlformats.org/officeDocument/2006/relationships/externalLink" Target="externalLinks/externalLink47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4.xml"/><Relationship Id="rId96" Type="http://schemas.openxmlformats.org/officeDocument/2006/relationships/externalLink" Target="externalLinks/externalLink89.xml"/><Relationship Id="rId140" Type="http://schemas.openxmlformats.org/officeDocument/2006/relationships/externalLink" Target="externalLinks/externalLink133.xml"/><Relationship Id="rId145" Type="http://schemas.openxmlformats.org/officeDocument/2006/relationships/externalLink" Target="externalLinks/externalLink138.xml"/><Relationship Id="rId161" Type="http://schemas.openxmlformats.org/officeDocument/2006/relationships/externalLink" Target="externalLinks/externalLink154.xml"/><Relationship Id="rId166" Type="http://schemas.openxmlformats.org/officeDocument/2006/relationships/externalLink" Target="externalLinks/externalLink15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6" Type="http://schemas.openxmlformats.org/officeDocument/2006/relationships/externalLink" Target="externalLinks/externalLink99.xml"/><Relationship Id="rId114" Type="http://schemas.openxmlformats.org/officeDocument/2006/relationships/externalLink" Target="externalLinks/externalLink107.xml"/><Relationship Id="rId119" Type="http://schemas.openxmlformats.org/officeDocument/2006/relationships/externalLink" Target="externalLinks/externalLink112.xml"/><Relationship Id="rId127" Type="http://schemas.openxmlformats.org/officeDocument/2006/relationships/externalLink" Target="externalLinks/externalLink12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externalLink" Target="externalLinks/externalLink74.xml"/><Relationship Id="rId86" Type="http://schemas.openxmlformats.org/officeDocument/2006/relationships/externalLink" Target="externalLinks/externalLink79.xml"/><Relationship Id="rId94" Type="http://schemas.openxmlformats.org/officeDocument/2006/relationships/externalLink" Target="externalLinks/externalLink87.xml"/><Relationship Id="rId99" Type="http://schemas.openxmlformats.org/officeDocument/2006/relationships/externalLink" Target="externalLinks/externalLink92.xml"/><Relationship Id="rId101" Type="http://schemas.openxmlformats.org/officeDocument/2006/relationships/externalLink" Target="externalLinks/externalLink94.xml"/><Relationship Id="rId122" Type="http://schemas.openxmlformats.org/officeDocument/2006/relationships/externalLink" Target="externalLinks/externalLink115.xml"/><Relationship Id="rId130" Type="http://schemas.openxmlformats.org/officeDocument/2006/relationships/externalLink" Target="externalLinks/externalLink123.xml"/><Relationship Id="rId135" Type="http://schemas.openxmlformats.org/officeDocument/2006/relationships/externalLink" Target="externalLinks/externalLink128.xml"/><Relationship Id="rId143" Type="http://schemas.openxmlformats.org/officeDocument/2006/relationships/externalLink" Target="externalLinks/externalLink136.xml"/><Relationship Id="rId148" Type="http://schemas.openxmlformats.org/officeDocument/2006/relationships/externalLink" Target="externalLinks/externalLink141.xml"/><Relationship Id="rId151" Type="http://schemas.openxmlformats.org/officeDocument/2006/relationships/externalLink" Target="externalLinks/externalLink144.xml"/><Relationship Id="rId156" Type="http://schemas.openxmlformats.org/officeDocument/2006/relationships/externalLink" Target="externalLinks/externalLink149.xml"/><Relationship Id="rId164" Type="http://schemas.openxmlformats.org/officeDocument/2006/relationships/externalLink" Target="externalLinks/externalLink157.xml"/><Relationship Id="rId169" Type="http://schemas.openxmlformats.org/officeDocument/2006/relationships/externalLink" Target="externalLinks/externalLink16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72" Type="http://schemas.openxmlformats.org/officeDocument/2006/relationships/styles" Target="styles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109" Type="http://schemas.openxmlformats.org/officeDocument/2006/relationships/externalLink" Target="externalLinks/externalLink10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97" Type="http://schemas.openxmlformats.org/officeDocument/2006/relationships/externalLink" Target="externalLinks/externalLink90.xml"/><Relationship Id="rId104" Type="http://schemas.openxmlformats.org/officeDocument/2006/relationships/externalLink" Target="externalLinks/externalLink97.xml"/><Relationship Id="rId120" Type="http://schemas.openxmlformats.org/officeDocument/2006/relationships/externalLink" Target="externalLinks/externalLink113.xml"/><Relationship Id="rId125" Type="http://schemas.openxmlformats.org/officeDocument/2006/relationships/externalLink" Target="externalLinks/externalLink118.xml"/><Relationship Id="rId141" Type="http://schemas.openxmlformats.org/officeDocument/2006/relationships/externalLink" Target="externalLinks/externalLink134.xml"/><Relationship Id="rId146" Type="http://schemas.openxmlformats.org/officeDocument/2006/relationships/externalLink" Target="externalLinks/externalLink139.xml"/><Relationship Id="rId167" Type="http://schemas.openxmlformats.org/officeDocument/2006/relationships/externalLink" Target="externalLinks/externalLink160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92" Type="http://schemas.openxmlformats.org/officeDocument/2006/relationships/externalLink" Target="externalLinks/externalLink85.xml"/><Relationship Id="rId162" Type="http://schemas.openxmlformats.org/officeDocument/2006/relationships/externalLink" Target="externalLinks/externalLink15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externalLink" Target="externalLinks/externalLink80.xml"/><Relationship Id="rId110" Type="http://schemas.openxmlformats.org/officeDocument/2006/relationships/externalLink" Target="externalLinks/externalLink103.xml"/><Relationship Id="rId115" Type="http://schemas.openxmlformats.org/officeDocument/2006/relationships/externalLink" Target="externalLinks/externalLink108.xml"/><Relationship Id="rId131" Type="http://schemas.openxmlformats.org/officeDocument/2006/relationships/externalLink" Target="externalLinks/externalLink124.xml"/><Relationship Id="rId136" Type="http://schemas.openxmlformats.org/officeDocument/2006/relationships/externalLink" Target="externalLinks/externalLink129.xml"/><Relationship Id="rId157" Type="http://schemas.openxmlformats.org/officeDocument/2006/relationships/externalLink" Target="externalLinks/externalLink150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52" Type="http://schemas.openxmlformats.org/officeDocument/2006/relationships/externalLink" Target="externalLinks/externalLink145.xml"/><Relationship Id="rId173" Type="http://schemas.openxmlformats.org/officeDocument/2006/relationships/sharedStrings" Target="sharedStrings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56" Type="http://schemas.openxmlformats.org/officeDocument/2006/relationships/externalLink" Target="externalLinks/externalLink49.xml"/><Relationship Id="rId77" Type="http://schemas.openxmlformats.org/officeDocument/2006/relationships/externalLink" Target="externalLinks/externalLink70.xml"/><Relationship Id="rId100" Type="http://schemas.openxmlformats.org/officeDocument/2006/relationships/externalLink" Target="externalLinks/externalLink93.xml"/><Relationship Id="rId105" Type="http://schemas.openxmlformats.org/officeDocument/2006/relationships/externalLink" Target="externalLinks/externalLink98.xml"/><Relationship Id="rId126" Type="http://schemas.openxmlformats.org/officeDocument/2006/relationships/externalLink" Target="externalLinks/externalLink119.xml"/><Relationship Id="rId147" Type="http://schemas.openxmlformats.org/officeDocument/2006/relationships/externalLink" Target="externalLinks/externalLink140.xml"/><Relationship Id="rId168" Type="http://schemas.openxmlformats.org/officeDocument/2006/relationships/externalLink" Target="externalLinks/externalLink16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93" Type="http://schemas.openxmlformats.org/officeDocument/2006/relationships/externalLink" Target="externalLinks/externalLink86.xml"/><Relationship Id="rId98" Type="http://schemas.openxmlformats.org/officeDocument/2006/relationships/externalLink" Target="externalLinks/externalLink91.xml"/><Relationship Id="rId121" Type="http://schemas.openxmlformats.org/officeDocument/2006/relationships/externalLink" Target="externalLinks/externalLink114.xml"/><Relationship Id="rId142" Type="http://schemas.openxmlformats.org/officeDocument/2006/relationships/externalLink" Target="externalLinks/externalLink135.xml"/><Relationship Id="rId163" Type="http://schemas.openxmlformats.org/officeDocument/2006/relationships/externalLink" Target="externalLinks/externalLink156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8.xml"/><Relationship Id="rId46" Type="http://schemas.openxmlformats.org/officeDocument/2006/relationships/externalLink" Target="externalLinks/externalLink39.xml"/><Relationship Id="rId67" Type="http://schemas.openxmlformats.org/officeDocument/2006/relationships/externalLink" Target="externalLinks/externalLink60.xml"/><Relationship Id="rId116" Type="http://schemas.openxmlformats.org/officeDocument/2006/relationships/externalLink" Target="externalLinks/externalLink109.xml"/><Relationship Id="rId137" Type="http://schemas.openxmlformats.org/officeDocument/2006/relationships/externalLink" Target="externalLinks/externalLink130.xml"/><Relationship Id="rId158" Type="http://schemas.openxmlformats.org/officeDocument/2006/relationships/externalLink" Target="externalLinks/externalLink15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62" Type="http://schemas.openxmlformats.org/officeDocument/2006/relationships/externalLink" Target="externalLinks/externalLink55.xml"/><Relationship Id="rId83" Type="http://schemas.openxmlformats.org/officeDocument/2006/relationships/externalLink" Target="externalLinks/externalLink76.xml"/><Relationship Id="rId88" Type="http://schemas.openxmlformats.org/officeDocument/2006/relationships/externalLink" Target="externalLinks/externalLink81.xml"/><Relationship Id="rId111" Type="http://schemas.openxmlformats.org/officeDocument/2006/relationships/externalLink" Target="externalLinks/externalLink104.xml"/><Relationship Id="rId132" Type="http://schemas.openxmlformats.org/officeDocument/2006/relationships/externalLink" Target="externalLinks/externalLink125.xml"/><Relationship Id="rId153" Type="http://schemas.openxmlformats.org/officeDocument/2006/relationships/externalLink" Target="externalLinks/externalLink146.xml"/><Relationship Id="rId17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baseline="0" smtClean="0">
                <a:solidFill>
                  <a:sysClr val="windowText" lastClr="000000"/>
                </a:solidFill>
              </a:rPr>
              <a:t>Road safety interventions</a:t>
            </a:r>
            <a:endParaRPr lang="en-US" alt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107328797604362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098238827014731"/>
          <c:y val="5.3105494376148914E-2"/>
          <c:w val="0.8919794439205444"/>
          <c:h val="0.67846812804863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'Death Fig'!$C$3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Fig'!$C$4:$C$17</c15:sqref>
                  </c15:fullRef>
                </c:ext>
              </c:extLst>
              <c:f>('Death Fig'!$C$4:$C$12,'Death Fig'!$C$14)</c:f>
              <c:numCache>
                <c:formatCode>General</c:formatCode>
                <c:ptCount val="10"/>
                <c:pt idx="0">
                  <c:v>0.12775639304757558</c:v>
                </c:pt>
                <c:pt idx="1">
                  <c:v>0.22438701702562203</c:v>
                </c:pt>
                <c:pt idx="2">
                  <c:v>8.9091090890909275E-2</c:v>
                </c:pt>
                <c:pt idx="3">
                  <c:v>6.3584311568841811E-2</c:v>
                </c:pt>
                <c:pt idx="4">
                  <c:v>3.5710678932105444E-2</c:v>
                </c:pt>
                <c:pt idx="5">
                  <c:v>1.2064418558142775E-2</c:v>
                </c:pt>
                <c:pt idx="6">
                  <c:v>2.0268223177680733E-2</c:v>
                </c:pt>
                <c:pt idx="7">
                  <c:v>7.662353514648379E-2</c:v>
                </c:pt>
                <c:pt idx="8">
                  <c:v>5.2741475852413178E-2</c:v>
                </c:pt>
                <c:pt idx="9">
                  <c:v>2.214324022143177E-2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1-4EA8-8569-4A6CD656784F}"/>
            </c:ext>
          </c:extLst>
        </c:ser>
        <c:ser>
          <c:idx val="1"/>
          <c:order val="1"/>
          <c:tx>
            <c:strRef>
              <c:f>'Death Fig'!$D$3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Fig'!$D$4:$D$17</c15:sqref>
                  </c15:fullRef>
                </c:ext>
              </c:extLst>
              <c:f>('Death Fig'!$D$4:$D$12,'Death Fig'!$D$14)</c:f>
              <c:numCache>
                <c:formatCode>General</c:formatCode>
                <c:ptCount val="10"/>
                <c:pt idx="0">
                  <c:v>0.2430739213296057</c:v>
                </c:pt>
                <c:pt idx="1">
                  <c:v>0.30161628981013333</c:v>
                </c:pt>
                <c:pt idx="2">
                  <c:v>4.5652173913043992E-2</c:v>
                </c:pt>
                <c:pt idx="3">
                  <c:v>1.6470000000000318E-2</c:v>
                </c:pt>
                <c:pt idx="4">
                  <c:v>9.2500000000000915E-3</c:v>
                </c:pt>
                <c:pt idx="5">
                  <c:v>3.1249999999997113E-3</c:v>
                </c:pt>
                <c:pt idx="6">
                  <c:v>5.2499999999997549E-3</c:v>
                </c:pt>
                <c:pt idx="7">
                  <c:v>1.9847499999999463E-2</c:v>
                </c:pt>
                <c:pt idx="8">
                  <c:v>1.7849999999999366E-2</c:v>
                </c:pt>
                <c:pt idx="9">
                  <c:v>0.24333333333333373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1-4EA8-8569-4A6CD656784F}"/>
            </c:ext>
          </c:extLst>
        </c:ser>
        <c:ser>
          <c:idx val="2"/>
          <c:order val="2"/>
          <c:tx>
            <c:strRef>
              <c:f>'Death Fig'!$E$3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Fig'!$E$4:$E$17</c15:sqref>
                  </c15:fullRef>
                </c:ext>
              </c:extLst>
              <c:f>('Death Fig'!$E$4:$E$12,'Death Fig'!$E$14)</c:f>
              <c:numCache>
                <c:formatCode>General</c:formatCode>
                <c:ptCount val="10"/>
                <c:pt idx="0">
                  <c:v>0.24237828134363582</c:v>
                </c:pt>
                <c:pt idx="1">
                  <c:v>0.29798452925528163</c:v>
                </c:pt>
                <c:pt idx="2">
                  <c:v>1.8931297709923522E-2</c:v>
                </c:pt>
                <c:pt idx="3">
                  <c:v>1.3175999999999854E-2</c:v>
                </c:pt>
                <c:pt idx="4">
                  <c:v>7.3999999999998511E-3</c:v>
                </c:pt>
                <c:pt idx="5">
                  <c:v>2.4999999999998357E-3</c:v>
                </c:pt>
                <c:pt idx="6">
                  <c:v>4.1999999999999815E-3</c:v>
                </c:pt>
                <c:pt idx="7">
                  <c:v>1.5877999999999726E-2</c:v>
                </c:pt>
                <c:pt idx="8">
                  <c:v>2.8559999999999253E-2</c:v>
                </c:pt>
                <c:pt idx="9">
                  <c:v>0.16186046511627861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1-4EA8-8569-4A6CD656784F}"/>
            </c:ext>
          </c:extLst>
        </c:ser>
        <c:ser>
          <c:idx val="3"/>
          <c:order val="3"/>
          <c:tx>
            <c:strRef>
              <c:f>'Death Fig'!$F$3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Fig'!$F$4:$F$17</c15:sqref>
                  </c15:fullRef>
                </c:ext>
              </c:extLst>
              <c:f>('Death Fig'!$F$4:$F$12,'Death Fig'!$F$14)</c:f>
              <c:numCache>
                <c:formatCode>General</c:formatCode>
                <c:ptCount val="10"/>
                <c:pt idx="0">
                  <c:v>0.14843089070294346</c:v>
                </c:pt>
                <c:pt idx="1">
                  <c:v>0.23490875496279151</c:v>
                </c:pt>
                <c:pt idx="2">
                  <c:v>0.11373718016962997</c:v>
                </c:pt>
                <c:pt idx="3">
                  <c:v>5.2791629162916465E-2</c:v>
                </c:pt>
                <c:pt idx="4">
                  <c:v>2.9649214921491973E-2</c:v>
                </c:pt>
                <c:pt idx="5">
                  <c:v>1.0016626662666117E-2</c:v>
                </c:pt>
                <c:pt idx="6">
                  <c:v>1.6827932793279099E-2</c:v>
                </c:pt>
                <c:pt idx="7">
                  <c:v>6.3617599259925939E-2</c:v>
                </c:pt>
                <c:pt idx="8">
                  <c:v>4.9449444944494436E-2</c:v>
                </c:pt>
                <c:pt idx="9">
                  <c:v>7.7995678355714415E-2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1-4EA8-8569-4A6CD656784F}"/>
            </c:ext>
          </c:extLst>
        </c:ser>
        <c:ser>
          <c:idx val="4"/>
          <c:order val="4"/>
          <c:tx>
            <c:strRef>
              <c:f>'Death Fig'!$G$3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Fig'!$G$4:$G$17</c15:sqref>
                  </c15:fullRef>
                </c:ext>
              </c:extLst>
              <c:f>('Death Fig'!$G$4:$G$12,'Death Fig'!$G$14)</c:f>
              <c:numCache>
                <c:formatCode>General</c:formatCode>
                <c:ptCount val="10"/>
                <c:pt idx="0">
                  <c:v>0.21325867187165404</c:v>
                </c:pt>
                <c:pt idx="1">
                  <c:v>0.30121265609338266</c:v>
                </c:pt>
                <c:pt idx="2">
                  <c:v>6.4615384615384519E-2</c:v>
                </c:pt>
                <c:pt idx="3">
                  <c:v>4.6115999999999935E-2</c:v>
                </c:pt>
                <c:pt idx="4">
                  <c:v>2.5899999999999923E-2</c:v>
                </c:pt>
                <c:pt idx="5">
                  <c:v>8.7499999999999245E-3</c:v>
                </c:pt>
                <c:pt idx="6">
                  <c:v>1.4700000000000157E-2</c:v>
                </c:pt>
                <c:pt idx="7">
                  <c:v>5.5573000000000095E-2</c:v>
                </c:pt>
                <c:pt idx="8">
                  <c:v>1.0710000000000108E-2</c:v>
                </c:pt>
                <c:pt idx="9">
                  <c:v>5.8181818181818112E-2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1-4EA8-8569-4A6CD656784F}"/>
            </c:ext>
          </c:extLst>
        </c:ser>
        <c:ser>
          <c:idx val="5"/>
          <c:order val="5"/>
          <c:tx>
            <c:strRef>
              <c:f>'Death Fig'!$H$3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Fig'!$H$4:$H$17</c15:sqref>
                  </c15:fullRef>
                </c:ext>
              </c:extLst>
              <c:f>('Death Fig'!$H$4:$H$12,'Death Fig'!$H$14)</c:f>
              <c:numCache>
                <c:formatCode>General</c:formatCode>
                <c:ptCount val="10"/>
                <c:pt idx="0">
                  <c:v>0.2254896648471767</c:v>
                </c:pt>
                <c:pt idx="1">
                  <c:v>0.2909928077511853</c:v>
                </c:pt>
                <c:pt idx="2">
                  <c:v>7.227979274611307E-2</c:v>
                </c:pt>
                <c:pt idx="3">
                  <c:v>2.4704999999999089E-2</c:v>
                </c:pt>
                <c:pt idx="4">
                  <c:v>1.3874999999998971E-2</c:v>
                </c:pt>
                <c:pt idx="5">
                  <c:v>4.6874999999988454E-3</c:v>
                </c:pt>
                <c:pt idx="6">
                  <c:v>7.8749999999994102E-3</c:v>
                </c:pt>
                <c:pt idx="7">
                  <c:v>2.9771249999999694E-2</c:v>
                </c:pt>
                <c:pt idx="8">
                  <c:v>2.4989999999999291E-2</c:v>
                </c:pt>
                <c:pt idx="9">
                  <c:v>0.26764705882352924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1-4EA8-8569-4A6CD656784F}"/>
            </c:ext>
          </c:extLst>
        </c:ser>
        <c:ser>
          <c:idx val="6"/>
          <c:order val="6"/>
          <c:tx>
            <c:strRef>
              <c:f>'Death Fig'!$I$3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Fig'!$I$4:$I$17</c15:sqref>
                  </c15:fullRef>
                </c:ext>
              </c:extLst>
              <c:f>('Death Fig'!$I$4:$I$12,'Death Fig'!$I$14)</c:f>
              <c:numCache>
                <c:formatCode>General</c:formatCode>
                <c:ptCount val="10"/>
                <c:pt idx="0">
                  <c:v>0.11775497655303158</c:v>
                </c:pt>
                <c:pt idx="1">
                  <c:v>0.22639161283901954</c:v>
                </c:pt>
                <c:pt idx="2">
                  <c:v>7.7583333333333671E-2</c:v>
                </c:pt>
                <c:pt idx="3">
                  <c:v>7.6667850000000315E-2</c:v>
                </c:pt>
                <c:pt idx="4">
                  <c:v>4.3058750000000479E-2</c:v>
                </c:pt>
                <c:pt idx="5">
                  <c:v>1.4546875000000403E-2</c:v>
                </c:pt>
                <c:pt idx="6">
                  <c:v>2.443874999999962E-2</c:v>
                </c:pt>
                <c:pt idx="7">
                  <c:v>9.2390112500000177E-2</c:v>
                </c:pt>
                <c:pt idx="8">
                  <c:v>3.9609150000000315E-2</c:v>
                </c:pt>
                <c:pt idx="9">
                  <c:v>5.6053846153846454E-2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F1-4EA8-8569-4A6CD656784F}"/>
            </c:ext>
          </c:extLst>
        </c:ser>
        <c:ser>
          <c:idx val="7"/>
          <c:order val="7"/>
          <c:tx>
            <c:strRef>
              <c:f>'Death Fig'!$J$3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Fig'!$J$4:$J$17</c15:sqref>
                  </c15:fullRef>
                </c:ext>
              </c:extLst>
              <c:f>('Death Fig'!$J$4:$J$12,'Death Fig'!$J$14)</c:f>
              <c:numCache>
                <c:formatCode>General</c:formatCode>
                <c:ptCount val="10"/>
                <c:pt idx="0">
                  <c:v>0.21007710794813372</c:v>
                </c:pt>
                <c:pt idx="1">
                  <c:v>0.25965735810287893</c:v>
                </c:pt>
                <c:pt idx="2">
                  <c:v>3.3333333333332327E-2</c:v>
                </c:pt>
                <c:pt idx="3">
                  <c:v>1.6470000000001095E-2</c:v>
                </c:pt>
                <c:pt idx="4">
                  <c:v>9.2500000000019789E-3</c:v>
                </c:pt>
                <c:pt idx="5">
                  <c:v>3.1250000000010436E-3</c:v>
                </c:pt>
                <c:pt idx="6">
                  <c:v>5.2499999999989777E-3</c:v>
                </c:pt>
                <c:pt idx="7">
                  <c:v>1.9847500000000906E-2</c:v>
                </c:pt>
                <c:pt idx="8">
                  <c:v>5.3550000000000098E-2</c:v>
                </c:pt>
                <c:pt idx="9">
                  <c:v>0.16500000000000004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F1-4EA8-8569-4A6CD656784F}"/>
            </c:ext>
          </c:extLst>
        </c:ser>
        <c:ser>
          <c:idx val="8"/>
          <c:order val="8"/>
          <c:tx>
            <c:strRef>
              <c:f>'Death Fig'!$K$3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Fig'!$K$4:$K$17</c15:sqref>
                  </c15:fullRef>
                </c:ext>
              </c:extLst>
              <c:f>('Death Fig'!$K$4:$K$12,'Death Fig'!$K$14)</c:f>
              <c:numCache>
                <c:formatCode>General</c:formatCode>
                <c:ptCount val="10"/>
                <c:pt idx="0">
                  <c:v>0.24261232303002644</c:v>
                </c:pt>
                <c:pt idx="1">
                  <c:v>0.30957611221935322</c:v>
                </c:pt>
                <c:pt idx="2">
                  <c:v>4.140845070422694E-2</c:v>
                </c:pt>
                <c:pt idx="3">
                  <c:v>2.3058000000001022E-2</c:v>
                </c:pt>
                <c:pt idx="4">
                  <c:v>1.2950000000000461E-2</c:v>
                </c:pt>
                <c:pt idx="5">
                  <c:v>4.3750000000007949E-3</c:v>
                </c:pt>
                <c:pt idx="6">
                  <c:v>7.3500000000010779E-3</c:v>
                </c:pt>
                <c:pt idx="7">
                  <c:v>2.7786500000001824E-2</c:v>
                </c:pt>
                <c:pt idx="8">
                  <c:v>1.4280000000000959E-2</c:v>
                </c:pt>
                <c:pt idx="9">
                  <c:v>0.24666666666666659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F1-4EA8-8569-4A6CD656784F}"/>
            </c:ext>
          </c:extLst>
        </c:ser>
        <c:ser>
          <c:idx val="9"/>
          <c:order val="9"/>
          <c:tx>
            <c:strRef>
              <c:f>'Death Fig'!$L$3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Fig'!$L$4:$L$17</c15:sqref>
                  </c15:fullRef>
                </c:ext>
              </c:extLst>
              <c:f>('Death Fig'!$L$4:$L$12,'Death Fig'!$L$14)</c:f>
              <c:numCache>
                <c:formatCode>General</c:formatCode>
                <c:ptCount val="10"/>
                <c:pt idx="0">
                  <c:v>0.2478890015894023</c:v>
                </c:pt>
                <c:pt idx="1">
                  <c:v>0.31125527002253983</c:v>
                </c:pt>
                <c:pt idx="2">
                  <c:v>5.3333333333332122E-2</c:v>
                </c:pt>
                <c:pt idx="3">
                  <c:v>1.9763999999999116E-2</c:v>
                </c:pt>
                <c:pt idx="4">
                  <c:v>1.1099999999999E-2</c:v>
                </c:pt>
                <c:pt idx="5">
                  <c:v>3.7499999999989209E-3</c:v>
                </c:pt>
                <c:pt idx="6">
                  <c:v>6.2999999999993062E-3</c:v>
                </c:pt>
                <c:pt idx="7">
                  <c:v>2.3816999999998978E-2</c:v>
                </c:pt>
                <c:pt idx="8">
                  <c:v>1.7849999999999033E-2</c:v>
                </c:pt>
                <c:pt idx="9">
                  <c:v>0.12333333333333241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F1-4EA8-8569-4A6CD656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29216"/>
        <c:axId val="465225608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'Death Fig'!$M$3</c15:sqref>
                        </c15:formulaRef>
                      </c:ext>
                    </c:extLst>
                    <c:strCache>
                      <c:ptCount val="1"/>
                      <c:pt idx="0">
                        <c:v>ASEAN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'Death Fig'!$B$4:$B$17</c15:sqref>
                        </c15:fullRef>
                        <c15:formulaRef>
                          <c15:sqref>('Death Fig'!$B$4:$B$12,'Death Fig'!$B$14)</c15:sqref>
                        </c15:formulaRef>
                      </c:ext>
                    </c:extLst>
                    <c:strCache>
                      <c:ptCount val="10"/>
                      <c:pt idx="0">
                        <c:v>ABS</c:v>
                      </c:pt>
                      <c:pt idx="1">
                        <c:v>ESC</c:v>
                      </c:pt>
                      <c:pt idx="2">
                        <c:v>Seatbelt</c:v>
                      </c:pt>
                      <c:pt idx="3">
                        <c:v>Airbag-front</c:v>
                      </c:pt>
                      <c:pt idx="4">
                        <c:v>Airbag-side</c:v>
                      </c:pt>
                      <c:pt idx="5">
                        <c:v>Side door beam</c:v>
                      </c:pt>
                      <c:pt idx="6">
                        <c:v>Side padding</c:v>
                      </c:pt>
                      <c:pt idx="7">
                        <c:v>Side opt.</c:v>
                      </c:pt>
                      <c:pt idx="8">
                        <c:v>Pedestrian protection</c:v>
                      </c:pt>
                      <c:pt idx="9">
                        <c:v>Motorcycle helmet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'Death Fig'!$M$4:$M$17</c15:sqref>
                        </c15:fullRef>
                        <c15:formulaRef>
                          <c15:sqref>('Death Fig'!$M$4:$M$12,'Death Fig'!$M$14)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0.14921126236767679</c:v>
                      </c:pt>
                      <c:pt idx="1">
                        <c:v>0.23236602642327375</c:v>
                      </c:pt>
                      <c:pt idx="2">
                        <c:v>0.11323480462925062</c:v>
                      </c:pt>
                      <c:pt idx="3">
                        <c:v>4.3108994911523424E-2</c:v>
                      </c:pt>
                      <c:pt idx="4">
                        <c:v>3.14226582846171E-2</c:v>
                      </c:pt>
                      <c:pt idx="5">
                        <c:v>1.0615762933992023E-2</c:v>
                      </c:pt>
                      <c:pt idx="6">
                        <c:v>1.7834481729106955E-2</c:v>
                      </c:pt>
                      <c:pt idx="7">
                        <c:v>6.7422833546371463E-2</c:v>
                      </c:pt>
                      <c:pt idx="8">
                        <c:v>4.193341897943681E-2</c:v>
                      </c:pt>
                      <c:pt idx="9">
                        <c:v>7.9614515172352629E-2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76-4A87-A9D3-F962B7E8C4DB}"/>
                  </c:ext>
                </c:extLst>
              </c15:ser>
            </c15:filteredBarSeries>
          </c:ext>
        </c:extLst>
      </c:barChart>
      <c:catAx>
        <c:axId val="4652292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25608"/>
        <c:crosses val="autoZero"/>
        <c:auto val="0"/>
        <c:lblAlgn val="ctr"/>
        <c:lblOffset val="50"/>
        <c:tickMarkSkip val="1"/>
        <c:noMultiLvlLbl val="0"/>
      </c:catAx>
      <c:valAx>
        <c:axId val="465225608"/>
        <c:scaling>
          <c:orientation val="minMax"/>
        </c:scaling>
        <c:delete val="0"/>
        <c:axPos val="l"/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29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8690290877951596"/>
          <c:y val="1.995826683606881E-2"/>
          <c:w val="0.71125788298971915"/>
          <c:h val="0.126158501020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'Death Fig'!$K$3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Fig'!$K$4:$K$17</c15:sqref>
                  </c15:fullRef>
                </c:ext>
              </c:extLst>
              <c:f>('Death Fig'!$K$4:$K$12,'Death Fig'!$K$14,'Death Fig'!$K$17)</c:f>
              <c:numCache>
                <c:formatCode>General</c:formatCode>
                <c:ptCount val="11"/>
                <c:pt idx="0">
                  <c:v>0.24261232303002644</c:v>
                </c:pt>
                <c:pt idx="1">
                  <c:v>0.30957611221935322</c:v>
                </c:pt>
                <c:pt idx="2">
                  <c:v>4.140845070422694E-2</c:v>
                </c:pt>
                <c:pt idx="3">
                  <c:v>2.3058000000001022E-2</c:v>
                </c:pt>
                <c:pt idx="4">
                  <c:v>1.2950000000000461E-2</c:v>
                </c:pt>
                <c:pt idx="5">
                  <c:v>4.3750000000007949E-3</c:v>
                </c:pt>
                <c:pt idx="6">
                  <c:v>7.3500000000010779E-3</c:v>
                </c:pt>
                <c:pt idx="7">
                  <c:v>2.7786500000001824E-2</c:v>
                </c:pt>
                <c:pt idx="8">
                  <c:v>1.4280000000000959E-2</c:v>
                </c:pt>
                <c:pt idx="9">
                  <c:v>0.24666666666666659</c:v>
                </c:pt>
                <c:pt idx="10">
                  <c:v>0.30965500000000012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42-4FCF-AA5A-412E47D8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37392"/>
        <c:axId val="494130832"/>
      </c:barChart>
      <c:catAx>
        <c:axId val="494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30832"/>
        <c:crosses val="autoZero"/>
        <c:auto val="1"/>
        <c:lblAlgn val="ctr"/>
        <c:lblOffset val="100"/>
        <c:noMultiLvlLbl val="0"/>
      </c:catAx>
      <c:valAx>
        <c:axId val="4941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'Death Fig'!$L$3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Fig'!$L$4:$L$17</c15:sqref>
                  </c15:fullRef>
                </c:ext>
              </c:extLst>
              <c:f>('Death Fig'!$L$4:$L$12,'Death Fig'!$L$14,'Death Fig'!$L$17)</c:f>
              <c:numCache>
                <c:formatCode>General</c:formatCode>
                <c:ptCount val="11"/>
                <c:pt idx="0">
                  <c:v>0.2478890015894023</c:v>
                </c:pt>
                <c:pt idx="1">
                  <c:v>0.31125527002253983</c:v>
                </c:pt>
                <c:pt idx="2">
                  <c:v>5.3333333333332122E-2</c:v>
                </c:pt>
                <c:pt idx="3">
                  <c:v>1.9763999999999116E-2</c:v>
                </c:pt>
                <c:pt idx="4">
                  <c:v>1.1099999999999E-2</c:v>
                </c:pt>
                <c:pt idx="5">
                  <c:v>3.7499999999989209E-3</c:v>
                </c:pt>
                <c:pt idx="6">
                  <c:v>6.2999999999993062E-3</c:v>
                </c:pt>
                <c:pt idx="7">
                  <c:v>2.3816999999998978E-2</c:v>
                </c:pt>
                <c:pt idx="8">
                  <c:v>1.7849999999999033E-2</c:v>
                </c:pt>
                <c:pt idx="9">
                  <c:v>0.12333333333333241</c:v>
                </c:pt>
                <c:pt idx="10">
                  <c:v>0.30456499999999997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3A-4194-8D73-09E57698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32144"/>
        <c:axId val="494136408"/>
      </c:barChart>
      <c:catAx>
        <c:axId val="4941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36408"/>
        <c:crosses val="autoZero"/>
        <c:auto val="1"/>
        <c:lblAlgn val="ctr"/>
        <c:lblOffset val="100"/>
        <c:noMultiLvlLbl val="0"/>
      </c:catAx>
      <c:valAx>
        <c:axId val="4941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Baseline Trafic death</a:t>
            </a:r>
            <a:r>
              <a:rPr lang="en-US" altLang="ja-JP" baseline="0"/>
              <a:t> incidents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Table'!$B$4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Table'!$C$4:$L$4</c:f>
              <c:numCache>
                <c:formatCode>0</c:formatCode>
                <c:ptCount val="10"/>
                <c:pt idx="0">
                  <c:v>18.069821643838385</c:v>
                </c:pt>
                <c:pt idx="1">
                  <c:v>289.09999999999997</c:v>
                </c:pt>
                <c:pt idx="2">
                  <c:v>5859.0399999999981</c:v>
                </c:pt>
                <c:pt idx="3">
                  <c:v>299.15163524711096</c:v>
                </c:pt>
                <c:pt idx="4">
                  <c:v>454.92267684064029</c:v>
                </c:pt>
                <c:pt idx="5">
                  <c:v>799.42499126176017</c:v>
                </c:pt>
                <c:pt idx="6">
                  <c:v>2416.1693180793918</c:v>
                </c:pt>
                <c:pt idx="7">
                  <c:v>47.700000000000017</c:v>
                </c:pt>
                <c:pt idx="8">
                  <c:v>1561.4720107855655</c:v>
                </c:pt>
                <c:pt idx="9">
                  <c:v>2412.9999999999995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A36-B5C0-E7FA072DCABD}"/>
            </c:ext>
          </c:extLst>
        </c:ser>
        <c:ser>
          <c:idx val="1"/>
          <c:order val="1"/>
          <c:tx>
            <c:strRef>
              <c:f>'Death Table'!$B$5</c:f>
              <c:strCache>
                <c:ptCount val="1"/>
                <c:pt idx="0">
                  <c:v>Bicyclist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Table'!$C$5:$L$5</c:f>
              <c:numCache>
                <c:formatCode>0</c:formatCode>
                <c:ptCount val="10"/>
                <c:pt idx="0">
                  <c:v>3.7301493071882952</c:v>
                </c:pt>
                <c:pt idx="1">
                  <c:v>57.819999999999986</c:v>
                </c:pt>
                <c:pt idx="2">
                  <c:v>1098.57</c:v>
                </c:pt>
                <c:pt idx="3">
                  <c:v>69.442058290213808</c:v>
                </c:pt>
                <c:pt idx="4">
                  <c:v>151.64089228021336</c:v>
                </c:pt>
                <c:pt idx="5">
                  <c:v>171.30535527037711</c:v>
                </c:pt>
                <c:pt idx="6">
                  <c:v>507.40644534700175</c:v>
                </c:pt>
                <c:pt idx="7">
                  <c:v>9.5399999999999974</c:v>
                </c:pt>
                <c:pt idx="8">
                  <c:v>585.55200404458719</c:v>
                </c:pt>
                <c:pt idx="9">
                  <c:v>723.90000000000009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C-4A36-B5C0-E7FA072DCABD}"/>
            </c:ext>
          </c:extLst>
        </c:ser>
        <c:ser>
          <c:idx val="2"/>
          <c:order val="2"/>
          <c:tx>
            <c:strRef>
              <c:f>'Death Table'!$B$6</c:f>
              <c:strCache>
                <c:ptCount val="1"/>
                <c:pt idx="0">
                  <c:v>Motorcyclist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Table'!$C$6:$L$6</c:f>
              <c:numCache>
                <c:formatCode>0</c:formatCode>
                <c:ptCount val="10"/>
                <c:pt idx="0">
                  <c:v>14.633192282133756</c:v>
                </c:pt>
                <c:pt idx="1">
                  <c:v>2110.4300000000012</c:v>
                </c:pt>
                <c:pt idx="2">
                  <c:v>26365.679999999997</c:v>
                </c:pt>
                <c:pt idx="3">
                  <c:v>347.42628541153641</c:v>
                </c:pt>
                <c:pt idx="4">
                  <c:v>4852.5085529668295</c:v>
                </c:pt>
                <c:pt idx="5">
                  <c:v>3711.6160308581698</c:v>
                </c:pt>
                <c:pt idx="6">
                  <c:v>2644.828874995424</c:v>
                </c:pt>
                <c:pt idx="7">
                  <c:v>85.860000000000042</c:v>
                </c:pt>
                <c:pt idx="8">
                  <c:v>14443.616099766487</c:v>
                </c:pt>
                <c:pt idx="9">
                  <c:v>17856.2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C-4A36-B5C0-E7FA072DCABD}"/>
            </c:ext>
          </c:extLst>
        </c:ser>
        <c:ser>
          <c:idx val="3"/>
          <c:order val="3"/>
          <c:tx>
            <c:strRef>
              <c:f>'Death Table'!$B$7</c:f>
              <c:strCache>
                <c:ptCount val="1"/>
                <c:pt idx="0">
                  <c:v>Motocyclist (three wheeler)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Table'!$C$7:$L$7</c:f>
            </c:numRef>
          </c:val>
          <c:extLst>
            <c:ext xmlns:c16="http://schemas.microsoft.com/office/drawing/2014/chart" uri="{C3380CC4-5D6E-409C-BE32-E72D297353CC}">
              <c16:uniqueId val="{00000003-605C-4A36-B5C0-E7FA072DCABD}"/>
            </c:ext>
          </c:extLst>
        </c:ser>
        <c:ser>
          <c:idx val="4"/>
          <c:order val="4"/>
          <c:tx>
            <c:strRef>
              <c:f>'Death Table'!$B$8</c:f>
              <c:strCache>
                <c:ptCount val="1"/>
                <c:pt idx="0">
                  <c:v>Occupant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Table'!$C$8:$L$8</c:f>
              <c:numCache>
                <c:formatCode>0</c:formatCode>
                <c:ptCount val="10"/>
                <c:pt idx="0">
                  <c:v>23.610010614842647</c:v>
                </c:pt>
                <c:pt idx="1">
                  <c:v>289.09999999999991</c:v>
                </c:pt>
                <c:pt idx="2">
                  <c:v>2929.52</c:v>
                </c:pt>
                <c:pt idx="3">
                  <c:v>346.13032164873306</c:v>
                </c:pt>
                <c:pt idx="4">
                  <c:v>2122.9724919229884</c:v>
                </c:pt>
                <c:pt idx="5">
                  <c:v>856.52677635188559</c:v>
                </c:pt>
                <c:pt idx="6">
                  <c:v>5068.6201783053457</c:v>
                </c:pt>
                <c:pt idx="7">
                  <c:v>15.900000000000015</c:v>
                </c:pt>
                <c:pt idx="8">
                  <c:v>2732.5760188747404</c:v>
                </c:pt>
                <c:pt idx="9">
                  <c:v>2895.5999999999995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C-4A36-B5C0-E7FA072DCABD}"/>
            </c:ext>
          </c:extLst>
        </c:ser>
        <c:ser>
          <c:idx val="5"/>
          <c:order val="5"/>
          <c:tx>
            <c:strRef>
              <c:f>'Death Table'!$B$9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'Death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'Death Table'!$C$9:$L$9</c:f>
              <c:numCache>
                <c:formatCode>0</c:formatCode>
                <c:ptCount val="10"/>
                <c:pt idx="0">
                  <c:v>0.8499848421297922</c:v>
                </c:pt>
                <c:pt idx="1">
                  <c:v>144.54999999999998</c:v>
                </c:pt>
                <c:pt idx="2">
                  <c:v>366.19</c:v>
                </c:pt>
                <c:pt idx="3">
                  <c:v>17.711504758312696</c:v>
                </c:pt>
                <c:pt idx="4">
                  <c:v>0</c:v>
                </c:pt>
                <c:pt idx="5">
                  <c:v>171.30535527037705</c:v>
                </c:pt>
                <c:pt idx="6">
                  <c:v>251.52551260763391</c:v>
                </c:pt>
                <c:pt idx="7">
                  <c:v>0</c:v>
                </c:pt>
                <c:pt idx="8">
                  <c:v>195.18400134819564</c:v>
                </c:pt>
                <c:pt idx="9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C-4A36-B5C0-E7FA072D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366592"/>
        <c:axId val="44636888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'Death Table'!$B$10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'Death Table'!$C$2:$L$2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 Table'!$C$10:$L$10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61.156103641295324</c:v>
                      </c:pt>
                      <c:pt idx="1">
                        <c:v>2891.0000000000014</c:v>
                      </c:pt>
                      <c:pt idx="2">
                        <c:v>36618.999999999993</c:v>
                      </c:pt>
                      <c:pt idx="3">
                        <c:v>1079.8618053559069</c:v>
                      </c:pt>
                      <c:pt idx="4">
                        <c:v>7582.0446140106715</c:v>
                      </c:pt>
                      <c:pt idx="5">
                        <c:v>5710.1785090125695</c:v>
                      </c:pt>
                      <c:pt idx="6">
                        <c:v>10888.550329334797</c:v>
                      </c:pt>
                      <c:pt idx="7">
                        <c:v>159.00000000000006</c:v>
                      </c:pt>
                      <c:pt idx="8">
                        <c:v>19518.400134819574</c:v>
                      </c:pt>
                      <c:pt idx="9">
                        <c:v>24129.999999999996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05C-4A36-B5C0-E7FA072DCABD}"/>
                  </c:ext>
                </c:extLst>
              </c15:ser>
            </c15:filteredBarSeries>
          </c:ext>
        </c:extLst>
      </c:barChart>
      <c:catAx>
        <c:axId val="4463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68888"/>
        <c:crosses val="autoZero"/>
        <c:auto val="1"/>
        <c:lblAlgn val="ctr"/>
        <c:lblOffset val="100"/>
        <c:noMultiLvlLbl val="0"/>
      </c:catAx>
      <c:valAx>
        <c:axId val="4463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Perecentage DALYs averted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'DALYs Fig'!$C$2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Fig'!$C$3:$C$16</c15:sqref>
                  </c15:fullRef>
                </c:ext>
              </c:extLst>
              <c:f>('DALYs Fig'!$C$3:$C$11,'DALYs Fig'!$C$13,'DALYs Fig'!$C$16)</c:f>
              <c:numCache>
                <c:formatCode>General</c:formatCode>
                <c:ptCount val="11"/>
                <c:pt idx="0">
                  <c:v>0.14429125280367006</c:v>
                </c:pt>
                <c:pt idx="1">
                  <c:v>0.23984702178978656</c:v>
                </c:pt>
                <c:pt idx="2">
                  <c:v>8.5599177159809581E-2</c:v>
                </c:pt>
                <c:pt idx="3">
                  <c:v>5.1389562827050872E-2</c:v>
                </c:pt>
                <c:pt idx="4">
                  <c:v>3.7872300267135173E-2</c:v>
                </c:pt>
                <c:pt idx="5">
                  <c:v>1.2794696036193764E-2</c:v>
                </c:pt>
                <c:pt idx="6">
                  <c:v>2.149508934080635E-2</c:v>
                </c:pt>
                <c:pt idx="7">
                  <c:v>8.1261673465078066E-2</c:v>
                </c:pt>
                <c:pt idx="8">
                  <c:v>3.4201071307602637E-2</c:v>
                </c:pt>
                <c:pt idx="9">
                  <c:v>3.4803007705707545E-2</c:v>
                </c:pt>
                <c:pt idx="10">
                  <c:v>0.31747236358981512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423E-A820-C754F4E8D46C}"/>
            </c:ext>
          </c:extLst>
        </c:ser>
        <c:ser>
          <c:idx val="1"/>
          <c:order val="1"/>
          <c:tx>
            <c:strRef>
              <c:f>'DALYs Fig'!$D$2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Fig'!$D$3:$D$16</c15:sqref>
                  </c15:fullRef>
                </c:ext>
              </c:extLst>
              <c:f>('DALYs Fig'!$D$3:$D$11,'DALYs Fig'!$D$13,'DALYs Fig'!$D$16)</c:f>
              <c:numCache>
                <c:formatCode>General</c:formatCode>
                <c:ptCount val="11"/>
                <c:pt idx="0">
                  <c:v>0.22835720681752636</c:v>
                </c:pt>
                <c:pt idx="1">
                  <c:v>0.29433126675401688</c:v>
                </c:pt>
                <c:pt idx="2">
                  <c:v>7.0121126765910757E-2</c:v>
                </c:pt>
                <c:pt idx="3">
                  <c:v>1.7551503015716174E-2</c:v>
                </c:pt>
                <c:pt idx="4">
                  <c:v>1.7051092014419122E-2</c:v>
                </c:pt>
                <c:pt idx="5">
                  <c:v>5.7605040589258083E-3</c:v>
                </c:pt>
                <c:pt idx="6">
                  <c:v>9.6776468189950782E-3</c:v>
                </c:pt>
                <c:pt idx="7">
                  <c:v>3.6586113379047602E-2</c:v>
                </c:pt>
                <c:pt idx="8">
                  <c:v>1.3661336545966241E-2</c:v>
                </c:pt>
                <c:pt idx="9">
                  <c:v>0.23936952002265321</c:v>
                </c:pt>
                <c:pt idx="10">
                  <c:v>0.30299520893261667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D-423E-A820-C754F4E8D46C}"/>
            </c:ext>
          </c:extLst>
        </c:ser>
        <c:ser>
          <c:idx val="2"/>
          <c:order val="2"/>
          <c:tx>
            <c:strRef>
              <c:f>'DALYs Fig'!$E$2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Fig'!$E$3:$E$16</c15:sqref>
                  </c15:fullRef>
                </c:ext>
              </c:extLst>
              <c:f>('DALYs Fig'!$E$3:$E$11,'DALYs Fig'!$E$13,'DALYs Fig'!$E$16)</c:f>
              <c:numCache>
                <c:formatCode>General</c:formatCode>
                <c:ptCount val="11"/>
                <c:pt idx="0">
                  <c:v>0.19685433321062096</c:v>
                </c:pt>
                <c:pt idx="1">
                  <c:v>0.2505887203308913</c:v>
                </c:pt>
                <c:pt idx="2">
                  <c:v>2.9280244578830161E-2</c:v>
                </c:pt>
                <c:pt idx="3">
                  <c:v>1.3607591069811797E-2</c:v>
                </c:pt>
                <c:pt idx="4">
                  <c:v>1.3930607869200529E-2</c:v>
                </c:pt>
                <c:pt idx="5">
                  <c:v>4.7062864422975359E-3</c:v>
                </c:pt>
                <c:pt idx="6">
                  <c:v>7.9065612230592164E-3</c:v>
                </c:pt>
                <c:pt idx="7">
                  <c:v>2.9890566452319356E-2</c:v>
                </c:pt>
                <c:pt idx="8">
                  <c:v>2.1288848854166043E-2</c:v>
                </c:pt>
                <c:pt idx="9">
                  <c:v>0.14161990164672755</c:v>
                </c:pt>
                <c:pt idx="10">
                  <c:v>0.28677063919295565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D-423E-A820-C754F4E8D46C}"/>
            </c:ext>
          </c:extLst>
        </c:ser>
        <c:ser>
          <c:idx val="3"/>
          <c:order val="3"/>
          <c:tx>
            <c:strRef>
              <c:f>'DALYs Fig'!$F$2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Fig'!$F$3:$F$16</c15:sqref>
                  </c15:fullRef>
                </c:ext>
              </c:extLst>
              <c:f>('DALYs Fig'!$F$3:$F$11,'DALYs Fig'!$F$13,'DALYs Fig'!$F$16)</c:f>
              <c:numCache>
                <c:formatCode>General</c:formatCode>
                <c:ptCount val="11"/>
                <c:pt idx="0">
                  <c:v>0.16101934494607439</c:v>
                </c:pt>
                <c:pt idx="1">
                  <c:v>0.24751775433778778</c:v>
                </c:pt>
                <c:pt idx="2">
                  <c:v>0.11149018074457528</c:v>
                </c:pt>
                <c:pt idx="3">
                  <c:v>4.1978523485042385E-2</c:v>
                </c:pt>
                <c:pt idx="4">
                  <c:v>3.2649565083209264E-2</c:v>
                </c:pt>
                <c:pt idx="5">
                  <c:v>1.1030258474057475E-2</c:v>
                </c:pt>
                <c:pt idx="6">
                  <c:v>1.8530834236415883E-2</c:v>
                </c:pt>
                <c:pt idx="7">
                  <c:v>7.0055377620431791E-2</c:v>
                </c:pt>
                <c:pt idx="8">
                  <c:v>3.2547181629332123E-2</c:v>
                </c:pt>
                <c:pt idx="9">
                  <c:v>0.10784904665837203</c:v>
                </c:pt>
                <c:pt idx="10">
                  <c:v>0.31080688171580606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D-423E-A820-C754F4E8D46C}"/>
            </c:ext>
          </c:extLst>
        </c:ser>
        <c:ser>
          <c:idx val="4"/>
          <c:order val="4"/>
          <c:tx>
            <c:strRef>
              <c:f>'DALYs Fig'!$G$2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Fig'!$G$3:$G$16</c15:sqref>
                  </c15:fullRef>
                </c:ext>
              </c:extLst>
              <c:f>('DALYs Fig'!$G$3:$G$11,'DALYs Fig'!$G$13,'DALYs Fig'!$G$16)</c:f>
              <c:numCache>
                <c:formatCode>General</c:formatCode>
                <c:ptCount val="11"/>
                <c:pt idx="0">
                  <c:v>0.21688825753208429</c:v>
                </c:pt>
                <c:pt idx="1">
                  <c:v>0.29949568708221186</c:v>
                </c:pt>
                <c:pt idx="2">
                  <c:v>5.960505935234417E-2</c:v>
                </c:pt>
                <c:pt idx="3">
                  <c:v>3.4001368430375822E-2</c:v>
                </c:pt>
                <c:pt idx="4">
                  <c:v>2.702581962489603E-2</c:v>
                </c:pt>
                <c:pt idx="5">
                  <c:v>9.1303444678698664E-3</c:v>
                </c:pt>
                <c:pt idx="6">
                  <c:v>1.5338978706022299E-2</c:v>
                </c:pt>
                <c:pt idx="7">
                  <c:v>5.798864378433688E-2</c:v>
                </c:pt>
                <c:pt idx="8">
                  <c:v>7.0765015949977306E-3</c:v>
                </c:pt>
                <c:pt idx="9">
                  <c:v>6.2583122628978805E-2</c:v>
                </c:pt>
                <c:pt idx="10">
                  <c:v>0.32990358996426816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D-423E-A820-C754F4E8D46C}"/>
            </c:ext>
          </c:extLst>
        </c:ser>
        <c:ser>
          <c:idx val="5"/>
          <c:order val="5"/>
          <c:tx>
            <c:strRef>
              <c:f>'DALYs Fig'!$H$2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Fig'!$H$3:$H$16</c15:sqref>
                  </c15:fullRef>
                </c:ext>
              </c:extLst>
              <c:f>('DALYs Fig'!$H$3:$H$11,'DALYs Fig'!$H$13,'DALYs Fig'!$H$16)</c:f>
              <c:numCache>
                <c:formatCode>General</c:formatCode>
                <c:ptCount val="11"/>
                <c:pt idx="0">
                  <c:v>0.21167617776663494</c:v>
                </c:pt>
                <c:pt idx="1">
                  <c:v>0.28389634581657763</c:v>
                </c:pt>
                <c:pt idx="2">
                  <c:v>9.644175158564039E-2</c:v>
                </c:pt>
                <c:pt idx="3">
                  <c:v>2.3168641069749141E-2</c:v>
                </c:pt>
                <c:pt idx="4">
                  <c:v>2.2108350424415502E-2</c:v>
                </c:pt>
                <c:pt idx="5">
                  <c:v>7.4690373055456005E-3</c:v>
                </c:pt>
                <c:pt idx="6">
                  <c:v>1.2547982673316915E-2</c:v>
                </c:pt>
                <c:pt idx="7">
                  <c:v>4.7437349734983481E-2</c:v>
                </c:pt>
                <c:pt idx="8">
                  <c:v>1.7329150805009186E-2</c:v>
                </c:pt>
                <c:pt idx="9">
                  <c:v>0.27120979113238575</c:v>
                </c:pt>
                <c:pt idx="10">
                  <c:v>0.30861150351416677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D-423E-A820-C754F4E8D46C}"/>
            </c:ext>
          </c:extLst>
        </c:ser>
        <c:ser>
          <c:idx val="6"/>
          <c:order val="6"/>
          <c:tx>
            <c:strRef>
              <c:f>'DALYs Fig'!$I$2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Fig'!$I$3:$I$16</c15:sqref>
                  </c15:fullRef>
                </c:ext>
              </c:extLst>
              <c:f>('DALYs Fig'!$I$3:$I$11,'DALYs Fig'!$I$13,'DALYs Fig'!$I$16)</c:f>
              <c:numCache>
                <c:formatCode>General</c:formatCode>
                <c:ptCount val="11"/>
                <c:pt idx="0">
                  <c:v>0.14128358535408991</c:v>
                </c:pt>
                <c:pt idx="1">
                  <c:v>0.24053585998496907</c:v>
                </c:pt>
                <c:pt idx="2">
                  <c:v>6.739960538932821E-2</c:v>
                </c:pt>
                <c:pt idx="3">
                  <c:v>5.605622504483887E-2</c:v>
                </c:pt>
                <c:pt idx="4">
                  <c:v>4.1278413971451822E-2</c:v>
                </c:pt>
                <c:pt idx="5">
                  <c:v>1.3945410125490776E-2</c:v>
                </c:pt>
                <c:pt idx="6">
                  <c:v>2.3428289010823944E-2</c:v>
                </c:pt>
                <c:pt idx="7">
                  <c:v>8.8570088789014179E-2</c:v>
                </c:pt>
                <c:pt idx="8">
                  <c:v>2.6479781957078785E-2</c:v>
                </c:pt>
                <c:pt idx="9">
                  <c:v>9.1336222835735836E-2</c:v>
                </c:pt>
                <c:pt idx="10">
                  <c:v>0.32634022016526132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D-423E-A820-C754F4E8D46C}"/>
            </c:ext>
          </c:extLst>
        </c:ser>
        <c:ser>
          <c:idx val="7"/>
          <c:order val="7"/>
          <c:tx>
            <c:strRef>
              <c:f>'DALYs Fig'!$J$2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Fig'!$J$3:$J$16</c15:sqref>
                  </c15:fullRef>
                </c:ext>
              </c:extLst>
              <c:f>('DALYs Fig'!$J$3:$J$11,'DALYs Fig'!$J$13,'DALYs Fig'!$J$16)</c:f>
              <c:numCache>
                <c:formatCode>General</c:formatCode>
                <c:ptCount val="11"/>
                <c:pt idx="0">
                  <c:v>0.16653922799722676</c:v>
                </c:pt>
                <c:pt idx="1">
                  <c:v>0.22906452024860224</c:v>
                </c:pt>
                <c:pt idx="2">
                  <c:v>6.5350767051118863E-2</c:v>
                </c:pt>
                <c:pt idx="3">
                  <c:v>1.8558092433509921E-2</c:v>
                </c:pt>
                <c:pt idx="4">
                  <c:v>2.3175021633470183E-2</c:v>
                </c:pt>
                <c:pt idx="5">
                  <c:v>7.8293992004974111E-3</c:v>
                </c:pt>
                <c:pt idx="6">
                  <c:v>1.3153390656834407E-2</c:v>
                </c:pt>
                <c:pt idx="7">
                  <c:v>4.9726080202193157E-2</c:v>
                </c:pt>
                <c:pt idx="8">
                  <c:v>2.0713131261164808E-2</c:v>
                </c:pt>
                <c:pt idx="9">
                  <c:v>0.16831759974528449</c:v>
                </c:pt>
                <c:pt idx="10">
                  <c:v>0.29337177682964033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D-423E-A820-C754F4E8D46C}"/>
            </c:ext>
          </c:extLst>
        </c:ser>
        <c:ser>
          <c:idx val="8"/>
          <c:order val="8"/>
          <c:tx>
            <c:strRef>
              <c:f>'DALYs Fig'!$K$2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Fig'!$K$3:$K$16</c15:sqref>
                  </c15:fullRef>
                </c:ext>
              </c:extLst>
              <c:f>('DALYs Fig'!$K$3:$K$11,'DALYs Fig'!$K$13,'DALYs Fig'!$K$16)</c:f>
              <c:numCache>
                <c:formatCode>General</c:formatCode>
                <c:ptCount val="11"/>
                <c:pt idx="0">
                  <c:v>0.22810516220198496</c:v>
                </c:pt>
                <c:pt idx="1">
                  <c:v>0.29819247430643425</c:v>
                </c:pt>
                <c:pt idx="2">
                  <c:v>5.3124413150377636E-2</c:v>
                </c:pt>
                <c:pt idx="3">
                  <c:v>2.2620973979684322E-2</c:v>
                </c:pt>
                <c:pt idx="4">
                  <c:v>1.9169031407348158E-2</c:v>
                </c:pt>
                <c:pt idx="5">
                  <c:v>6.4760241241045291E-3</c:v>
                </c:pt>
                <c:pt idx="6">
                  <c:v>1.0879720528493619E-2</c:v>
                </c:pt>
                <c:pt idx="7">
                  <c:v>4.1130524417010372E-2</c:v>
                </c:pt>
                <c:pt idx="8">
                  <c:v>1.2117101419017229E-2</c:v>
                </c:pt>
                <c:pt idx="9">
                  <c:v>0.23951027604671526</c:v>
                </c:pt>
                <c:pt idx="10">
                  <c:v>0.31445265837759306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D-423E-A820-C754F4E8D46C}"/>
            </c:ext>
          </c:extLst>
        </c:ser>
        <c:ser>
          <c:idx val="9"/>
          <c:order val="9"/>
          <c:tx>
            <c:strRef>
              <c:f>'DALYs Fig'!$L$2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Fig'!$L$3:$L$16</c15:sqref>
                  </c15:fullRef>
                </c:ext>
              </c:extLst>
              <c:f>('DALYs Fig'!$L$3:$L$11,'DALYs Fig'!$L$13,'DALYs Fig'!$L$16)</c:f>
              <c:numCache>
                <c:formatCode>General</c:formatCode>
                <c:ptCount val="11"/>
                <c:pt idx="0">
                  <c:v>0.22733484216023192</c:v>
                </c:pt>
                <c:pt idx="1">
                  <c:v>0.29757740629426987</c:v>
                </c:pt>
                <c:pt idx="2">
                  <c:v>7.8464261597016249E-2</c:v>
                </c:pt>
                <c:pt idx="3">
                  <c:v>1.9784363389949267E-2</c:v>
                </c:pt>
                <c:pt idx="4">
                  <c:v>1.974116751227295E-2</c:v>
                </c:pt>
                <c:pt idx="5">
                  <c:v>6.6693133487403244E-3</c:v>
                </c:pt>
                <c:pt idx="6">
                  <c:v>1.120444642588414E-2</c:v>
                </c:pt>
                <c:pt idx="7">
                  <c:v>4.2358142940522869E-2</c:v>
                </c:pt>
                <c:pt idx="8">
                  <c:v>1.3055895641475468E-2</c:v>
                </c:pt>
                <c:pt idx="9">
                  <c:v>0.11975127690418264</c:v>
                </c:pt>
                <c:pt idx="10">
                  <c:v>0.31277416633084387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1D-423E-A820-C754F4E8D46C}"/>
            </c:ext>
          </c:extLst>
        </c:ser>
        <c:ser>
          <c:idx val="10"/>
          <c:order val="10"/>
          <c:tx>
            <c:strRef>
              <c:f>'DALYs Fig'!$M$2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Fig'!$M$3:$M$16</c15:sqref>
                  </c15:fullRef>
                </c:ext>
              </c:extLst>
              <c:f>('DALYs Fig'!$M$3:$M$11,'DALYs Fig'!$M$13,'DALYs Fig'!$M$16)</c:f>
              <c:numCache>
                <c:formatCode>General</c:formatCode>
                <c:ptCount val="11"/>
                <c:pt idx="0">
                  <c:v>0.13438671251133727</c:v>
                </c:pt>
                <c:pt idx="1">
                  <c:v>0.21085259143675728</c:v>
                </c:pt>
                <c:pt idx="2">
                  <c:v>0.10261818157257141</c:v>
                </c:pt>
                <c:pt idx="3">
                  <c:v>3.2847420975577246E-2</c:v>
                </c:pt>
                <c:pt idx="4">
                  <c:v>3.1414187202483346E-2</c:v>
                </c:pt>
                <c:pt idx="5">
                  <c:v>1.0612901081919923E-2</c:v>
                </c:pt>
                <c:pt idx="6">
                  <c:v>1.782967381762568E-2</c:v>
                </c:pt>
                <c:pt idx="7">
                  <c:v>6.7404657351490593E-2</c:v>
                </c:pt>
                <c:pt idx="8">
                  <c:v>2.9471667008755031E-2</c:v>
                </c:pt>
                <c:pt idx="9">
                  <c:v>8.901117304278694E-2</c:v>
                </c:pt>
                <c:pt idx="10">
                  <c:v>0.30086525574809941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4-4064-A442-F143451E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87936"/>
        <c:axId val="587692856"/>
      </c:barChart>
      <c:catAx>
        <c:axId val="5876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692856"/>
        <c:crosses val="autoZero"/>
        <c:auto val="1"/>
        <c:lblAlgn val="ctr"/>
        <c:lblOffset val="100"/>
        <c:noMultiLvlLbl val="0"/>
      </c:catAx>
      <c:valAx>
        <c:axId val="5876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'DALYs Fig'!$C$2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Fig'!$C$3:$C$16</c15:sqref>
                  </c15:fullRef>
                </c:ext>
              </c:extLst>
              <c:f>('DALYs Fig'!$C$3:$C$11,'DALYs Fig'!$C$13,'DALYs Fig'!$C$16)</c:f>
              <c:numCache>
                <c:formatCode>General</c:formatCode>
                <c:ptCount val="11"/>
                <c:pt idx="0">
                  <c:v>0.14429125280367006</c:v>
                </c:pt>
                <c:pt idx="1">
                  <c:v>0.23984702178978656</c:v>
                </c:pt>
                <c:pt idx="2">
                  <c:v>8.5599177159809581E-2</c:v>
                </c:pt>
                <c:pt idx="3">
                  <c:v>5.1389562827050872E-2</c:v>
                </c:pt>
                <c:pt idx="4">
                  <c:v>3.7872300267135173E-2</c:v>
                </c:pt>
                <c:pt idx="5">
                  <c:v>1.2794696036193764E-2</c:v>
                </c:pt>
                <c:pt idx="6">
                  <c:v>2.149508934080635E-2</c:v>
                </c:pt>
                <c:pt idx="7">
                  <c:v>8.1261673465078066E-2</c:v>
                </c:pt>
                <c:pt idx="8">
                  <c:v>3.4201071307602637E-2</c:v>
                </c:pt>
                <c:pt idx="9">
                  <c:v>3.4803007705707545E-2</c:v>
                </c:pt>
                <c:pt idx="10">
                  <c:v>0.31747236358981512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D-4403-A4A1-A5EDC312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04064"/>
        <c:axId val="481401440"/>
      </c:barChart>
      <c:catAx>
        <c:axId val="481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1440"/>
        <c:crosses val="autoZero"/>
        <c:auto val="1"/>
        <c:lblAlgn val="ctr"/>
        <c:lblOffset val="100"/>
        <c:noMultiLvlLbl val="0"/>
      </c:catAx>
      <c:valAx>
        <c:axId val="481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'DALYs Fig'!$D$2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Fig'!$D$3:$D$16</c15:sqref>
                  </c15:fullRef>
                </c:ext>
              </c:extLst>
              <c:f>('DALYs Fig'!$D$3:$D$11,'DALYs Fig'!$D$13,'DALYs Fig'!$D$16)</c:f>
              <c:numCache>
                <c:formatCode>General</c:formatCode>
                <c:ptCount val="11"/>
                <c:pt idx="0">
                  <c:v>0.22835720681752636</c:v>
                </c:pt>
                <c:pt idx="1">
                  <c:v>0.29433126675401688</c:v>
                </c:pt>
                <c:pt idx="2">
                  <c:v>7.0121126765910757E-2</c:v>
                </c:pt>
                <c:pt idx="3">
                  <c:v>1.7551503015716174E-2</c:v>
                </c:pt>
                <c:pt idx="4">
                  <c:v>1.7051092014419122E-2</c:v>
                </c:pt>
                <c:pt idx="5">
                  <c:v>5.7605040589258083E-3</c:v>
                </c:pt>
                <c:pt idx="6">
                  <c:v>9.6776468189950782E-3</c:v>
                </c:pt>
                <c:pt idx="7">
                  <c:v>3.6586113379047602E-2</c:v>
                </c:pt>
                <c:pt idx="8">
                  <c:v>1.3661336545966241E-2</c:v>
                </c:pt>
                <c:pt idx="9">
                  <c:v>0.23936952002265321</c:v>
                </c:pt>
                <c:pt idx="10">
                  <c:v>0.30299520893261667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3-4A52-B069-773AEA95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05376"/>
        <c:axId val="481403080"/>
      </c:barChart>
      <c:catAx>
        <c:axId val="4814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3080"/>
        <c:crosses val="autoZero"/>
        <c:auto val="1"/>
        <c:lblAlgn val="ctr"/>
        <c:lblOffset val="100"/>
        <c:noMultiLvlLbl val="0"/>
      </c:catAx>
      <c:valAx>
        <c:axId val="4814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'DALYs Fig'!$E$2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Fig'!$E$3:$E$16</c15:sqref>
                  </c15:fullRef>
                </c:ext>
              </c:extLst>
              <c:f>('DALYs Fig'!$E$3:$E$11,'DALYs Fig'!$E$13,'DALYs Fig'!$E$16)</c:f>
              <c:numCache>
                <c:formatCode>General</c:formatCode>
                <c:ptCount val="11"/>
                <c:pt idx="0">
                  <c:v>0.19685433321062096</c:v>
                </c:pt>
                <c:pt idx="1">
                  <c:v>0.2505887203308913</c:v>
                </c:pt>
                <c:pt idx="2">
                  <c:v>2.9280244578830161E-2</c:v>
                </c:pt>
                <c:pt idx="3">
                  <c:v>1.3607591069811797E-2</c:v>
                </c:pt>
                <c:pt idx="4">
                  <c:v>1.3930607869200529E-2</c:v>
                </c:pt>
                <c:pt idx="5">
                  <c:v>4.7062864422975359E-3</c:v>
                </c:pt>
                <c:pt idx="6">
                  <c:v>7.9065612230592164E-3</c:v>
                </c:pt>
                <c:pt idx="7">
                  <c:v>2.9890566452319356E-2</c:v>
                </c:pt>
                <c:pt idx="8">
                  <c:v>2.1288848854166043E-2</c:v>
                </c:pt>
                <c:pt idx="9">
                  <c:v>0.14161990164672755</c:v>
                </c:pt>
                <c:pt idx="10">
                  <c:v>0.28677063919295565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12B-A990-E442BB42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91600"/>
        <c:axId val="481387992"/>
      </c:barChart>
      <c:catAx>
        <c:axId val="4813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387992"/>
        <c:crosses val="autoZero"/>
        <c:auto val="1"/>
        <c:lblAlgn val="ctr"/>
        <c:lblOffset val="100"/>
        <c:noMultiLvlLbl val="0"/>
      </c:catAx>
      <c:valAx>
        <c:axId val="4813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3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'DALYs Fig'!$F$2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Fig'!$F$3:$F$16</c15:sqref>
                  </c15:fullRef>
                </c:ext>
              </c:extLst>
              <c:f>('DALYs Fig'!$F$3:$F$11,'DALYs Fig'!$F$13,'DALYs Fig'!$F$16)</c:f>
              <c:numCache>
                <c:formatCode>General</c:formatCode>
                <c:ptCount val="11"/>
                <c:pt idx="0">
                  <c:v>0.16101934494607439</c:v>
                </c:pt>
                <c:pt idx="1">
                  <c:v>0.24751775433778778</c:v>
                </c:pt>
                <c:pt idx="2">
                  <c:v>0.11149018074457528</c:v>
                </c:pt>
                <c:pt idx="3">
                  <c:v>4.1978523485042385E-2</c:v>
                </c:pt>
                <c:pt idx="4">
                  <c:v>3.2649565083209264E-2</c:v>
                </c:pt>
                <c:pt idx="5">
                  <c:v>1.1030258474057475E-2</c:v>
                </c:pt>
                <c:pt idx="6">
                  <c:v>1.8530834236415883E-2</c:v>
                </c:pt>
                <c:pt idx="7">
                  <c:v>7.0055377620431791E-2</c:v>
                </c:pt>
                <c:pt idx="8">
                  <c:v>3.2547181629332123E-2</c:v>
                </c:pt>
                <c:pt idx="9">
                  <c:v>0.10784904665837203</c:v>
                </c:pt>
                <c:pt idx="10">
                  <c:v>0.31080688171580606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D-42C5-A0E5-342768F3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10120"/>
        <c:axId val="665808808"/>
      </c:barChart>
      <c:catAx>
        <c:axId val="6658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808808"/>
        <c:crosses val="autoZero"/>
        <c:auto val="1"/>
        <c:lblAlgn val="ctr"/>
        <c:lblOffset val="100"/>
        <c:noMultiLvlLbl val="0"/>
      </c:catAx>
      <c:valAx>
        <c:axId val="6658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8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'DALYs Fig'!$G$2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Fig'!$G$3:$G$16</c15:sqref>
                  </c15:fullRef>
                </c:ext>
              </c:extLst>
              <c:f>('DALYs Fig'!$G$3:$G$11,'DALYs Fig'!$G$13,'DALYs Fig'!$G$16)</c:f>
              <c:numCache>
                <c:formatCode>General</c:formatCode>
                <c:ptCount val="11"/>
                <c:pt idx="0">
                  <c:v>0.21688825753208429</c:v>
                </c:pt>
                <c:pt idx="1">
                  <c:v>0.29949568708221186</c:v>
                </c:pt>
                <c:pt idx="2">
                  <c:v>5.960505935234417E-2</c:v>
                </c:pt>
                <c:pt idx="3">
                  <c:v>3.4001368430375822E-2</c:v>
                </c:pt>
                <c:pt idx="4">
                  <c:v>2.702581962489603E-2</c:v>
                </c:pt>
                <c:pt idx="5">
                  <c:v>9.1303444678698664E-3</c:v>
                </c:pt>
                <c:pt idx="6">
                  <c:v>1.5338978706022299E-2</c:v>
                </c:pt>
                <c:pt idx="7">
                  <c:v>5.798864378433688E-2</c:v>
                </c:pt>
                <c:pt idx="8">
                  <c:v>7.0765015949977306E-3</c:v>
                </c:pt>
                <c:pt idx="9">
                  <c:v>6.2583122628978805E-2</c:v>
                </c:pt>
                <c:pt idx="10">
                  <c:v>0.32990358996426816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0-49B5-BFC9-D69A329D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60040"/>
        <c:axId val="486862008"/>
      </c:barChart>
      <c:catAx>
        <c:axId val="4868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862008"/>
        <c:crosses val="autoZero"/>
        <c:auto val="1"/>
        <c:lblAlgn val="ctr"/>
        <c:lblOffset val="100"/>
        <c:noMultiLvlLbl val="0"/>
      </c:catAx>
      <c:valAx>
        <c:axId val="4868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8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'DALYs Fig'!$H$2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Fig'!$H$3:$H$16</c15:sqref>
                  </c15:fullRef>
                </c:ext>
              </c:extLst>
              <c:f>('DALYs Fig'!$H$3:$H$11,'DALYs Fig'!$H$13,'DALYs Fig'!$H$16)</c:f>
              <c:numCache>
                <c:formatCode>General</c:formatCode>
                <c:ptCount val="11"/>
                <c:pt idx="0">
                  <c:v>0.21167617776663494</c:v>
                </c:pt>
                <c:pt idx="1">
                  <c:v>0.28389634581657763</c:v>
                </c:pt>
                <c:pt idx="2">
                  <c:v>9.644175158564039E-2</c:v>
                </c:pt>
                <c:pt idx="3">
                  <c:v>2.3168641069749141E-2</c:v>
                </c:pt>
                <c:pt idx="4">
                  <c:v>2.2108350424415502E-2</c:v>
                </c:pt>
                <c:pt idx="5">
                  <c:v>7.4690373055456005E-3</c:v>
                </c:pt>
                <c:pt idx="6">
                  <c:v>1.2547982673316915E-2</c:v>
                </c:pt>
                <c:pt idx="7">
                  <c:v>4.7437349734983481E-2</c:v>
                </c:pt>
                <c:pt idx="8">
                  <c:v>1.7329150805009186E-2</c:v>
                </c:pt>
                <c:pt idx="9">
                  <c:v>0.27120979113238575</c:v>
                </c:pt>
                <c:pt idx="10">
                  <c:v>0.30861150351416677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7-47A4-A6E3-4AFCAFBA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03736"/>
        <c:axId val="481406688"/>
      </c:barChart>
      <c:catAx>
        <c:axId val="4814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6688"/>
        <c:crosses val="autoZero"/>
        <c:auto val="1"/>
        <c:lblAlgn val="ctr"/>
        <c:lblOffset val="100"/>
        <c:noMultiLvlLbl val="0"/>
      </c:catAx>
      <c:valAx>
        <c:axId val="481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4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Fig'!$C$3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Fig'!$C$4:$C$17</c15:sqref>
                  </c15:fullRef>
                </c:ext>
              </c:extLst>
              <c:f>('Death Fig'!$C$4:$C$12,'Death Fig'!$C$14,'Death Fig'!$C$17)</c:f>
              <c:numCache>
                <c:formatCode>General</c:formatCode>
                <c:ptCount val="11"/>
                <c:pt idx="0">
                  <c:v>0.12775639304757558</c:v>
                </c:pt>
                <c:pt idx="1">
                  <c:v>0.22438701702562203</c:v>
                </c:pt>
                <c:pt idx="2">
                  <c:v>8.9091090890909275E-2</c:v>
                </c:pt>
                <c:pt idx="3">
                  <c:v>6.3584311568841811E-2</c:v>
                </c:pt>
                <c:pt idx="4">
                  <c:v>3.5710678932105444E-2</c:v>
                </c:pt>
                <c:pt idx="5">
                  <c:v>1.2064418558142775E-2</c:v>
                </c:pt>
                <c:pt idx="6">
                  <c:v>2.0268223177680733E-2</c:v>
                </c:pt>
                <c:pt idx="7">
                  <c:v>7.662353514648379E-2</c:v>
                </c:pt>
                <c:pt idx="8">
                  <c:v>5.2741475852413178E-2</c:v>
                </c:pt>
                <c:pt idx="9">
                  <c:v>2.214324022143177E-2</c:v>
                </c:pt>
                <c:pt idx="10">
                  <c:v>0.30630191980801935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4-44CE-91A1-EAD46D49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76496"/>
        <c:axId val="480577480"/>
      </c:barChart>
      <c:catAx>
        <c:axId val="4805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77480"/>
        <c:crosses val="autoZero"/>
        <c:auto val="1"/>
        <c:lblAlgn val="ctr"/>
        <c:lblOffset val="100"/>
        <c:noMultiLvlLbl val="0"/>
      </c:catAx>
      <c:valAx>
        <c:axId val="4805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'DALYs Fig'!$I$2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Fig'!$I$3:$I$16</c15:sqref>
                  </c15:fullRef>
                </c:ext>
              </c:extLst>
              <c:f>('DALYs Fig'!$I$3:$I$11,'DALYs Fig'!$I$13,'DALYs Fig'!$I$16)</c:f>
              <c:numCache>
                <c:formatCode>General</c:formatCode>
                <c:ptCount val="11"/>
                <c:pt idx="0">
                  <c:v>0.14128358535408991</c:v>
                </c:pt>
                <c:pt idx="1">
                  <c:v>0.24053585998496907</c:v>
                </c:pt>
                <c:pt idx="2">
                  <c:v>6.739960538932821E-2</c:v>
                </c:pt>
                <c:pt idx="3">
                  <c:v>5.605622504483887E-2</c:v>
                </c:pt>
                <c:pt idx="4">
                  <c:v>4.1278413971451822E-2</c:v>
                </c:pt>
                <c:pt idx="5">
                  <c:v>1.3945410125490776E-2</c:v>
                </c:pt>
                <c:pt idx="6">
                  <c:v>2.3428289010823944E-2</c:v>
                </c:pt>
                <c:pt idx="7">
                  <c:v>8.8570088789014179E-2</c:v>
                </c:pt>
                <c:pt idx="8">
                  <c:v>2.6479781957078785E-2</c:v>
                </c:pt>
                <c:pt idx="9">
                  <c:v>9.1336222835735836E-2</c:v>
                </c:pt>
                <c:pt idx="10">
                  <c:v>0.32634022016526132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7-477F-865E-D569F69A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69160"/>
        <c:axId val="665869488"/>
      </c:barChart>
      <c:catAx>
        <c:axId val="6658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869488"/>
        <c:crosses val="autoZero"/>
        <c:auto val="1"/>
        <c:lblAlgn val="ctr"/>
        <c:lblOffset val="100"/>
        <c:noMultiLvlLbl val="0"/>
      </c:catAx>
      <c:valAx>
        <c:axId val="665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8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'DALYs Fig'!$J$2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Fig'!$J$3:$J$16</c15:sqref>
                  </c15:fullRef>
                </c:ext>
              </c:extLst>
              <c:f>('DALYs Fig'!$J$3:$J$11,'DALYs Fig'!$J$13,'DALYs Fig'!$J$16)</c:f>
              <c:numCache>
                <c:formatCode>General</c:formatCode>
                <c:ptCount val="11"/>
                <c:pt idx="0">
                  <c:v>0.16653922799722676</c:v>
                </c:pt>
                <c:pt idx="1">
                  <c:v>0.22906452024860224</c:v>
                </c:pt>
                <c:pt idx="2">
                  <c:v>6.5350767051118863E-2</c:v>
                </c:pt>
                <c:pt idx="3">
                  <c:v>1.8558092433509921E-2</c:v>
                </c:pt>
                <c:pt idx="4">
                  <c:v>2.3175021633470183E-2</c:v>
                </c:pt>
                <c:pt idx="5">
                  <c:v>7.8293992004974111E-3</c:v>
                </c:pt>
                <c:pt idx="6">
                  <c:v>1.3153390656834407E-2</c:v>
                </c:pt>
                <c:pt idx="7">
                  <c:v>4.9726080202193157E-2</c:v>
                </c:pt>
                <c:pt idx="8">
                  <c:v>2.0713131261164808E-2</c:v>
                </c:pt>
                <c:pt idx="9">
                  <c:v>0.16831759974528449</c:v>
                </c:pt>
                <c:pt idx="10">
                  <c:v>0.29337177682964033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D-498D-9F5F-C591D269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67584"/>
        <c:axId val="486871848"/>
      </c:barChart>
      <c:catAx>
        <c:axId val="4868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871848"/>
        <c:crosses val="autoZero"/>
        <c:auto val="1"/>
        <c:lblAlgn val="ctr"/>
        <c:lblOffset val="100"/>
        <c:noMultiLvlLbl val="0"/>
      </c:catAx>
      <c:valAx>
        <c:axId val="4868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8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'DALYs Fig'!$K$2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Fig'!$K$3:$K$16</c15:sqref>
                  </c15:fullRef>
                </c:ext>
              </c:extLst>
              <c:f>('DALYs Fig'!$K$3:$K$11,'DALYs Fig'!$K$13,'DALYs Fig'!$K$16)</c:f>
              <c:numCache>
                <c:formatCode>General</c:formatCode>
                <c:ptCount val="11"/>
                <c:pt idx="0">
                  <c:v>0.22810516220198496</c:v>
                </c:pt>
                <c:pt idx="1">
                  <c:v>0.29819247430643425</c:v>
                </c:pt>
                <c:pt idx="2">
                  <c:v>5.3124413150377636E-2</c:v>
                </c:pt>
                <c:pt idx="3">
                  <c:v>2.2620973979684322E-2</c:v>
                </c:pt>
                <c:pt idx="4">
                  <c:v>1.9169031407348158E-2</c:v>
                </c:pt>
                <c:pt idx="5">
                  <c:v>6.4760241241045291E-3</c:v>
                </c:pt>
                <c:pt idx="6">
                  <c:v>1.0879720528493619E-2</c:v>
                </c:pt>
                <c:pt idx="7">
                  <c:v>4.1130524417010372E-2</c:v>
                </c:pt>
                <c:pt idx="8">
                  <c:v>1.2117101419017229E-2</c:v>
                </c:pt>
                <c:pt idx="9">
                  <c:v>0.23951027604671526</c:v>
                </c:pt>
                <c:pt idx="10">
                  <c:v>0.31445265837759306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9-4B90-95AF-D81B7872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24560"/>
        <c:axId val="670717344"/>
      </c:barChart>
      <c:catAx>
        <c:axId val="6707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717344"/>
        <c:crosses val="autoZero"/>
        <c:auto val="1"/>
        <c:lblAlgn val="ctr"/>
        <c:lblOffset val="100"/>
        <c:noMultiLvlLbl val="0"/>
      </c:catAx>
      <c:valAx>
        <c:axId val="6707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7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'DALYs Fig'!$L$2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'DALYs Fig'!$B$3:$B$16</c15:sqref>
                  </c15:fullRef>
                </c:ext>
              </c:extLst>
              <c:f>('DALYs Fig'!$B$3:$B$11,'DALYs Fig'!$B$13,'DALYs Fig'!$B$16)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 front</c:v>
                </c:pt>
                <c:pt idx="4">
                  <c:v>Airbag 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optimization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'DALYs Fig'!$L$3:$L$16</c15:sqref>
                  </c15:fullRef>
                </c:ext>
              </c:extLst>
              <c:f>('DALYs Fig'!$L$3:$L$11,'DALYs Fig'!$L$13,'DALYs Fig'!$L$16)</c:f>
              <c:numCache>
                <c:formatCode>General</c:formatCode>
                <c:ptCount val="11"/>
                <c:pt idx="0">
                  <c:v>0.22733484216023192</c:v>
                </c:pt>
                <c:pt idx="1">
                  <c:v>0.29757740629426987</c:v>
                </c:pt>
                <c:pt idx="2">
                  <c:v>7.8464261597016249E-2</c:v>
                </c:pt>
                <c:pt idx="3">
                  <c:v>1.9784363389949267E-2</c:v>
                </c:pt>
                <c:pt idx="4">
                  <c:v>1.974116751227295E-2</c:v>
                </c:pt>
                <c:pt idx="5">
                  <c:v>6.6693133487403244E-3</c:v>
                </c:pt>
                <c:pt idx="6">
                  <c:v>1.120444642588414E-2</c:v>
                </c:pt>
                <c:pt idx="7">
                  <c:v>4.2358142940522869E-2</c:v>
                </c:pt>
                <c:pt idx="8">
                  <c:v>1.3055895641475468E-2</c:v>
                </c:pt>
                <c:pt idx="9">
                  <c:v>0.11975127690418264</c:v>
                </c:pt>
                <c:pt idx="10">
                  <c:v>0.31277416633084387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BC-450A-B54B-1299C1D6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7984"/>
        <c:axId val="573025200"/>
      </c:barChart>
      <c:catAx>
        <c:axId val="5730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25200"/>
        <c:crosses val="autoZero"/>
        <c:auto val="1"/>
        <c:lblAlgn val="ctr"/>
        <c:lblOffset val="100"/>
        <c:noMultiLvlLbl val="0"/>
      </c:catAx>
      <c:valAx>
        <c:axId val="5730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Baseline DALYs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'DALYs Table'!$B$4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Table'!$C$4:$L$4</c:f>
              <c:numCache>
                <c:formatCode>0</c:formatCode>
                <c:ptCount val="10"/>
                <c:pt idx="0">
                  <c:v>815.48696479007344</c:v>
                </c:pt>
                <c:pt idx="1">
                  <c:v>16234.051701802013</c:v>
                </c:pt>
                <c:pt idx="2">
                  <c:v>348577.90804149391</c:v>
                </c:pt>
                <c:pt idx="3">
                  <c:v>15683.948274379683</c:v>
                </c:pt>
                <c:pt idx="4">
                  <c:v>23295.974038158976</c:v>
                </c:pt>
                <c:pt idx="5">
                  <c:v>45354.341176418893</c:v>
                </c:pt>
                <c:pt idx="6">
                  <c:v>130710.94703609226</c:v>
                </c:pt>
                <c:pt idx="7">
                  <c:v>1966.5466921239849</c:v>
                </c:pt>
                <c:pt idx="8">
                  <c:v>81704.940761974256</c:v>
                </c:pt>
                <c:pt idx="9">
                  <c:v>124395.87161524963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6-4003-8D3D-35FB1DF17EF9}"/>
            </c:ext>
          </c:extLst>
        </c:ser>
        <c:ser>
          <c:idx val="1"/>
          <c:order val="1"/>
          <c:tx>
            <c:strRef>
              <c:f>'DALYs Table'!$B$5</c:f>
              <c:strCache>
                <c:ptCount val="1"/>
                <c:pt idx="0">
                  <c:v>Bicyclist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Table'!$C$5:$L$5</c:f>
              <c:numCache>
                <c:formatCode>0</c:formatCode>
                <c:ptCount val="10"/>
                <c:pt idx="0">
                  <c:v>195.23506563163758</c:v>
                </c:pt>
                <c:pt idx="1">
                  <c:v>4381.4355625336284</c:v>
                </c:pt>
                <c:pt idx="2">
                  <c:v>317815.73641023354</c:v>
                </c:pt>
                <c:pt idx="3">
                  <c:v>4183.4885515821888</c:v>
                </c:pt>
                <c:pt idx="4">
                  <c:v>8022.7271072852445</c:v>
                </c:pt>
                <c:pt idx="5">
                  <c:v>12697.958403909304</c:v>
                </c:pt>
                <c:pt idx="6">
                  <c:v>33169.908240791599</c:v>
                </c:pt>
                <c:pt idx="7">
                  <c:v>2209.9069458820909</c:v>
                </c:pt>
                <c:pt idx="8">
                  <c:v>32304.793759351665</c:v>
                </c:pt>
                <c:pt idx="9">
                  <c:v>44615.583539254752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003-8D3D-35FB1DF17EF9}"/>
            </c:ext>
          </c:extLst>
        </c:ser>
        <c:ser>
          <c:idx val="2"/>
          <c:order val="2"/>
          <c:tx>
            <c:strRef>
              <c:f>'DALYs Table'!$B$6</c:f>
              <c:strCache>
                <c:ptCount val="1"/>
                <c:pt idx="0">
                  <c:v>Motorcyclist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Table'!$C$6:$L$6</c:f>
              <c:numCache>
                <c:formatCode>0</c:formatCode>
                <c:ptCount val="10"/>
                <c:pt idx="0">
                  <c:v>1618.1193054881173</c:v>
                </c:pt>
                <c:pt idx="1">
                  <c:v>152321.79840221966</c:v>
                </c:pt>
                <c:pt idx="2">
                  <c:v>1841203.9667874419</c:v>
                </c:pt>
                <c:pt idx="3">
                  <c:v>38266.654708691043</c:v>
                </c:pt>
                <c:pt idx="4">
                  <c:v>404529.68763653294</c:v>
                </c:pt>
                <c:pt idx="5">
                  <c:v>307706.05875464407</c:v>
                </c:pt>
                <c:pt idx="6">
                  <c:v>348739.32468544965</c:v>
                </c:pt>
                <c:pt idx="7">
                  <c:v>9335.4674811192635</c:v>
                </c:pt>
                <c:pt idx="8">
                  <c:v>864834.89196689206</c:v>
                </c:pt>
                <c:pt idx="9">
                  <c:v>1221993.5715514701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6-4003-8D3D-35FB1DF17EF9}"/>
            </c:ext>
          </c:extLst>
        </c:ser>
        <c:ser>
          <c:idx val="3"/>
          <c:order val="3"/>
          <c:tx>
            <c:strRef>
              <c:f>'DALYs Table'!$B$7</c:f>
              <c:strCache>
                <c:ptCount val="1"/>
                <c:pt idx="0">
                  <c:v>Motocyclist (three wheeler)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Table'!$C$7:$L$7</c:f>
              <c:numCache>
                <c:formatCode>0</c:formatCode>
                <c:ptCount val="10"/>
                <c:pt idx="0">
                  <c:v>11.270507185306355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6-4003-8D3D-35FB1DF17EF9}"/>
            </c:ext>
          </c:extLst>
        </c:ser>
        <c:ser>
          <c:idx val="4"/>
          <c:order val="4"/>
          <c:tx>
            <c:strRef>
              <c:f>'DALYs Table'!$B$8</c:f>
              <c:strCache>
                <c:ptCount val="1"/>
                <c:pt idx="0">
                  <c:v>Occupant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Table'!$C$8:$L$8</c:f>
              <c:numCache>
                <c:formatCode>0</c:formatCode>
                <c:ptCount val="10"/>
                <c:pt idx="0">
                  <c:v>1578.7276720610232</c:v>
                </c:pt>
                <c:pt idx="1">
                  <c:v>32580.622507117547</c:v>
                </c:pt>
                <c:pt idx="2">
                  <c:v>361634.78927316802</c:v>
                </c:pt>
                <c:pt idx="3">
                  <c:v>27026.25452342736</c:v>
                </c:pt>
                <c:pt idx="4">
                  <c:v>151776.91024308774</c:v>
                </c:pt>
                <c:pt idx="5">
                  <c:v>93501.645074768763</c:v>
                </c:pt>
                <c:pt idx="6">
                  <c:v>356323.43081083463</c:v>
                </c:pt>
                <c:pt idx="7">
                  <c:v>3322.5281538921654</c:v>
                </c:pt>
                <c:pt idx="8">
                  <c:v>216182.72982113605</c:v>
                </c:pt>
                <c:pt idx="9">
                  <c:v>300256.16139611031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6-4003-8D3D-35FB1DF17EF9}"/>
            </c:ext>
          </c:extLst>
        </c:ser>
        <c:ser>
          <c:idx val="5"/>
          <c:order val="5"/>
          <c:tx>
            <c:strRef>
              <c:f>'DALYs Table'!$B$9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'DALYs Table'!$C$2:$L$2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'DALYs Table'!$C$9:$L$9</c:f>
              <c:numCache>
                <c:formatCode>0</c:formatCode>
                <c:ptCount val="10"/>
                <c:pt idx="0">
                  <c:v>37.296846942828203</c:v>
                </c:pt>
                <c:pt idx="1">
                  <c:v>6597.3719836956516</c:v>
                </c:pt>
                <c:pt idx="2">
                  <c:v>53478.780897060322</c:v>
                </c:pt>
                <c:pt idx="3">
                  <c:v>855.85033213972781</c:v>
                </c:pt>
                <c:pt idx="4">
                  <c:v>0</c:v>
                </c:pt>
                <c:pt idx="5">
                  <c:v>7915.2200668945943</c:v>
                </c:pt>
                <c:pt idx="6">
                  <c:v>12177.845731321317</c:v>
                </c:pt>
                <c:pt idx="7">
                  <c:v>112.70275909869882</c:v>
                </c:pt>
                <c:pt idx="8">
                  <c:v>8588.2132625757058</c:v>
                </c:pt>
                <c:pt idx="9">
                  <c:v>9477.2133893564333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6-4003-8D3D-35FB1DF1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618304"/>
        <c:axId val="65662092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'DALYs Table'!$B$10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'DALYs Table'!$C$2:$L$2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'DALYs Table'!$C$10:$L$10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4256.136362098986</c:v>
                      </c:pt>
                      <c:pt idx="1">
                        <c:v>212115.28015736851</c:v>
                      </c:pt>
                      <c:pt idx="2">
                        <c:v>2922711.1814093976</c:v>
                      </c:pt>
                      <c:pt idx="3">
                        <c:v>86016.196390220008</c:v>
                      </c:pt>
                      <c:pt idx="4">
                        <c:v>587625.29902506492</c:v>
                      </c:pt>
                      <c:pt idx="5">
                        <c:v>467175.22347663564</c:v>
                      </c:pt>
                      <c:pt idx="6">
                        <c:v>881121.45650448953</c:v>
                      </c:pt>
                      <c:pt idx="7">
                        <c:v>16947.152032116202</c:v>
                      </c:pt>
                      <c:pt idx="8">
                        <c:v>1203615.5695719298</c:v>
                      </c:pt>
                      <c:pt idx="9">
                        <c:v>1700738.4014914411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0B6-4003-8D3D-35FB1DF17EF9}"/>
                  </c:ext>
                </c:extLst>
              </c15:ser>
            </c15:filteredBarSeries>
          </c:ext>
        </c:extLst>
      </c:barChart>
      <c:catAx>
        <c:axId val="6566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20928"/>
        <c:crosses val="autoZero"/>
        <c:auto val="1"/>
        <c:lblAlgn val="ctr"/>
        <c:lblOffset val="100"/>
        <c:noMultiLvlLbl val="0"/>
      </c:catAx>
      <c:valAx>
        <c:axId val="656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Additional</a:t>
            </a:r>
            <a:r>
              <a:rPr lang="en-US" altLang="ja-JP" baseline="0"/>
              <a:t> safety benifits of </a:t>
            </a:r>
            <a:r>
              <a:rPr lang="en-US" altLang="ja-JP"/>
              <a:t>AEB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AEB!$B$4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AEB!$C$3:$L$3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AEB!$C$4:$L$4</c:f>
              <c:numCache>
                <c:formatCode>General</c:formatCode>
                <c:ptCount val="10"/>
                <c:pt idx="0">
                  <c:v>0.30953616638336157</c:v>
                </c:pt>
                <c:pt idx="1">
                  <c:v>0.35942000000000052</c:v>
                </c:pt>
                <c:pt idx="2">
                  <c:v>0.36303600000000003</c:v>
                </c:pt>
                <c:pt idx="3">
                  <c:v>0.31552015201520178</c:v>
                </c:pt>
                <c:pt idx="4">
                  <c:v>0.37697599999999998</c:v>
                </c:pt>
                <c:pt idx="5">
                  <c:v>0.3545799999999999</c:v>
                </c:pt>
                <c:pt idx="6">
                  <c:v>0.31852659999999999</c:v>
                </c:pt>
                <c:pt idx="7">
                  <c:v>0.33191999999999999</c:v>
                </c:pt>
                <c:pt idx="8">
                  <c:v>0.37538800000000005</c:v>
                </c:pt>
                <c:pt idx="9">
                  <c:v>0.37260400000000005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4F72-8755-977700A854BA}"/>
            </c:ext>
          </c:extLst>
        </c:ser>
        <c:ser>
          <c:idx val="1"/>
          <c:order val="1"/>
          <c:tx>
            <c:strRef>
              <c:f>AEB!$B$5</c:f>
              <c:strCache>
                <c:ptCount val="1"/>
                <c:pt idx="0">
                  <c:v>DALYs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AEB!$C$3:$L$3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AEB!$C$5:$L$5</c:f>
              <c:numCache>
                <c:formatCode>General</c:formatCode>
                <c:ptCount val="10"/>
                <c:pt idx="0">
                  <c:v>0.34334558849356778</c:v>
                </c:pt>
                <c:pt idx="1">
                  <c:v>0.37381988652279219</c:v>
                </c:pt>
                <c:pt idx="2">
                  <c:v>0.37460058825257669</c:v>
                </c:pt>
                <c:pt idx="3">
                  <c:v>0.34748145254544205</c:v>
                </c:pt>
                <c:pt idx="4">
                  <c:v>0.38532063257476024</c:v>
                </c:pt>
                <c:pt idx="5">
                  <c:v>0.37284956502331501</c:v>
                </c:pt>
                <c:pt idx="6">
                  <c:v>0.34999705101734147</c:v>
                </c:pt>
                <c:pt idx="7">
                  <c:v>0.37708067960947655</c:v>
                </c:pt>
                <c:pt idx="8">
                  <c:v>0.38222623512398046</c:v>
                </c:pt>
                <c:pt idx="9">
                  <c:v>0.38363866255037171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A-4F72-8755-977700A8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859760"/>
        <c:axId val="824860416"/>
      </c:barChart>
      <c:catAx>
        <c:axId val="824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860416"/>
        <c:crosses val="autoZero"/>
        <c:auto val="1"/>
        <c:lblAlgn val="ctr"/>
        <c:lblOffset val="100"/>
        <c:noMultiLvlLbl val="0"/>
      </c:catAx>
      <c:valAx>
        <c:axId val="82486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8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Safety impact of speed</a:t>
            </a:r>
            <a:r>
              <a:rPr lang="en-US" altLang="ja-JP" baseline="0"/>
              <a:t> limitation on DALYs</a:t>
            </a:r>
            <a:endParaRPr lang="en-US" altLang="ja-JP"/>
          </a:p>
        </c:rich>
      </c:tx>
      <c:layout>
        <c:manualLayout>
          <c:xMode val="edge"/>
          <c:yMode val="edge"/>
          <c:x val="0.4621739130434781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SM!$D$7</c:f>
              <c:strCache>
                <c:ptCount val="1"/>
                <c:pt idx="0">
                  <c:v>DALYs (baseline)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SM!$E$4:$N$4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SM!$E$7:$N$7</c:f>
              <c:numCache>
                <c:formatCode>0_ </c:formatCode>
                <c:ptCount val="10"/>
                <c:pt idx="0">
                  <c:v>4256.136362098986</c:v>
                </c:pt>
                <c:pt idx="1">
                  <c:v>212115.28015736851</c:v>
                </c:pt>
                <c:pt idx="2">
                  <c:v>2922711.1814093976</c:v>
                </c:pt>
                <c:pt idx="3">
                  <c:v>86016.196390220008</c:v>
                </c:pt>
                <c:pt idx="4">
                  <c:v>587625.29902506492</c:v>
                </c:pt>
                <c:pt idx="5">
                  <c:v>467175.22347663564</c:v>
                </c:pt>
                <c:pt idx="6">
                  <c:v>881121.45650448953</c:v>
                </c:pt>
                <c:pt idx="7">
                  <c:v>16947.152032116202</c:v>
                </c:pt>
                <c:pt idx="8">
                  <c:v>1203615.5695719298</c:v>
                </c:pt>
                <c:pt idx="9">
                  <c:v>1700738.4014914411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5-410D-9F79-F10005319A0D}"/>
            </c:ext>
          </c:extLst>
        </c:ser>
        <c:ser>
          <c:idx val="3"/>
          <c:order val="3"/>
          <c:tx>
            <c:strRef>
              <c:f>SM!$D$8</c:f>
              <c:strCache>
                <c:ptCount val="1"/>
                <c:pt idx="0">
                  <c:v>DALYs (SM)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SM!$E$4:$N$4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SM!$E$8:$N$8</c:f>
              <c:numCache>
                <c:formatCode>0_ </c:formatCode>
                <c:ptCount val="10"/>
                <c:pt idx="0">
                  <c:v>3412.368459067754</c:v>
                </c:pt>
                <c:pt idx="1">
                  <c:v>171011.69852263399</c:v>
                </c:pt>
                <c:pt idx="2">
                  <c:v>2348864.7013069298</c:v>
                </c:pt>
                <c:pt idx="3">
                  <c:v>68984.127178603885</c:v>
                </c:pt>
                <c:pt idx="4">
                  <c:v>470100.23922005226</c:v>
                </c:pt>
                <c:pt idx="5">
                  <c:v>375323.22279468755</c:v>
                </c:pt>
                <c:pt idx="6">
                  <c:v>707332.73434985604</c:v>
                </c:pt>
                <c:pt idx="7">
                  <c:v>13580.262177512697</c:v>
                </c:pt>
                <c:pt idx="8">
                  <c:v>964610.09831005917</c:v>
                </c:pt>
                <c:pt idx="9">
                  <c:v>1362486.1638710236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5-410D-9F79-F1000531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941760"/>
        <c:axId val="824941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SM!$D$5</c15:sqref>
                        </c15:formulaRef>
                      </c:ext>
                    </c:extLst>
                    <c:strCache>
                      <c:ptCount val="1"/>
                      <c:pt idx="0">
                        <c:v>Deaths (baseline)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SM!$E$4:$N$4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SM!$E$5:$N$5</c15:sqref>
                        </c15:formulaRef>
                      </c:ext>
                    </c:extLst>
                    <c:numCache>
                      <c:formatCode>0_ </c:formatCode>
                      <c:ptCount val="10"/>
                      <c:pt idx="0">
                        <c:v>61.156103641295324</c:v>
                      </c:pt>
                      <c:pt idx="1">
                        <c:v>2891.0000000000014</c:v>
                      </c:pt>
                      <c:pt idx="2">
                        <c:v>36618.999999999993</c:v>
                      </c:pt>
                      <c:pt idx="3">
                        <c:v>1079.8618053559069</c:v>
                      </c:pt>
                      <c:pt idx="4">
                        <c:v>7582.0446140106715</c:v>
                      </c:pt>
                      <c:pt idx="5">
                        <c:v>5710.1785090125695</c:v>
                      </c:pt>
                      <c:pt idx="6">
                        <c:v>10888.550329334797</c:v>
                      </c:pt>
                      <c:pt idx="7">
                        <c:v>159.00000000000006</c:v>
                      </c:pt>
                      <c:pt idx="8">
                        <c:v>19518.400134819574</c:v>
                      </c:pt>
                      <c:pt idx="9">
                        <c:v>24129.999999999996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45-410D-9F79-F10005319A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SM!$D$6</c15:sqref>
                        </c15:formulaRef>
                      </c:ext>
                    </c:extLst>
                    <c:strCache>
                      <c:ptCount val="1"/>
                      <c:pt idx="0">
                        <c:v>Death (SM)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SM!$E$4:$N$4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SM!$E$6:$N$6</c15:sqref>
                        </c15:formulaRef>
                      </c:ext>
                    </c:extLst>
                    <c:numCache>
                      <c:formatCode>0_ </c:formatCode>
                      <c:ptCount val="10"/>
                      <c:pt idx="0">
                        <c:v>49.094879881462163</c:v>
                      </c:pt>
                      <c:pt idx="1">
                        <c:v>2341.71</c:v>
                      </c:pt>
                      <c:pt idx="2">
                        <c:v>29368.438000000006</c:v>
                      </c:pt>
                      <c:pt idx="3">
                        <c:v>867.43174523638868</c:v>
                      </c:pt>
                      <c:pt idx="4">
                        <c:v>6065.6356912085384</c:v>
                      </c:pt>
                      <c:pt idx="5">
                        <c:v>4602.4038782641355</c:v>
                      </c:pt>
                      <c:pt idx="6">
                        <c:v>8761.145365989365</c:v>
                      </c:pt>
                      <c:pt idx="7">
                        <c:v>127.2000000000001</c:v>
                      </c:pt>
                      <c:pt idx="8">
                        <c:v>15653.756908125299</c:v>
                      </c:pt>
                      <c:pt idx="9">
                        <c:v>19352.260000000028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5-410D-9F79-F10005319A0D}"/>
                  </c:ext>
                </c:extLst>
              </c15:ser>
            </c15:filteredBarSeries>
          </c:ext>
        </c:extLst>
      </c:barChart>
      <c:catAx>
        <c:axId val="8249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941104"/>
        <c:crosses val="autoZero"/>
        <c:auto val="1"/>
        <c:lblAlgn val="ctr"/>
        <c:lblOffset val="100"/>
        <c:noMultiLvlLbl val="0"/>
      </c:catAx>
      <c:valAx>
        <c:axId val="8249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9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Safety impact of speed limitation on Deaths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88449706846786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SM!$D$5</c:f>
              <c:strCache>
                <c:ptCount val="1"/>
                <c:pt idx="0">
                  <c:v>Deaths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SM!$E$4:$N$4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SM!$E$5:$N$5</c:f>
              <c:numCache>
                <c:formatCode>0_ </c:formatCode>
                <c:ptCount val="10"/>
                <c:pt idx="0">
                  <c:v>61.156103641295324</c:v>
                </c:pt>
                <c:pt idx="1">
                  <c:v>2891.0000000000014</c:v>
                </c:pt>
                <c:pt idx="2">
                  <c:v>36618.999999999993</c:v>
                </c:pt>
                <c:pt idx="3">
                  <c:v>1079.8618053559069</c:v>
                </c:pt>
                <c:pt idx="4">
                  <c:v>7582.0446140106715</c:v>
                </c:pt>
                <c:pt idx="5">
                  <c:v>5710.1785090125695</c:v>
                </c:pt>
                <c:pt idx="6">
                  <c:v>10888.550329334797</c:v>
                </c:pt>
                <c:pt idx="7">
                  <c:v>159.00000000000006</c:v>
                </c:pt>
                <c:pt idx="8">
                  <c:v>19518.400134819574</c:v>
                </c:pt>
                <c:pt idx="9">
                  <c:v>24129.999999999996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0-42CF-A508-32022F3EB673}"/>
            </c:ext>
          </c:extLst>
        </c:ser>
        <c:ser>
          <c:idx val="1"/>
          <c:order val="1"/>
          <c:tx>
            <c:strRef>
              <c:f>SM!$D$6</c:f>
              <c:strCache>
                <c:ptCount val="1"/>
                <c:pt idx="0">
                  <c:v>Death (SM)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SM!$E$4:$N$4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SM!$E$6:$N$6</c:f>
              <c:numCache>
                <c:formatCode>0_ </c:formatCode>
                <c:ptCount val="10"/>
                <c:pt idx="0">
                  <c:v>49.094879881462163</c:v>
                </c:pt>
                <c:pt idx="1">
                  <c:v>2341.71</c:v>
                </c:pt>
                <c:pt idx="2">
                  <c:v>29368.438000000006</c:v>
                </c:pt>
                <c:pt idx="3">
                  <c:v>867.43174523638868</c:v>
                </c:pt>
                <c:pt idx="4">
                  <c:v>6065.6356912085384</c:v>
                </c:pt>
                <c:pt idx="5">
                  <c:v>4602.4038782641355</c:v>
                </c:pt>
                <c:pt idx="6">
                  <c:v>8761.145365989365</c:v>
                </c:pt>
                <c:pt idx="7">
                  <c:v>127.2000000000001</c:v>
                </c:pt>
                <c:pt idx="8">
                  <c:v>15653.756908125299</c:v>
                </c:pt>
                <c:pt idx="9">
                  <c:v>19352.260000000028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0-42CF-A508-32022F3E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935200"/>
        <c:axId val="824938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SM!$D$7</c15:sqref>
                        </c15:formulaRef>
                      </c:ext>
                    </c:extLst>
                    <c:strCache>
                      <c:ptCount val="1"/>
                      <c:pt idx="0">
                        <c:v>DALYs (baseline)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SM!$E$4:$N$4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SM!$E$7:$N$7</c15:sqref>
                        </c15:formulaRef>
                      </c:ext>
                    </c:extLst>
                    <c:numCache>
                      <c:formatCode>0_ </c:formatCode>
                      <c:ptCount val="10"/>
                      <c:pt idx="0">
                        <c:v>4256.136362098986</c:v>
                      </c:pt>
                      <c:pt idx="1">
                        <c:v>212115.28015736851</c:v>
                      </c:pt>
                      <c:pt idx="2">
                        <c:v>2922711.1814093976</c:v>
                      </c:pt>
                      <c:pt idx="3">
                        <c:v>86016.196390220008</c:v>
                      </c:pt>
                      <c:pt idx="4">
                        <c:v>587625.29902506492</c:v>
                      </c:pt>
                      <c:pt idx="5">
                        <c:v>467175.22347663564</c:v>
                      </c:pt>
                      <c:pt idx="6">
                        <c:v>881121.45650448953</c:v>
                      </c:pt>
                      <c:pt idx="7">
                        <c:v>16947.152032116202</c:v>
                      </c:pt>
                      <c:pt idx="8">
                        <c:v>1203615.5695719298</c:v>
                      </c:pt>
                      <c:pt idx="9">
                        <c:v>1700738.4014914411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00-42CF-A508-32022F3EB6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SM!$D$8</c15:sqref>
                        </c15:formulaRef>
                      </c:ext>
                    </c:extLst>
                    <c:strCache>
                      <c:ptCount val="1"/>
                      <c:pt idx="0">
                        <c:v>DALYs (SM)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SM!$E$4:$N$4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SM!$E$8:$N$8</c15:sqref>
                        </c15:formulaRef>
                      </c:ext>
                    </c:extLst>
                    <c:numCache>
                      <c:formatCode>0_ </c:formatCode>
                      <c:ptCount val="10"/>
                      <c:pt idx="0">
                        <c:v>3412.368459067754</c:v>
                      </c:pt>
                      <c:pt idx="1">
                        <c:v>171011.69852263399</c:v>
                      </c:pt>
                      <c:pt idx="2">
                        <c:v>2348864.7013069298</c:v>
                      </c:pt>
                      <c:pt idx="3">
                        <c:v>68984.127178603885</c:v>
                      </c:pt>
                      <c:pt idx="4">
                        <c:v>470100.23922005226</c:v>
                      </c:pt>
                      <c:pt idx="5">
                        <c:v>375323.22279468755</c:v>
                      </c:pt>
                      <c:pt idx="6">
                        <c:v>707332.73434985604</c:v>
                      </c:pt>
                      <c:pt idx="7">
                        <c:v>13580.262177512697</c:v>
                      </c:pt>
                      <c:pt idx="8">
                        <c:v>964610.09831005917</c:v>
                      </c:pt>
                      <c:pt idx="9">
                        <c:v>1362486.1638710236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00-42CF-A508-32022F3EB673}"/>
                  </c:ext>
                </c:extLst>
              </c15:ser>
            </c15:filteredBarSeries>
          </c:ext>
        </c:extLst>
      </c:barChart>
      <c:catAx>
        <c:axId val="8249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938480"/>
        <c:crosses val="autoZero"/>
        <c:auto val="1"/>
        <c:lblAlgn val="ctr"/>
        <c:lblOffset val="100"/>
        <c:noMultiLvlLbl val="0"/>
      </c:catAx>
      <c:valAx>
        <c:axId val="8249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9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Safety effectiveness of Head Restrains on DALYs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HR!$D$6</c:f>
              <c:strCache>
                <c:ptCount val="1"/>
                <c:pt idx="0">
                  <c:v>DALYs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HR!$E$4:$N$4</c:f>
              <c:strCache>
                <c:ptCount val="10"/>
                <c:pt idx="0">
                  <c:v>Brunei</c:v>
                </c:pt>
                <c:pt idx="1">
                  <c:v>Cambodia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HR!$E$6:$N$6</c:f>
              <c:numCache>
                <c:formatCode>General</c:formatCode>
                <c:ptCount val="10"/>
                <c:pt idx="0">
                  <c:v>6.3193933109233491E-3</c:v>
                </c:pt>
                <c:pt idx="1">
                  <c:v>5.0451849371142554E-3</c:v>
                </c:pt>
                <c:pt idx="2">
                  <c:v>4.4101432347477543E-3</c:v>
                </c:pt>
                <c:pt idx="3">
                  <c:v>6.3634094287859932E-3</c:v>
                </c:pt>
                <c:pt idx="4">
                  <c:v>5.5613923599419079E-3</c:v>
                </c:pt>
                <c:pt idx="5">
                  <c:v>6.3794888968168317E-3</c:v>
                </c:pt>
                <c:pt idx="6">
                  <c:v>6.8700738067407618E-3</c:v>
                </c:pt>
                <c:pt idx="7">
                  <c:v>8.9436252665401339E-3</c:v>
                </c:pt>
                <c:pt idx="8">
                  <c:v>4.5337622626476781E-3</c:v>
                </c:pt>
                <c:pt idx="9">
                  <c:v>6.0523299164190192E-3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6-405E-AA49-EB78318A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33600"/>
        <c:axId val="916531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HR!$D$5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HR!$E$4:$N$4</c15:sqref>
                        </c15:formulaRef>
                      </c:ext>
                    </c:extLst>
                    <c:strCache>
                      <c:ptCount val="10"/>
                      <c:pt idx="0">
                        <c:v>Brunei</c:v>
                      </c:pt>
                      <c:pt idx="1">
                        <c:v>Cambodia</c:v>
                      </c:pt>
                      <c:pt idx="2">
                        <c:v>Indonesia</c:v>
                      </c:pt>
                      <c:pt idx="3">
                        <c:v>Laos</c:v>
                      </c:pt>
                      <c:pt idx="4">
                        <c:v>Malaysia</c:v>
                      </c:pt>
                      <c:pt idx="5">
                        <c:v>Myanmar</c:v>
                      </c:pt>
                      <c:pt idx="6">
                        <c:v>Philippines</c:v>
                      </c:pt>
                      <c:pt idx="7">
                        <c:v>Singapore</c:v>
                      </c:pt>
                      <c:pt idx="8">
                        <c:v>Thailand</c:v>
                      </c:pt>
                      <c:pt idx="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HR!$E$5:$N$5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B6-405E-AA49-EB78318AB250}"/>
                  </c:ext>
                </c:extLst>
              </c15:ser>
            </c15:filteredBarSeries>
          </c:ext>
        </c:extLst>
      </c:barChart>
      <c:catAx>
        <c:axId val="916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531304"/>
        <c:crosses val="autoZero"/>
        <c:auto val="1"/>
        <c:lblAlgn val="ctr"/>
        <c:lblOffset val="100"/>
        <c:noMultiLvlLbl val="0"/>
      </c:catAx>
      <c:valAx>
        <c:axId val="9165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5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'Death Fig'!$D$3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Fig'!$D$4:$D$17</c15:sqref>
                  </c15:fullRef>
                </c:ext>
              </c:extLst>
              <c:f>('Death Fig'!$D$4:$D$12,'Death Fig'!$D$14,'Death Fig'!$D$17)</c:f>
              <c:numCache>
                <c:formatCode>General</c:formatCode>
                <c:ptCount val="11"/>
                <c:pt idx="0">
                  <c:v>0.2430739213296057</c:v>
                </c:pt>
                <c:pt idx="1">
                  <c:v>0.30161628981013333</c:v>
                </c:pt>
                <c:pt idx="2">
                  <c:v>4.5652173913043992E-2</c:v>
                </c:pt>
                <c:pt idx="3">
                  <c:v>1.6470000000000318E-2</c:v>
                </c:pt>
                <c:pt idx="4">
                  <c:v>9.2500000000000915E-3</c:v>
                </c:pt>
                <c:pt idx="5">
                  <c:v>3.1249999999997113E-3</c:v>
                </c:pt>
                <c:pt idx="6">
                  <c:v>5.2499999999997549E-3</c:v>
                </c:pt>
                <c:pt idx="7">
                  <c:v>1.9847499999999463E-2</c:v>
                </c:pt>
                <c:pt idx="8">
                  <c:v>1.7849999999999366E-2</c:v>
                </c:pt>
                <c:pt idx="9">
                  <c:v>0.24333333333333373</c:v>
                </c:pt>
                <c:pt idx="10">
                  <c:v>0.29102000000000028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E-4E36-B330-F940665C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36624"/>
        <c:axId val="494029408"/>
      </c:barChart>
      <c:catAx>
        <c:axId val="4940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29408"/>
        <c:crosses val="autoZero"/>
        <c:auto val="1"/>
        <c:lblAlgn val="ctr"/>
        <c:lblOffset val="100"/>
        <c:noMultiLvlLbl val="0"/>
      </c:catAx>
      <c:valAx>
        <c:axId val="4940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'Death Fig'!$E$3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Fig'!$E$4:$E$17</c15:sqref>
                  </c15:fullRef>
                </c:ext>
              </c:extLst>
              <c:f>('Death Fig'!$E$4:$E$12,'Death Fig'!$E$14,'Death Fig'!$E$17)</c:f>
              <c:numCache>
                <c:formatCode>General</c:formatCode>
                <c:ptCount val="11"/>
                <c:pt idx="0">
                  <c:v>0.24237828134363582</c:v>
                </c:pt>
                <c:pt idx="1">
                  <c:v>0.29798452925528163</c:v>
                </c:pt>
                <c:pt idx="2">
                  <c:v>1.8931297709923522E-2</c:v>
                </c:pt>
                <c:pt idx="3">
                  <c:v>1.3175999999999854E-2</c:v>
                </c:pt>
                <c:pt idx="4">
                  <c:v>7.3999999999998511E-3</c:v>
                </c:pt>
                <c:pt idx="5">
                  <c:v>2.4999999999998357E-3</c:v>
                </c:pt>
                <c:pt idx="6">
                  <c:v>4.1999999999999815E-3</c:v>
                </c:pt>
                <c:pt idx="7">
                  <c:v>1.5877999999999726E-2</c:v>
                </c:pt>
                <c:pt idx="8">
                  <c:v>2.8559999999999253E-2</c:v>
                </c:pt>
                <c:pt idx="9">
                  <c:v>0.16186046511627861</c:v>
                </c:pt>
                <c:pt idx="10">
                  <c:v>0.29175499999999976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6-479C-9346-2B76A6F4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203488"/>
        <c:axId val="491206768"/>
      </c:barChart>
      <c:catAx>
        <c:axId val="4912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06768"/>
        <c:crosses val="autoZero"/>
        <c:auto val="1"/>
        <c:lblAlgn val="ctr"/>
        <c:lblOffset val="100"/>
        <c:noMultiLvlLbl val="0"/>
      </c:catAx>
      <c:valAx>
        <c:axId val="491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'Death Fig'!$F$3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Fig'!$F$4:$F$17</c15:sqref>
                  </c15:fullRef>
                </c:ext>
              </c:extLst>
              <c:f>('Death Fig'!$F$4:$F$12,'Death Fig'!$F$14,'Death Fig'!$F$17)</c:f>
              <c:numCache>
                <c:formatCode>General</c:formatCode>
                <c:ptCount val="11"/>
                <c:pt idx="0">
                  <c:v>0.14843089070294346</c:v>
                </c:pt>
                <c:pt idx="1">
                  <c:v>0.23490875496279151</c:v>
                </c:pt>
                <c:pt idx="2">
                  <c:v>0.11373718016962997</c:v>
                </c:pt>
                <c:pt idx="3">
                  <c:v>5.2791629162916465E-2</c:v>
                </c:pt>
                <c:pt idx="4">
                  <c:v>2.9649214921491973E-2</c:v>
                </c:pt>
                <c:pt idx="5">
                  <c:v>1.0016626662666117E-2</c:v>
                </c:pt>
                <c:pt idx="6">
                  <c:v>1.6827932793279099E-2</c:v>
                </c:pt>
                <c:pt idx="7">
                  <c:v>6.3617599259925939E-2</c:v>
                </c:pt>
                <c:pt idx="8">
                  <c:v>4.9449444944494436E-2</c:v>
                </c:pt>
                <c:pt idx="9">
                  <c:v>7.7995678355714415E-2</c:v>
                </c:pt>
                <c:pt idx="10">
                  <c:v>0.29945549554955497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D1B-89EE-8ED62EF5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207752"/>
        <c:axId val="491200208"/>
      </c:barChart>
      <c:catAx>
        <c:axId val="4912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00208"/>
        <c:crosses val="autoZero"/>
        <c:auto val="1"/>
        <c:lblAlgn val="ctr"/>
        <c:lblOffset val="100"/>
        <c:noMultiLvlLbl val="0"/>
      </c:catAx>
      <c:valAx>
        <c:axId val="491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'Death Fig'!$G$3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Fig'!$G$4:$G$17</c15:sqref>
                  </c15:fullRef>
                </c:ext>
              </c:extLst>
              <c:f>('Death Fig'!$G$4:$G$12,'Death Fig'!$G$14,'Death Fig'!$G$17)</c:f>
              <c:numCache>
                <c:formatCode>General</c:formatCode>
                <c:ptCount val="11"/>
                <c:pt idx="0">
                  <c:v>0.21325867187165404</c:v>
                </c:pt>
                <c:pt idx="1">
                  <c:v>0.30121265609338266</c:v>
                </c:pt>
                <c:pt idx="2">
                  <c:v>6.4615384615384519E-2</c:v>
                </c:pt>
                <c:pt idx="3">
                  <c:v>4.6115999999999935E-2</c:v>
                </c:pt>
                <c:pt idx="4">
                  <c:v>2.5899999999999923E-2</c:v>
                </c:pt>
                <c:pt idx="5">
                  <c:v>8.7499999999999245E-3</c:v>
                </c:pt>
                <c:pt idx="6">
                  <c:v>1.4700000000000157E-2</c:v>
                </c:pt>
                <c:pt idx="7">
                  <c:v>5.5573000000000095E-2</c:v>
                </c:pt>
                <c:pt idx="8">
                  <c:v>1.0710000000000108E-2</c:v>
                </c:pt>
                <c:pt idx="9">
                  <c:v>5.8181818181818112E-2</c:v>
                </c:pt>
                <c:pt idx="10">
                  <c:v>0.33391999999999999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E-42A7-B8B9-944D97CF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72232"/>
        <c:axId val="480573544"/>
      </c:barChart>
      <c:catAx>
        <c:axId val="4805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73544"/>
        <c:crosses val="autoZero"/>
        <c:auto val="1"/>
        <c:lblAlgn val="ctr"/>
        <c:lblOffset val="100"/>
        <c:noMultiLvlLbl val="0"/>
      </c:catAx>
      <c:valAx>
        <c:axId val="4805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'Death Fig'!$H$3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Fig'!$H$4:$H$17</c15:sqref>
                  </c15:fullRef>
                </c:ext>
              </c:extLst>
              <c:f>('Death Fig'!$H$4:$H$12,'Death Fig'!$H$14,'Death Fig'!$H$17)</c:f>
              <c:numCache>
                <c:formatCode>General</c:formatCode>
                <c:ptCount val="11"/>
                <c:pt idx="0">
                  <c:v>0.2254896648471767</c:v>
                </c:pt>
                <c:pt idx="1">
                  <c:v>0.2909928077511853</c:v>
                </c:pt>
                <c:pt idx="2">
                  <c:v>7.227979274611307E-2</c:v>
                </c:pt>
                <c:pt idx="3">
                  <c:v>2.4704999999999089E-2</c:v>
                </c:pt>
                <c:pt idx="4">
                  <c:v>1.3874999999998971E-2</c:v>
                </c:pt>
                <c:pt idx="5">
                  <c:v>4.6874999999988454E-3</c:v>
                </c:pt>
                <c:pt idx="6">
                  <c:v>7.8749999999994102E-3</c:v>
                </c:pt>
                <c:pt idx="7">
                  <c:v>2.9771249999999694E-2</c:v>
                </c:pt>
                <c:pt idx="8">
                  <c:v>2.4989999999999291E-2</c:v>
                </c:pt>
                <c:pt idx="9">
                  <c:v>0.26764705882352924</c:v>
                </c:pt>
                <c:pt idx="10">
                  <c:v>0.29679499999999992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A-4C02-9CA8-16695252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98384"/>
        <c:axId val="485693464"/>
      </c:barChart>
      <c:catAx>
        <c:axId val="4856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693464"/>
        <c:crosses val="autoZero"/>
        <c:auto val="1"/>
        <c:lblAlgn val="ctr"/>
        <c:lblOffset val="100"/>
        <c:noMultiLvlLbl val="0"/>
      </c:catAx>
      <c:valAx>
        <c:axId val="4856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6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'Death Fig'!$I$3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Fig'!$I$4:$I$17</c15:sqref>
                  </c15:fullRef>
                </c:ext>
              </c:extLst>
              <c:f>('Death Fig'!$I$4:$I$12,'Death Fig'!$I$14,'Death Fig'!$I$17)</c:f>
              <c:numCache>
                <c:formatCode>General</c:formatCode>
                <c:ptCount val="11"/>
                <c:pt idx="0">
                  <c:v>0.11775497655303158</c:v>
                </c:pt>
                <c:pt idx="1">
                  <c:v>0.22639161283901954</c:v>
                </c:pt>
                <c:pt idx="2">
                  <c:v>7.7583333333333671E-2</c:v>
                </c:pt>
                <c:pt idx="3">
                  <c:v>7.6667850000000315E-2</c:v>
                </c:pt>
                <c:pt idx="4">
                  <c:v>4.3058750000000479E-2</c:v>
                </c:pt>
                <c:pt idx="5">
                  <c:v>1.4546875000000403E-2</c:v>
                </c:pt>
                <c:pt idx="6">
                  <c:v>2.443874999999962E-2</c:v>
                </c:pt>
                <c:pt idx="7">
                  <c:v>9.2390112500000177E-2</c:v>
                </c:pt>
                <c:pt idx="8">
                  <c:v>3.9609150000000315E-2</c:v>
                </c:pt>
                <c:pt idx="9">
                  <c:v>5.6053846153846454E-2</c:v>
                </c:pt>
                <c:pt idx="10">
                  <c:v>0.32478774999999993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31-4AEE-A222-33BD22BA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16288"/>
        <c:axId val="494010056"/>
      </c:barChart>
      <c:catAx>
        <c:axId val="4940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10056"/>
        <c:crosses val="autoZero"/>
        <c:auto val="1"/>
        <c:lblAlgn val="ctr"/>
        <c:lblOffset val="100"/>
        <c:noMultiLvlLbl val="0"/>
      </c:catAx>
      <c:valAx>
        <c:axId val="4940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'Death Fig'!$J$3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'Death Fig'!$B$4:$B$17</c15:sqref>
                  </c15:fullRef>
                </c:ext>
              </c:extLst>
              <c:f>('Death Fig'!$B$4:$B$12,'Death Fig'!$B$14,'Death Fig'!$B$17)</c:f>
              <c:strCache>
                <c:ptCount val="11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  <c:pt idx="1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'Death Fig'!$J$4:$J$17</c15:sqref>
                  </c15:fullRef>
                </c:ext>
              </c:extLst>
              <c:f>('Death Fig'!$J$4:$J$12,'Death Fig'!$J$14,'Death Fig'!$J$17)</c:f>
              <c:numCache>
                <c:formatCode>General</c:formatCode>
                <c:ptCount val="11"/>
                <c:pt idx="0">
                  <c:v>0.21007710794813372</c:v>
                </c:pt>
                <c:pt idx="1">
                  <c:v>0.25965735810287893</c:v>
                </c:pt>
                <c:pt idx="2">
                  <c:v>3.3333333333332327E-2</c:v>
                </c:pt>
                <c:pt idx="3">
                  <c:v>1.6470000000001095E-2</c:v>
                </c:pt>
                <c:pt idx="4">
                  <c:v>9.2500000000019789E-3</c:v>
                </c:pt>
                <c:pt idx="5">
                  <c:v>3.1250000000010436E-3</c:v>
                </c:pt>
                <c:pt idx="6">
                  <c:v>5.2499999999989777E-3</c:v>
                </c:pt>
                <c:pt idx="7">
                  <c:v>1.9847500000000906E-2</c:v>
                </c:pt>
                <c:pt idx="8">
                  <c:v>5.3550000000000098E-2</c:v>
                </c:pt>
                <c:pt idx="9">
                  <c:v>0.16500000000000004</c:v>
                </c:pt>
                <c:pt idx="10">
                  <c:v>0.27496000000000009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0-470F-B13D-70FAECE7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90616"/>
        <c:axId val="481393240"/>
      </c:barChart>
      <c:catAx>
        <c:axId val="48139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393240"/>
        <c:crosses val="autoZero"/>
        <c:auto val="1"/>
        <c:lblAlgn val="ctr"/>
        <c:lblOffset val="100"/>
        <c:noMultiLvlLbl val="0"/>
      </c:catAx>
      <c:valAx>
        <c:axId val="481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3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576264</xdr:colOff>
      <xdr:row>2</xdr:row>
      <xdr:rowOff>4763</xdr:rowOff>
    </xdr:from>
    <xdr:to>
      <xdr:col>30</xdr:col>
      <xdr:colOff>270933</xdr:colOff>
      <xdr:row>14</xdr:row>
      <xdr:rowOff>131235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652462</xdr:colOff>
      <xdr:row>18</xdr:row>
      <xdr:rowOff>57150</xdr:rowOff>
    </xdr:from>
    <xdr:to>
      <xdr:col>7</xdr:col>
      <xdr:colOff>423862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18</xdr:row>
      <xdr:rowOff>66675</xdr:rowOff>
    </xdr:from>
    <xdr:to>
      <xdr:col>14</xdr:col>
      <xdr:colOff>366712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557212</xdr:colOff>
      <xdr:row>18</xdr:row>
      <xdr:rowOff>76200</xdr:rowOff>
    </xdr:from>
    <xdr:to>
      <xdr:col>21</xdr:col>
      <xdr:colOff>328612</xdr:colOff>
      <xdr:row>33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642937</xdr:colOff>
      <xdr:row>34</xdr:row>
      <xdr:rowOff>38100</xdr:rowOff>
    </xdr:from>
    <xdr:to>
      <xdr:col>7</xdr:col>
      <xdr:colOff>414337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614362</xdr:colOff>
      <xdr:row>34</xdr:row>
      <xdr:rowOff>28575</xdr:rowOff>
    </xdr:from>
    <xdr:to>
      <xdr:col>14</xdr:col>
      <xdr:colOff>385762</xdr:colOff>
      <xdr:row>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576262</xdr:colOff>
      <xdr:row>34</xdr:row>
      <xdr:rowOff>38100</xdr:rowOff>
    </xdr:from>
    <xdr:to>
      <xdr:col>21</xdr:col>
      <xdr:colOff>347662</xdr:colOff>
      <xdr:row>49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681037</xdr:colOff>
      <xdr:row>50</xdr:row>
      <xdr:rowOff>47625</xdr:rowOff>
    </xdr:from>
    <xdr:to>
      <xdr:col>7</xdr:col>
      <xdr:colOff>452437</xdr:colOff>
      <xdr:row>65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604837</xdr:colOff>
      <xdr:row>50</xdr:row>
      <xdr:rowOff>47625</xdr:rowOff>
    </xdr:from>
    <xdr:to>
      <xdr:col>14</xdr:col>
      <xdr:colOff>376237</xdr:colOff>
      <xdr:row>65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604837</xdr:colOff>
      <xdr:row>50</xdr:row>
      <xdr:rowOff>57150</xdr:rowOff>
    </xdr:from>
    <xdr:to>
      <xdr:col>21</xdr:col>
      <xdr:colOff>376237</xdr:colOff>
      <xdr:row>65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4762</xdr:colOff>
      <xdr:row>66</xdr:row>
      <xdr:rowOff>85725</xdr:rowOff>
    </xdr:from>
    <xdr:to>
      <xdr:col>7</xdr:col>
      <xdr:colOff>461962</xdr:colOff>
      <xdr:row>81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632936</xdr:colOff>
      <xdr:row>2</xdr:row>
      <xdr:rowOff>9524</xdr:rowOff>
    </xdr:from>
    <xdr:to>
      <xdr:col>20</xdr:col>
      <xdr:colOff>391001</xdr:colOff>
      <xdr:row>17</xdr:row>
      <xdr:rowOff>61912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0.06269</cdr:y>
    </cdr:from>
    <cdr:to>
      <cdr:x>0.07558</cdr:x>
      <cdr:y>0.76185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44876"/>
          <a:ext cx="507409" cy="1615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ja-JP"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Reduction in deaths (%)</a:t>
          </a:r>
          <a:endParaRPr lang="ja-JP" altLang="en-US" sz="1200" b="1" i="0" u="none" strike="noStrike" kern="1200" spc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296499</xdr:colOff>
      <xdr:row>0</xdr:row>
      <xdr:rowOff>183968</xdr:rowOff>
    </xdr:from>
    <xdr:to>
      <xdr:col>31</xdr:col>
      <xdr:colOff>30480</xdr:colOff>
      <xdr:row>21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17</xdr:row>
      <xdr:rowOff>76200</xdr:rowOff>
    </xdr:from>
    <xdr:to>
      <xdr:col>7</xdr:col>
      <xdr:colOff>461962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671512</xdr:colOff>
      <xdr:row>17</xdr:row>
      <xdr:rowOff>76200</xdr:rowOff>
    </xdr:from>
    <xdr:to>
      <xdr:col>11</xdr:col>
      <xdr:colOff>309562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547687</xdr:colOff>
      <xdr:row>17</xdr:row>
      <xdr:rowOff>76200</xdr:rowOff>
    </xdr:from>
    <xdr:to>
      <xdr:col>18</xdr:col>
      <xdr:colOff>319087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</xdr:colOff>
      <xdr:row>33</xdr:row>
      <xdr:rowOff>66675</xdr:rowOff>
    </xdr:from>
    <xdr:to>
      <xdr:col>7</xdr:col>
      <xdr:colOff>481012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700087</xdr:colOff>
      <xdr:row>33</xdr:row>
      <xdr:rowOff>76200</xdr:rowOff>
    </xdr:from>
    <xdr:to>
      <xdr:col>11</xdr:col>
      <xdr:colOff>338137</xdr:colOff>
      <xdr:row>48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576262</xdr:colOff>
      <xdr:row>33</xdr:row>
      <xdr:rowOff>114300</xdr:rowOff>
    </xdr:from>
    <xdr:to>
      <xdr:col>18</xdr:col>
      <xdr:colOff>347662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61912</xdr:colOff>
      <xdr:row>49</xdr:row>
      <xdr:rowOff>76200</xdr:rowOff>
    </xdr:from>
    <xdr:to>
      <xdr:col>7</xdr:col>
      <xdr:colOff>519112</xdr:colOff>
      <xdr:row>64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719137</xdr:colOff>
      <xdr:row>49</xdr:row>
      <xdr:rowOff>95250</xdr:rowOff>
    </xdr:from>
    <xdr:to>
      <xdr:col>11</xdr:col>
      <xdr:colOff>357187</xdr:colOff>
      <xdr:row>64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604837</xdr:colOff>
      <xdr:row>49</xdr:row>
      <xdr:rowOff>114300</xdr:rowOff>
    </xdr:from>
    <xdr:to>
      <xdr:col>18</xdr:col>
      <xdr:colOff>376237</xdr:colOff>
      <xdr:row>64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80962</xdr:colOff>
      <xdr:row>65</xdr:row>
      <xdr:rowOff>47625</xdr:rowOff>
    </xdr:from>
    <xdr:to>
      <xdr:col>7</xdr:col>
      <xdr:colOff>538162</xdr:colOff>
      <xdr:row>80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396829</xdr:colOff>
      <xdr:row>0</xdr:row>
      <xdr:rowOff>165916</xdr:rowOff>
    </xdr:from>
    <xdr:to>
      <xdr:col>22</xdr:col>
      <xdr:colOff>216126</xdr:colOff>
      <xdr:row>16</xdr:row>
      <xdr:rowOff>51616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9525</xdr:rowOff>
    </xdr:from>
    <xdr:to>
      <xdr:col>9</xdr:col>
      <xdr:colOff>600075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179917</xdr:colOff>
      <xdr:row>14</xdr:row>
      <xdr:rowOff>131233</xdr:rowOff>
    </xdr:from>
    <xdr:to>
      <xdr:col>12</xdr:col>
      <xdr:colOff>518584</xdr:colOff>
      <xdr:row>29</xdr:row>
      <xdr:rowOff>175683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37040</xdr:colOff>
      <xdr:row>14</xdr:row>
      <xdr:rowOff>141816</xdr:rowOff>
    </xdr:from>
    <xdr:to>
      <xdr:col>21</xdr:col>
      <xdr:colOff>370416</xdr:colOff>
      <xdr:row>30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10</xdr:row>
      <xdr:rowOff>19050</xdr:rowOff>
    </xdr:from>
    <xdr:to>
      <xdr:col>12</xdr:col>
      <xdr:colOff>595312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Bru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Brun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Camb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Indo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Lao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Mala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Myan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Philip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Sing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Thai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Vie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VFrntEnd_ASEAN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HR_Brun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R_Camb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R_Indo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HR_Laos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HR_Mala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HR_Myan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HR_Philip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HR_Sing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R_Tha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BS_Brun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R_Viet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MH_Brun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MH_Camb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MH_Indo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MH_Laos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MH_Mala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MH_Myan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MH_Philip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MH_Sing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MH_Tha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BS_Camb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MH_Viet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MH_ASEAN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AEB_Brun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AEB_Camb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AEB_Indo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AEB_Laos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AEB_Mala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AEB_Myan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AEB_Philip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AEB_Sin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BS_Indo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AEB_Thai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AEB_Viet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SM_Brun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SM_Camb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SM_Indo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SM_Laos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SM_Mala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SM_Myan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SM_Philip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SM_Sin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BS_Laos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SM_Thai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SM_Viet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Brun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Camb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Indo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Laos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Mala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Myan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Philip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i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ABS_Mala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Thai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Viet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ASEAN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AEB_ASEA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BS_Mya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BS_Philip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ABS_S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BS_Thai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BS_Vie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BS_ASEA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ESC_Bru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ESC_Camb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ESC_Indo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ESC_La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ESC_Mal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ESC_Mya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ESC_Phili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ESC_Sing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ESC_Thai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ESC_Viet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ESC_ASEA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B_Bru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B_Camb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B_Indo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B_Lao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B_Mal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B_My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B_Philip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B_Sing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B_Thai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B_Viet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B_ASEAN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Bru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Camb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Indo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Laos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Ma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ala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Myan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Philip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Sing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Thai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Viet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AirBF_ASEA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Brun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Camb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Indo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La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Mala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Myan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Philip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Sing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Thai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Viet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AirBS_ASEAN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Brun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Camb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In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Philip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Laos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Mala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Myan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Philip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Si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Thai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Viet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DBeam_ASEAN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Brun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Cam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Ind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Laos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Mala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Myan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Philip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Sing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Thai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Viet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%20Str&amp;Pad_ASEAN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Bru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Thai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Camb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Indo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Laos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Mala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Myan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Philip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Sing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Thai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Viet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%20Opt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18.069821643838385</v>
          </cell>
          <cell r="P6">
            <v>815.48696479007344</v>
          </cell>
        </row>
        <row r="7">
          <cell r="O7">
            <v>3.7301493071882952</v>
          </cell>
          <cell r="P7">
            <v>195.23506563163758</v>
          </cell>
        </row>
        <row r="8">
          <cell r="O8">
            <v>14.633192282133756</v>
          </cell>
          <cell r="P8">
            <v>1618.1193054881173</v>
          </cell>
        </row>
        <row r="9">
          <cell r="O9">
            <v>0.26294495116245375</v>
          </cell>
          <cell r="P9">
            <v>11.270507185306355</v>
          </cell>
        </row>
        <row r="10">
          <cell r="O10">
            <v>23.610010614842647</v>
          </cell>
          <cell r="P10">
            <v>1578.7276720610232</v>
          </cell>
        </row>
        <row r="11">
          <cell r="O11">
            <v>0.8499848421297922</v>
          </cell>
          <cell r="P11">
            <v>37.296846942828203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2412.9999999999995</v>
          </cell>
          <cell r="P6">
            <v>124395.87161524963</v>
          </cell>
        </row>
        <row r="7">
          <cell r="O7">
            <v>723.90000000000009</v>
          </cell>
          <cell r="P7">
            <v>44615.583539254752</v>
          </cell>
        </row>
        <row r="8">
          <cell r="O8">
            <v>17856.2</v>
          </cell>
          <cell r="P8">
            <v>1221993.5715514701</v>
          </cell>
        </row>
        <row r="9">
          <cell r="O9">
            <v>0</v>
          </cell>
          <cell r="P9">
            <v>0</v>
          </cell>
        </row>
        <row r="10">
          <cell r="O10">
            <v>2895.5999999999995</v>
          </cell>
          <cell r="P10">
            <v>300256.16139611031</v>
          </cell>
        </row>
        <row r="11">
          <cell r="O11">
            <v>241.29999999999993</v>
          </cell>
          <cell r="P11">
            <v>9477.2133893564333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5.2741475852413178E-2</v>
          </cell>
        </row>
      </sheetData>
      <sheetData sheetId="1"/>
      <sheetData sheetId="2"/>
      <sheetData sheetId="3"/>
      <sheetData sheetId="4">
        <row r="293">
          <cell r="H293">
            <v>4110.571938883958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1.7849999999999366E-2</v>
          </cell>
        </row>
      </sheetData>
      <sheetData sheetId="1"/>
      <sheetData sheetId="2"/>
      <sheetData sheetId="3"/>
      <sheetData sheetId="4">
        <row r="293">
          <cell r="H293">
            <v>209217.50192859679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2.8559999999999253E-2</v>
          </cell>
        </row>
      </sheetData>
      <sheetData sheetId="1"/>
      <sheetData sheetId="2"/>
      <sheetData sheetId="3"/>
      <sheetData sheetId="4">
        <row r="293">
          <cell r="H293">
            <v>2860490.024823992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4.9449444944494436E-2</v>
          </cell>
        </row>
      </sheetData>
      <sheetData sheetId="1"/>
      <sheetData sheetId="2"/>
      <sheetData sheetId="3"/>
      <sheetData sheetId="4">
        <row r="293">
          <cell r="H293">
            <v>83216.61162324321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1.0710000000000108E-2</v>
          </cell>
        </row>
      </sheetData>
      <sheetData sheetId="1"/>
      <sheetData sheetId="2"/>
      <sheetData sheetId="3"/>
      <sheetData sheetId="4">
        <row r="293">
          <cell r="H293">
            <v>583466.96765925304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2.4989999999999291E-2</v>
          </cell>
        </row>
      </sheetData>
      <sheetData sheetId="1"/>
      <sheetData sheetId="2"/>
      <sheetData sheetId="3"/>
      <sheetData sheetId="4">
        <row r="293">
          <cell r="H293">
            <v>459079.47357664513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3.9609150000000315E-2</v>
          </cell>
        </row>
      </sheetData>
      <sheetData sheetId="1"/>
      <sheetData sheetId="2"/>
      <sheetData sheetId="3"/>
      <sheetData sheetId="4">
        <row r="293">
          <cell r="H293">
            <v>857789.55245854694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5.3550000000000098E-2</v>
          </cell>
        </row>
      </sheetData>
      <sheetData sheetId="1"/>
      <sheetData sheetId="2"/>
      <sheetData sheetId="3"/>
      <sheetData sheetId="4">
        <row r="293">
          <cell r="H293">
            <v>16596.123447572063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1.4280000000000959E-2</v>
          </cell>
        </row>
      </sheetData>
      <sheetData sheetId="1"/>
      <sheetData sheetId="2"/>
      <sheetData sheetId="3"/>
      <sheetData sheetId="4">
        <row r="293">
          <cell r="H293">
            <v>1189031.2376459185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1.7849999999999033E-2</v>
          </cell>
        </row>
      </sheetData>
      <sheetData sheetId="1"/>
      <sheetData sheetId="2"/>
      <sheetData sheetId="3"/>
      <sheetData sheetId="4">
        <row r="293">
          <cell r="H293">
            <v>1678533.738408119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</row>
      </sheetData>
      <sheetData sheetId="4">
        <row r="2">
          <cell r="B2" t="str">
            <v>ASEAN</v>
          </cell>
        </row>
      </sheetData>
      <sheetData sheetId="5">
        <row r="5">
          <cell r="B5" t="str">
            <v>A1</v>
          </cell>
        </row>
      </sheetData>
      <sheetData sheetId="6">
        <row r="5">
          <cell r="F5">
            <v>1.3928E-3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</row>
        <row r="6">
          <cell r="O6">
            <v>25521.601989818959</v>
          </cell>
          <cell r="P6">
            <v>1275614.1745946172</v>
          </cell>
        </row>
        <row r="7">
          <cell r="O7">
            <v>6805.3032710795369</v>
          </cell>
          <cell r="P7">
            <v>919557.54090740951</v>
          </cell>
        </row>
        <row r="8">
          <cell r="O8">
            <v>37480.055982779959</v>
          </cell>
          <cell r="P8">
            <v>2980022.0488591879</v>
          </cell>
        </row>
        <row r="9">
          <cell r="P9">
            <v>0</v>
          </cell>
        </row>
        <row r="10">
          <cell r="O10">
            <v>36905.157952128429</v>
          </cell>
          <cell r="P10">
            <v>2378474.0890189903</v>
          </cell>
        </row>
        <row r="11">
          <cell r="O11">
            <v>1926.910629465724</v>
          </cell>
          <cell r="P11">
            <v>172299.26268075255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D"/>
      <sheetName val="VFDYLL"/>
      <sheetName val="VFDYLD1"/>
      <sheetName val="VFDYLD2"/>
      <sheetName val="VFDDALYs"/>
    </sheetNames>
    <sheetDataSet>
      <sheetData sheetId="0">
        <row r="51">
          <cell r="E51">
            <v>4.193341897943681E-2</v>
          </cell>
        </row>
      </sheetData>
      <sheetData sheetId="1"/>
      <sheetData sheetId="2"/>
      <sheetData sheetId="3"/>
      <sheetData sheetId="4">
        <row r="293">
          <cell r="H293">
            <v>7498269.9858958162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4229.2401624419599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211045.1193409868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2909821.6064655832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85468.840115082174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584357.28417655837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464194.88432559854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875068.08706560079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16795.583055005871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1198158.6627238693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0.12775639304757558</v>
          </cell>
        </row>
      </sheetData>
      <sheetData sheetId="1"/>
      <sheetData sheetId="2"/>
      <sheetData sheetId="3"/>
      <sheetData sheetId="4">
        <row r="293">
          <cell r="H293">
            <v>3642.0131143084686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HRYLL"/>
      <sheetName val="HRYLD1"/>
      <sheetName val="HRYLD2"/>
      <sheetName val="HRDALYs"/>
    </sheetNames>
    <sheetDataSet>
      <sheetData sheetId="0">
        <row r="51">
          <cell r="E51">
            <v>0</v>
          </cell>
        </row>
      </sheetData>
      <sheetData sheetId="1"/>
      <sheetData sheetId="2"/>
      <sheetData sheetId="3"/>
      <sheetData sheetId="4">
        <row r="293">
          <cell r="H293">
            <v>1690444.9715840917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2.214324022143177E-2</v>
          </cell>
        </row>
      </sheetData>
      <sheetData sheetId="1"/>
      <sheetData sheetId="2"/>
      <sheetData sheetId="3"/>
      <sheetData sheetId="4">
        <row r="293">
          <cell r="H293">
            <v>4108.010015492313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0.24333333333333373</v>
          </cell>
        </row>
      </sheetData>
      <sheetData sheetId="1"/>
      <sheetData sheetId="2"/>
      <sheetData sheetId="3"/>
      <sheetData sheetId="4">
        <row r="293">
          <cell r="H293">
            <v>161341.3473566286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0.16186046511627861</v>
          </cell>
        </row>
      </sheetData>
      <sheetData sheetId="1"/>
      <sheetData sheetId="2"/>
      <sheetData sheetId="3"/>
      <sheetData sheetId="4">
        <row r="293">
          <cell r="H293">
            <v>2508797.1113564079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7.7995678355714415E-2</v>
          </cell>
        </row>
      </sheetData>
      <sheetData sheetId="1"/>
      <sheetData sheetId="2"/>
      <sheetData sheetId="3"/>
      <sheetData sheetId="4">
        <row r="293">
          <cell r="H293">
            <v>76739.431612355474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5.8181818181818112E-2</v>
          </cell>
        </row>
      </sheetData>
      <sheetData sheetId="1"/>
      <sheetData sheetId="2"/>
      <sheetData sheetId="3"/>
      <sheetData sheetId="4">
        <row r="293">
          <cell r="H293">
            <v>550849.87287628895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0.26764705882352924</v>
          </cell>
        </row>
      </sheetData>
      <sheetData sheetId="1"/>
      <sheetData sheetId="2"/>
      <sheetData sheetId="3"/>
      <sheetData sheetId="4">
        <row r="293">
          <cell r="H293">
            <v>340472.72869531164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5.6053846153846454E-2</v>
          </cell>
        </row>
      </sheetData>
      <sheetData sheetId="1"/>
      <sheetData sheetId="2"/>
      <sheetData sheetId="3"/>
      <sheetData sheetId="4">
        <row r="293">
          <cell r="H293">
            <v>800643.15080784739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0.16500000000000004</v>
          </cell>
        </row>
      </sheetData>
      <sheetData sheetId="1"/>
      <sheetData sheetId="2"/>
      <sheetData sheetId="3"/>
      <sheetData sheetId="4">
        <row r="293">
          <cell r="H293">
            <v>14094.648079551984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0.24666666666666659</v>
          </cell>
        </row>
      </sheetData>
      <sheetData sheetId="1"/>
      <sheetData sheetId="2"/>
      <sheetData sheetId="3"/>
      <sheetData sheetId="4">
        <row r="293">
          <cell r="H293">
            <v>915337.2722496324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0.2430739213296057</v>
          </cell>
        </row>
      </sheetData>
      <sheetData sheetId="1"/>
      <sheetData sheetId="2"/>
      <sheetData sheetId="3"/>
      <sheetData sheetId="4">
        <row r="293">
          <cell r="H293">
            <v>163677.22725731478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0.12333333333333241</v>
          </cell>
        </row>
      </sheetData>
      <sheetData sheetId="1"/>
      <sheetData sheetId="2"/>
      <sheetData sheetId="3"/>
      <sheetData sheetId="4">
        <row r="293">
          <cell r="H293">
            <v>1497072.8062328626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TYP"/>
      <sheetName val="MHTYPYLL"/>
      <sheetName val="MHTYPYLD1"/>
      <sheetName val="MHTYPYLD2"/>
      <sheetName val="MHTYPDALYs"/>
    </sheetNames>
    <sheetDataSet>
      <sheetData sheetId="0">
        <row r="51">
          <cell r="E51">
            <v>7.9614515172352629E-2</v>
          </cell>
        </row>
      </sheetData>
      <sheetData sheetId="1"/>
      <sheetData sheetId="2"/>
      <sheetData sheetId="3"/>
      <sheetData sheetId="4">
        <row r="293">
          <cell r="H293">
            <v>7038269.7201703731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0.30953616638336157</v>
          </cell>
        </row>
      </sheetData>
      <sheetData sheetId="1"/>
      <sheetData sheetId="2"/>
      <sheetData sheetId="3"/>
      <sheetData sheetId="4">
        <row r="293">
          <cell r="H293">
            <v>2794.8107181452369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0.35942000000000052</v>
          </cell>
        </row>
      </sheetData>
      <sheetData sheetId="1"/>
      <sheetData sheetId="2"/>
      <sheetData sheetId="3"/>
      <sheetData sheetId="4">
        <row r="293">
          <cell r="H293">
            <v>132822.37019919074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0.36303600000000003</v>
          </cell>
        </row>
      </sheetData>
      <sheetData sheetId="1"/>
      <sheetData sheetId="2"/>
      <sheetData sheetId="3"/>
      <sheetData sheetId="4">
        <row r="293">
          <cell r="H293">
            <v>1827861.853561054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0.31552015201520178</v>
          </cell>
        </row>
      </sheetData>
      <sheetData sheetId="1"/>
      <sheetData sheetId="2"/>
      <sheetData sheetId="3"/>
      <sheetData sheetId="4">
        <row r="293">
          <cell r="H293">
            <v>56127.163526112352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0.37697599999999998</v>
          </cell>
        </row>
      </sheetData>
      <sheetData sheetId="1"/>
      <sheetData sheetId="2"/>
      <sheetData sheetId="3"/>
      <sheetData sheetId="4">
        <row r="293">
          <cell r="H293">
            <v>361201.14708779426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0.3545799999999999</v>
          </cell>
        </row>
      </sheetData>
      <sheetData sheetId="1"/>
      <sheetData sheetId="2"/>
      <sheetData sheetId="3"/>
      <sheetData sheetId="4">
        <row r="293">
          <cell r="H293">
            <v>292989.14461370208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0.31852659999999999</v>
          </cell>
        </row>
      </sheetData>
      <sheetData sheetId="1"/>
      <sheetData sheetId="2"/>
      <sheetData sheetId="3"/>
      <sheetData sheetId="4">
        <row r="293">
          <cell r="H293">
            <v>572731.54513981345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0.33191999999999999</v>
          </cell>
        </row>
      </sheetData>
      <sheetData sheetId="1"/>
      <sheetData sheetId="2"/>
      <sheetData sheetId="3"/>
      <sheetData sheetId="4">
        <row r="293">
          <cell r="H293">
            <v>10556.708426400703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0.24237828134363582</v>
          </cell>
        </row>
      </sheetData>
      <sheetData sheetId="1"/>
      <sheetData sheetId="2"/>
      <sheetData sheetId="3"/>
      <sheetData sheetId="4">
        <row r="293">
          <cell r="H293">
            <v>2347362.8206258244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0.37538800000000005</v>
          </cell>
        </row>
      </sheetData>
      <sheetData sheetId="1"/>
      <sheetData sheetId="2"/>
      <sheetData sheetId="3"/>
      <sheetData sheetId="4">
        <row r="293">
          <cell r="H293">
            <v>743562.12187784561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>
        <row r="51">
          <cell r="E51">
            <v>0.37260400000000005</v>
          </cell>
        </row>
      </sheetData>
      <sheetData sheetId="1"/>
      <sheetData sheetId="2"/>
      <sheetData sheetId="3"/>
      <sheetData sheetId="4">
        <row r="293">
          <cell r="H293">
            <v>1048269.3957952075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0.19722027797220365</v>
          </cell>
        </row>
      </sheetData>
      <sheetData sheetId="1"/>
      <sheetData sheetId="2"/>
      <sheetData sheetId="3"/>
      <sheetData sheetId="4">
        <row r="293">
          <cell r="H293">
            <v>3412.368459067754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0.19000000000000039</v>
          </cell>
        </row>
      </sheetData>
      <sheetData sheetId="1"/>
      <sheetData sheetId="2"/>
      <sheetData sheetId="3"/>
      <sheetData sheetId="4">
        <row r="293">
          <cell r="H293">
            <v>171011.69852263399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0.19799999999999973</v>
          </cell>
        </row>
      </sheetData>
      <sheetData sheetId="1"/>
      <sheetData sheetId="2"/>
      <sheetData sheetId="3"/>
      <sheetData sheetId="4">
        <row r="293">
          <cell r="H293">
            <v>2348864.7013069298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0.19671967196719609</v>
          </cell>
        </row>
      </sheetData>
      <sheetData sheetId="1"/>
      <sheetData sheetId="2"/>
      <sheetData sheetId="3"/>
      <sheetData sheetId="4">
        <row r="293">
          <cell r="H293">
            <v>68984.127178603885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0.19999999999999984</v>
          </cell>
        </row>
      </sheetData>
      <sheetData sheetId="1"/>
      <sheetData sheetId="2"/>
      <sheetData sheetId="3"/>
      <sheetData sheetId="4">
        <row r="293">
          <cell r="H293">
            <v>470100.23922005226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0.19399999999999917</v>
          </cell>
        </row>
      </sheetData>
      <sheetData sheetId="1"/>
      <sheetData sheetId="2"/>
      <sheetData sheetId="3"/>
      <sheetData sheetId="4">
        <row r="293">
          <cell r="H293">
            <v>375323.22279468755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0.19538</v>
          </cell>
        </row>
      </sheetData>
      <sheetData sheetId="1"/>
      <sheetData sheetId="2"/>
      <sheetData sheetId="3"/>
      <sheetData sheetId="4">
        <row r="293">
          <cell r="H293">
            <v>707332.73434985604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0.19999999999999962</v>
          </cell>
        </row>
      </sheetData>
      <sheetData sheetId="1"/>
      <sheetData sheetId="2"/>
      <sheetData sheetId="3"/>
      <sheetData sheetId="4">
        <row r="293">
          <cell r="H293">
            <v>13580.262177512697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0.14843089070294346</v>
          </cell>
        </row>
      </sheetData>
      <sheetData sheetId="1"/>
      <sheetData sheetId="2"/>
      <sheetData sheetId="3"/>
      <sheetData sheetId="4">
        <row r="293">
          <cell r="H293">
            <v>72165.924792713893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0.19799999999999995</v>
          </cell>
        </row>
      </sheetData>
      <sheetData sheetId="1"/>
      <sheetData sheetId="2"/>
      <sheetData sheetId="3"/>
      <sheetData sheetId="4">
        <row r="293">
          <cell r="H293">
            <v>964610.09831005917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SMYLL"/>
      <sheetName val="SMYLD1"/>
      <sheetName val="SMYLD2"/>
      <sheetName val="SMDALYs"/>
    </sheetNames>
    <sheetDataSet>
      <sheetData sheetId="0">
        <row r="51">
          <cell r="E51">
            <v>0.19799999999999873</v>
          </cell>
        </row>
      </sheetData>
      <sheetData sheetId="1"/>
      <sheetData sheetId="2"/>
      <sheetData sheetId="3"/>
      <sheetData sheetId="4">
        <row r="293">
          <cell r="H293">
            <v>1362486.1638710236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0.30630191980801935</v>
          </cell>
        </row>
      </sheetData>
      <sheetData sheetId="1"/>
      <sheetData sheetId="2"/>
      <sheetData sheetId="3"/>
      <sheetData sheetId="4">
        <row r="293">
          <cell r="H293">
            <v>2904.9306914628637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0.29102000000000028</v>
          </cell>
        </row>
      </sheetData>
      <sheetData sheetId="1"/>
      <sheetData sheetId="2"/>
      <sheetData sheetId="3"/>
      <sheetData sheetId="4">
        <row r="293">
          <cell r="H293">
            <v>147845.36652828613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0.29175499999999976</v>
          </cell>
        </row>
      </sheetData>
      <sheetData sheetId="1"/>
      <sheetData sheetId="2"/>
      <sheetData sheetId="3"/>
      <sheetData sheetId="4">
        <row r="293">
          <cell r="H293">
            <v>2084563.427740226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0.29945549554955497</v>
          </cell>
        </row>
      </sheetData>
      <sheetData sheetId="1"/>
      <sheetData sheetId="2"/>
      <sheetData sheetId="3"/>
      <sheetData sheetId="4">
        <row r="293">
          <cell r="H293">
            <v>59281.770613121349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0.33391999999999999</v>
          </cell>
        </row>
      </sheetData>
      <sheetData sheetId="1"/>
      <sheetData sheetId="2"/>
      <sheetData sheetId="3"/>
      <sheetData sheetId="4">
        <row r="293">
          <cell r="H293">
            <v>393765.60332286946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0.29679499999999992</v>
          </cell>
        </row>
      </sheetData>
      <sheetData sheetId="1"/>
      <sheetData sheetId="2"/>
      <sheetData sheetId="3"/>
      <sheetData sheetId="4">
        <row r="293">
          <cell r="H293">
            <v>322999.57535494427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0.32478774999999993</v>
          </cell>
        </row>
      </sheetData>
      <sheetData sheetId="1"/>
      <sheetData sheetId="2"/>
      <sheetData sheetId="3"/>
      <sheetData sheetId="4">
        <row r="293">
          <cell r="H293">
            <v>593576.0863964787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0.27496000000000009</v>
          </cell>
        </row>
      </sheetData>
      <sheetData sheetId="1"/>
      <sheetData sheetId="2"/>
      <sheetData sheetId="3"/>
      <sheetData sheetId="4">
        <row r="293">
          <cell r="H293">
            <v>11975.335928252221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0.21325867187165404</v>
          </cell>
        </row>
      </sheetData>
      <sheetData sheetId="1"/>
      <sheetData sheetId="2"/>
      <sheetData sheetId="3"/>
      <sheetData sheetId="4">
        <row r="293">
          <cell r="H293">
            <v>460176.27183774859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0.30965500000000012</v>
          </cell>
        </row>
      </sheetData>
      <sheetData sheetId="1"/>
      <sheetData sheetId="2"/>
      <sheetData sheetId="3"/>
      <sheetData sheetId="4">
        <row r="293">
          <cell r="H293">
            <v>825135.45405537565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0.30456499999999997</v>
          </cell>
        </row>
      </sheetData>
      <sheetData sheetId="1"/>
      <sheetData sheetId="2"/>
      <sheetData sheetId="3"/>
      <sheetData sheetId="4">
        <row r="293">
          <cell r="H293">
            <v>1168791.3658181035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2021"/>
      <sheetName val="OVYLL_"/>
      <sheetName val="OVYLD1_"/>
      <sheetName val="OVYLD2_"/>
      <sheetName val="OVDALYs_"/>
    </sheetNames>
    <sheetDataSet>
      <sheetData sheetId="0">
        <row r="51">
          <cell r="E51">
            <v>0.3071557559992234</v>
          </cell>
        </row>
      </sheetData>
      <sheetData sheetId="1"/>
      <sheetData sheetId="2"/>
      <sheetData sheetId="3"/>
      <sheetData sheetId="4">
        <row r="293">
          <cell r="H293">
            <v>5401492.043785871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B"/>
      <sheetName val="AEBYLL"/>
      <sheetName val="AEBYLD1"/>
      <sheetName val="AEBYLD2"/>
      <sheetName val="AEBDALYs"/>
    </sheetNames>
    <sheetDataSet>
      <sheetData sheetId="0"/>
      <sheetData sheetId="1"/>
      <sheetData sheetId="2"/>
      <sheetData sheetId="3"/>
      <sheetData sheetId="4">
        <row r="293">
          <cell r="H293">
            <v>5027688.95992749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0.2254896648471767</v>
          </cell>
        </row>
      </sheetData>
      <sheetData sheetId="1"/>
      <sheetData sheetId="2"/>
      <sheetData sheetId="3"/>
      <sheetData sheetId="4">
        <row r="293">
          <cell r="H293">
            <v>368285.35782382789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0.11775497655303158</v>
          </cell>
        </row>
      </sheetData>
      <sheetData sheetId="1"/>
      <sheetData sheetId="2"/>
      <sheetData sheetId="3"/>
      <sheetData sheetId="4">
        <row r="293">
          <cell r="H293">
            <v>756633.45799711742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0.21007710794813372</v>
          </cell>
        </row>
      </sheetData>
      <sheetData sheetId="1"/>
      <sheetData sheetId="2"/>
      <sheetData sheetId="3"/>
      <sheetData sheetId="4">
        <row r="293">
          <cell r="H293">
            <v>14124.786415935938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289.09999999999997</v>
          </cell>
          <cell r="P6">
            <v>16234.051701802013</v>
          </cell>
        </row>
        <row r="7">
          <cell r="O7">
            <v>57.819999999999986</v>
          </cell>
          <cell r="P7">
            <v>4381.4355625336284</v>
          </cell>
        </row>
        <row r="8">
          <cell r="O8">
            <v>2110.4300000000012</v>
          </cell>
          <cell r="P8">
            <v>152321.79840221966</v>
          </cell>
        </row>
        <row r="9">
          <cell r="O9">
            <v>0</v>
          </cell>
          <cell r="P9">
            <v>0</v>
          </cell>
        </row>
        <row r="10">
          <cell r="O10">
            <v>289.09999999999991</v>
          </cell>
          <cell r="P10">
            <v>32580.622507117547</v>
          </cell>
        </row>
        <row r="11">
          <cell r="O11">
            <v>144.54999999999998</v>
          </cell>
          <cell r="P11">
            <v>6597.3719836956516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0.24261232303002644</v>
          </cell>
        </row>
      </sheetData>
      <sheetData sheetId="1"/>
      <sheetData sheetId="2"/>
      <sheetData sheetId="3"/>
      <sheetData sheetId="4">
        <row r="293">
          <cell r="H293">
            <v>929064.64484589023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0.2478890015894023</v>
          </cell>
        </row>
      </sheetData>
      <sheetData sheetId="1"/>
      <sheetData sheetId="2"/>
      <sheetData sheetId="3"/>
      <sheetData sheetId="4">
        <row r="293">
          <cell r="H293">
            <v>1314101.3054325392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BSYLL"/>
      <sheetName val="ABSYLD1"/>
      <sheetName val="ABSYLD2"/>
      <sheetName val="ABSDALYs"/>
    </sheetNames>
    <sheetDataSet>
      <sheetData sheetId="0">
        <row r="51">
          <cell r="E51">
            <v>0.14921126236767679</v>
          </cell>
        </row>
      </sheetData>
      <sheetData sheetId="1"/>
      <sheetData sheetId="2"/>
      <sheetData sheetId="3"/>
      <sheetData sheetId="4">
        <row r="293">
          <cell r="H293">
            <v>6687699.7943628272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0.22438701702562203</v>
          </cell>
        </row>
      </sheetData>
      <sheetData sheetId="1"/>
      <sheetData sheetId="2"/>
      <sheetData sheetId="3"/>
      <sheetData sheetId="4">
        <row r="293">
          <cell r="H293">
            <v>3235.3147313183276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0.30161628981013333</v>
          </cell>
        </row>
      </sheetData>
      <sheetData sheetId="1"/>
      <sheetData sheetId="2"/>
      <sheetData sheetId="3"/>
      <sheetData sheetId="4">
        <row r="293">
          <cell r="H293">
            <v>149683.12105076705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0.29798452925528163</v>
          </cell>
        </row>
      </sheetData>
      <sheetData sheetId="1"/>
      <sheetData sheetId="2"/>
      <sheetData sheetId="3"/>
      <sheetData sheetId="4">
        <row r="293">
          <cell r="H293">
            <v>2190312.7265632292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0.23490875496279151</v>
          </cell>
        </row>
      </sheetData>
      <sheetData sheetId="1"/>
      <sheetData sheetId="2"/>
      <sheetData sheetId="3"/>
      <sheetData sheetId="4">
        <row r="293">
          <cell r="H293">
            <v>64725.660623034622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0.30121265609338266</v>
          </cell>
        </row>
      </sheetData>
      <sheetData sheetId="1"/>
      <sheetData sheetId="2"/>
      <sheetData sheetId="3"/>
      <sheetData sheetId="4">
        <row r="293">
          <cell r="H293">
            <v>411634.05634666292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0.2909928077511853</v>
          </cell>
        </row>
      </sheetData>
      <sheetData sheetId="1"/>
      <sheetData sheetId="2"/>
      <sheetData sheetId="3"/>
      <sheetData sheetId="4">
        <row r="293">
          <cell r="H293">
            <v>334545.88467557577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0.22639161283901954</v>
          </cell>
        </row>
      </sheetData>
      <sheetData sheetId="1"/>
      <sheetData sheetId="2"/>
      <sheetData sheetId="3"/>
      <sheetData sheetId="4">
        <row r="293">
          <cell r="H293">
            <v>669180.14921297366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5859.0399999999981</v>
          </cell>
          <cell r="P6">
            <v>348577.90804149391</v>
          </cell>
        </row>
        <row r="7">
          <cell r="O7">
            <v>1098.57</v>
          </cell>
          <cell r="P7">
            <v>317815.73641023354</v>
          </cell>
        </row>
        <row r="8">
          <cell r="O8">
            <v>26365.679999999997</v>
          </cell>
          <cell r="P8">
            <v>1841203.9667874419</v>
          </cell>
        </row>
        <row r="9">
          <cell r="O9">
            <v>0</v>
          </cell>
          <cell r="P9">
            <v>0</v>
          </cell>
        </row>
        <row r="10">
          <cell r="O10">
            <v>2929.52</v>
          </cell>
          <cell r="P10">
            <v>361634.78927316802</v>
          </cell>
        </row>
        <row r="11">
          <cell r="O11">
            <v>366.19</v>
          </cell>
          <cell r="P11">
            <v>53478.780897060322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0.25965735810287893</v>
          </cell>
        </row>
      </sheetData>
      <sheetData sheetId="1"/>
      <sheetData sheetId="2"/>
      <sheetData sheetId="3"/>
      <sheetData sheetId="4">
        <row r="293">
          <cell r="H293">
            <v>13065.160782299379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0.30957611221935322</v>
          </cell>
        </row>
      </sheetData>
      <sheetData sheetId="1"/>
      <sheetData sheetId="2"/>
      <sheetData sheetId="3"/>
      <sheetData sheetId="4">
        <row r="293">
          <cell r="H293">
            <v>844706.46476752788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0.31125527002253983</v>
          </cell>
        </row>
      </sheetData>
      <sheetData sheetId="1"/>
      <sheetData sheetId="2"/>
      <sheetData sheetId="3"/>
      <sheetData sheetId="4">
        <row r="293">
          <cell r="H293">
            <v>1194637.0791905555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"/>
      <sheetName val="ESCYLL"/>
      <sheetName val="ESCYLD1"/>
      <sheetName val="ESCYLD2"/>
      <sheetName val="ESCDALYs"/>
    </sheetNames>
    <sheetDataSet>
      <sheetData sheetId="0">
        <row r="51">
          <cell r="E51">
            <v>0.23236602642327375</v>
          </cell>
        </row>
      </sheetData>
      <sheetData sheetId="1"/>
      <sheetData sheetId="2"/>
      <sheetData sheetId="3"/>
      <sheetData sheetId="4">
        <row r="293">
          <cell r="H293">
            <v>6096926.928284334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8.9091090890909275E-2</v>
          </cell>
        </row>
      </sheetData>
      <sheetData sheetId="1"/>
      <sheetData sheetId="2"/>
      <sheetData sheetId="3"/>
      <sheetData sheetId="4">
        <row r="293">
          <cell r="H293">
            <v>3891.8145916233675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4.5652173913043992E-2</v>
          </cell>
        </row>
      </sheetData>
      <sheetData sheetId="1"/>
      <sheetData sheetId="2"/>
      <sheetData sheetId="3"/>
      <sheetData sheetId="4">
        <row r="293">
          <cell r="H293">
            <v>197241.517708467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1.8931297709923522E-2</v>
          </cell>
        </row>
      </sheetData>
      <sheetData sheetId="1"/>
      <sheetData sheetId="2"/>
      <sheetData sheetId="3"/>
      <sheetData sheetId="4">
        <row r="293">
          <cell r="H293">
            <v>2837133.4831844489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0.11373718016962997</v>
          </cell>
        </row>
      </sheetData>
      <sheetData sheetId="1"/>
      <sheetData sheetId="2"/>
      <sheetData sheetId="3"/>
      <sheetData sheetId="4">
        <row r="293">
          <cell r="H293">
            <v>76426.235107713495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6.4615384615384519E-2</v>
          </cell>
        </row>
      </sheetData>
      <sheetData sheetId="1"/>
      <sheetData sheetId="2"/>
      <sheetData sheetId="3"/>
      <sheetData sheetId="4">
        <row r="293">
          <cell r="H293">
            <v>552599.85819973692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7.227979274611307E-2</v>
          </cell>
        </row>
      </sheetData>
      <sheetData sheetId="1"/>
      <sheetData sheetId="2"/>
      <sheetData sheetId="3"/>
      <sheetData sheetId="4">
        <row r="293">
          <cell r="H293">
            <v>422120.02662713593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299.15163524711096</v>
          </cell>
          <cell r="P6">
            <v>15683.948274379683</v>
          </cell>
        </row>
        <row r="7">
          <cell r="O7">
            <v>69.442058290213808</v>
          </cell>
          <cell r="P7">
            <v>4183.4885515821888</v>
          </cell>
        </row>
        <row r="8">
          <cell r="O8">
            <v>347.42628541153641</v>
          </cell>
          <cell r="P8">
            <v>38266.654708691043</v>
          </cell>
        </row>
        <row r="9">
          <cell r="O9">
            <v>0</v>
          </cell>
          <cell r="P9">
            <v>0</v>
          </cell>
        </row>
        <row r="10">
          <cell r="O10">
            <v>346.13032164873306</v>
          </cell>
          <cell r="P10">
            <v>27026.25452342736</v>
          </cell>
        </row>
        <row r="11">
          <cell r="O11">
            <v>17.711504758312696</v>
          </cell>
          <cell r="P11">
            <v>855.85033213972781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7.7583333333333671E-2</v>
          </cell>
        </row>
      </sheetData>
      <sheetData sheetId="1"/>
      <sheetData sheetId="2"/>
      <sheetData sheetId="3"/>
      <sheetData sheetId="4">
        <row r="293">
          <cell r="H293">
            <v>821734.2180360168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3.3333333333332327E-2</v>
          </cell>
        </row>
      </sheetData>
      <sheetData sheetId="1"/>
      <sheetData sheetId="2"/>
      <sheetData sheetId="3"/>
      <sheetData sheetId="4">
        <row r="293">
          <cell r="H293">
            <v>15839.642647485482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4.140845070422694E-2</v>
          </cell>
        </row>
      </sheetData>
      <sheetData sheetId="1"/>
      <sheetData sheetId="2"/>
      <sheetData sheetId="3"/>
      <sheetData sheetId="4">
        <row r="293">
          <cell r="H293">
            <v>1139674.1987797634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5.3333333333332122E-2</v>
          </cell>
        </row>
      </sheetData>
      <sheetData sheetId="1"/>
      <sheetData sheetId="2"/>
      <sheetData sheetId="3"/>
      <sheetData sheetId="4">
        <row r="293">
          <cell r="H293">
            <v>1567291.2186487254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"/>
      <sheetName val="SBYLL"/>
      <sheetName val="SBYLD1"/>
      <sheetName val="SBYLD2"/>
      <sheetName val="SBDALYs"/>
    </sheetNames>
    <sheetDataSet>
      <sheetData sheetId="0">
        <row r="51">
          <cell r="E51">
            <v>0.11323480462925062</v>
          </cell>
        </row>
      </sheetData>
      <sheetData sheetId="1"/>
      <sheetData sheetId="2"/>
      <sheetData sheetId="3"/>
      <sheetData sheetId="4">
        <row r="293">
          <cell r="H293">
            <v>6933142.419721297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6.3584311568841811E-2</v>
          </cell>
        </row>
      </sheetData>
      <sheetData sheetId="1"/>
      <sheetData sheetId="2"/>
      <sheetData sheetId="3"/>
      <sheetData sheetId="4">
        <row r="293">
          <cell r="H293">
            <v>4037.4153751184044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1.6470000000000318E-2</v>
          </cell>
        </row>
      </sheetData>
      <sheetData sheetId="1"/>
      <sheetData sheetId="2"/>
      <sheetData sheetId="3"/>
      <sheetData sheetId="4">
        <row r="293">
          <cell r="H293">
            <v>208392.33817800699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1.3175999999999854E-2</v>
          </cell>
        </row>
      </sheetData>
      <sheetData sheetId="1"/>
      <sheetData sheetId="2"/>
      <sheetData sheetId="3"/>
      <sheetData sheetId="4">
        <row r="293">
          <cell r="H293">
            <v>2882940.1228376119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5.2791629162916465E-2</v>
          </cell>
        </row>
      </sheetData>
      <sheetData sheetId="1"/>
      <sheetData sheetId="2"/>
      <sheetData sheetId="3"/>
      <sheetData sheetId="4">
        <row r="293">
          <cell r="H293">
            <v>82405.363469959135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4.6115999999999935E-2</v>
          </cell>
        </row>
      </sheetData>
      <sheetData sheetId="1"/>
      <sheetData sheetId="2"/>
      <sheetData sheetId="3"/>
      <sheetData sheetId="4">
        <row r="293">
          <cell r="H293">
            <v>567645.2347339039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454.92267684064029</v>
          </cell>
          <cell r="P6">
            <v>23295.974038158976</v>
          </cell>
        </row>
        <row r="7">
          <cell r="O7">
            <v>151.64089228021336</v>
          </cell>
          <cell r="P7">
            <v>8022.7271072852445</v>
          </cell>
        </row>
        <row r="8">
          <cell r="O8">
            <v>4852.5085529668295</v>
          </cell>
          <cell r="P8">
            <v>404529.68763653294</v>
          </cell>
        </row>
        <row r="9">
          <cell r="O9">
            <v>0</v>
          </cell>
          <cell r="P9">
            <v>0</v>
          </cell>
        </row>
        <row r="10">
          <cell r="O10">
            <v>2122.9724919229884</v>
          </cell>
          <cell r="P10">
            <v>151776.91024308774</v>
          </cell>
        </row>
        <row r="11">
          <cell r="O11">
            <v>0</v>
          </cell>
          <cell r="P11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2.4704999999999089E-2</v>
          </cell>
        </row>
      </sheetData>
      <sheetData sheetId="1"/>
      <sheetData sheetId="2"/>
      <sheetData sheetId="3"/>
      <sheetData sheetId="4">
        <row r="293">
          <cell r="H293">
            <v>456351.40840722562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7.6667850000000315E-2</v>
          </cell>
        </row>
      </sheetData>
      <sheetData sheetId="1"/>
      <sheetData sheetId="2"/>
      <sheetData sheetId="3"/>
      <sheetData sheetId="4">
        <row r="293">
          <cell r="H293">
            <v>831729.11384683766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1.6470000000001095E-2</v>
          </cell>
        </row>
      </sheetData>
      <sheetData sheetId="1"/>
      <sheetData sheetId="2"/>
      <sheetData sheetId="3"/>
      <sheetData sheetId="4">
        <row r="293">
          <cell r="H293">
            <v>16632.645218219444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2.3058000000001022E-2</v>
          </cell>
        </row>
      </sheetData>
      <sheetData sheetId="1"/>
      <sheetData sheetId="2"/>
      <sheetData sheetId="3"/>
      <sheetData sheetId="4">
        <row r="293">
          <cell r="H293">
            <v>1176388.6130911002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1.9763999999999116E-2</v>
          </cell>
        </row>
      </sheetData>
      <sheetData sheetId="1"/>
      <sheetData sheetId="2"/>
      <sheetData sheetId="3"/>
      <sheetData sheetId="4">
        <row r="293">
          <cell r="H293">
            <v>1667090.374925093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F"/>
      <sheetName val="AirBFYLL"/>
      <sheetName val="AirBFYLD1"/>
      <sheetName val="AirBFYLD2"/>
      <sheetName val="AirBFDALYs "/>
    </sheetNames>
    <sheetDataSet>
      <sheetData sheetId="0">
        <row r="51">
          <cell r="E51">
            <v>4.3108994911523424E-2</v>
          </cell>
        </row>
      </sheetData>
      <sheetData sheetId="1"/>
      <sheetData sheetId="2"/>
      <sheetData sheetId="3"/>
      <sheetData sheetId="4">
        <row r="293">
          <cell r="H293">
            <v>7472189.0217562355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3.5710678932105444E-2</v>
          </cell>
        </row>
      </sheetData>
      <sheetData sheetId="1"/>
      <sheetData sheetId="2"/>
      <sheetData sheetId="3"/>
      <sheetData sheetId="4">
        <row r="293">
          <cell r="H293">
            <v>4094.9466878157009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9.2500000000000915E-3</v>
          </cell>
        </row>
      </sheetData>
      <sheetData sheetId="1"/>
      <sheetData sheetId="2"/>
      <sheetData sheetId="3"/>
      <sheetData sheetId="4">
        <row r="293">
          <cell r="H293">
            <v>208498.48299774094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7.3999999999998511E-3</v>
          </cell>
        </row>
      </sheetData>
      <sheetData sheetId="1"/>
      <sheetData sheetId="2"/>
      <sheetData sheetId="3"/>
      <sheetData sheetId="4">
        <row r="293">
          <cell r="H293">
            <v>2881996.0380262556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2.9649214921491973E-2</v>
          </cell>
        </row>
      </sheetData>
      <sheetData sheetId="1"/>
      <sheetData sheetId="2"/>
      <sheetData sheetId="3"/>
      <sheetData sheetId="4">
        <row r="293">
          <cell r="H293">
            <v>83207.804987967407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799.42499126176017</v>
          </cell>
          <cell r="P6">
            <v>45354.341176418893</v>
          </cell>
        </row>
        <row r="7">
          <cell r="O7">
            <v>171.30535527037711</v>
          </cell>
          <cell r="P7">
            <v>12697.958403909304</v>
          </cell>
        </row>
        <row r="8">
          <cell r="O8">
            <v>3711.6160308581698</v>
          </cell>
          <cell r="P8">
            <v>307706.05875464407</v>
          </cell>
        </row>
        <row r="9">
          <cell r="O9">
            <v>0</v>
          </cell>
          <cell r="P9">
            <v>0</v>
          </cell>
        </row>
        <row r="10">
          <cell r="O10">
            <v>856.52677635188559</v>
          </cell>
          <cell r="P10">
            <v>93501.645074768763</v>
          </cell>
        </row>
        <row r="11">
          <cell r="O11">
            <v>171.30535527037705</v>
          </cell>
          <cell r="P11">
            <v>7915.2200668945943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2.5899999999999923E-2</v>
          </cell>
        </row>
      </sheetData>
      <sheetData sheetId="1"/>
      <sheetData sheetId="2"/>
      <sheetData sheetId="3"/>
      <sheetData sheetId="4">
        <row r="293">
          <cell r="H293">
            <v>571744.2436865879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1.3874999999998971E-2</v>
          </cell>
        </row>
      </sheetData>
      <sheetData sheetId="1"/>
      <sheetData sheetId="2"/>
      <sheetData sheetId="3"/>
      <sheetData sheetId="4">
        <row r="293">
          <cell r="H293">
            <v>456846.74992640957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4.3058750000000479E-2</v>
          </cell>
        </row>
      </sheetData>
      <sheetData sheetId="1"/>
      <sheetData sheetId="2"/>
      <sheetData sheetId="3"/>
      <sheetData sheetId="4">
        <row r="293">
          <cell r="H293">
            <v>844750.16026376863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9.2500000000019789E-3</v>
          </cell>
        </row>
      </sheetData>
      <sheetData sheetId="1"/>
      <sheetData sheetId="2"/>
      <sheetData sheetId="3"/>
      <sheetData sheetId="4">
        <row r="293">
          <cell r="H293">
            <v>16554.4014171462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1.2950000000000461E-2</v>
          </cell>
        </row>
      </sheetData>
      <sheetData sheetId="1"/>
      <sheetData sheetId="2"/>
      <sheetData sheetId="3"/>
      <sheetData sheetId="4">
        <row r="293">
          <cell r="H293">
            <v>1180543.4249164322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1.1099999999999E-2</v>
          </cell>
        </row>
      </sheetData>
      <sheetData sheetId="1"/>
      <sheetData sheetId="2"/>
      <sheetData sheetId="3"/>
      <sheetData sheetId="4">
        <row r="293">
          <cell r="H293">
            <v>1667163.8398130431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BS"/>
      <sheetName val="AirBSYLL"/>
      <sheetName val="AirBSYLD1"/>
      <sheetName val="AirBSYLD2"/>
      <sheetName val="AirBSDALYs"/>
    </sheetNames>
    <sheetDataSet>
      <sheetData sheetId="0">
        <row r="51">
          <cell r="E51">
            <v>3.14226582846171E-2</v>
          </cell>
        </row>
      </sheetData>
      <sheetData sheetId="1"/>
      <sheetData sheetId="2"/>
      <sheetData sheetId="3"/>
      <sheetData sheetId="4">
        <row r="293">
          <cell r="H293">
            <v>7483262.1387567874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1.2064418558142775E-2</v>
          </cell>
        </row>
      </sheetData>
      <sheetData sheetId="1"/>
      <sheetData sheetId="2"/>
      <sheetData sheetId="3"/>
      <sheetData sheetId="4">
        <row r="293">
          <cell r="H293">
            <v>4201.6803910573381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3.1249999999997113E-3</v>
          </cell>
        </row>
      </sheetData>
      <sheetData sheetId="1"/>
      <sheetData sheetId="2"/>
      <sheetData sheetId="3"/>
      <sheetData sheetId="4">
        <row r="293">
          <cell r="H293">
            <v>210893.38922506181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2.4999999999998357E-3</v>
          </cell>
        </row>
      </sheetData>
      <sheetData sheetId="1"/>
      <sheetData sheetId="2"/>
      <sheetData sheetId="3"/>
      <sheetData sheetId="4">
        <row r="293">
          <cell r="H293">
            <v>2908956.0654015793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2416.1693180793918</v>
          </cell>
          <cell r="P6">
            <v>130710.94703609226</v>
          </cell>
        </row>
        <row r="7">
          <cell r="O7">
            <v>507.40644534700175</v>
          </cell>
          <cell r="P7">
            <v>33169.908240791599</v>
          </cell>
        </row>
        <row r="8">
          <cell r="O8">
            <v>2644.828874995424</v>
          </cell>
          <cell r="P8">
            <v>348739.32468544965</v>
          </cell>
        </row>
        <row r="9">
          <cell r="O9">
            <v>0</v>
          </cell>
          <cell r="P9">
            <v>0</v>
          </cell>
        </row>
        <row r="10">
          <cell r="O10">
            <v>5068.6201783053457</v>
          </cell>
          <cell r="P10">
            <v>356323.43081083463</v>
          </cell>
        </row>
        <row r="11">
          <cell r="O11">
            <v>251.52551260763391</v>
          </cell>
          <cell r="P11">
            <v>12177.845731321317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1.0016626662666117E-2</v>
          </cell>
        </row>
      </sheetData>
      <sheetData sheetId="1"/>
      <sheetData sheetId="2"/>
      <sheetData sheetId="3"/>
      <sheetData sheetId="4">
        <row r="293">
          <cell r="H293">
            <v>85067.415511080588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8.7499999999999245E-3</v>
          </cell>
        </row>
      </sheetData>
      <sheetData sheetId="1"/>
      <sheetData sheetId="2"/>
      <sheetData sheetId="3"/>
      <sheetData sheetId="4">
        <row r="293">
          <cell r="H293">
            <v>582260.07762693102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4.6874999999988454E-3</v>
          </cell>
        </row>
      </sheetData>
      <sheetData sheetId="1"/>
      <sheetData sheetId="2"/>
      <sheetData sheetId="3"/>
      <sheetData sheetId="4">
        <row r="293">
          <cell r="H293">
            <v>463685.87430426205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1.4546875000000403E-2</v>
          </cell>
        </row>
      </sheetData>
      <sheetData sheetId="1"/>
      <sheetData sheetId="2"/>
      <sheetData sheetId="3"/>
      <sheetData sheetId="4">
        <row r="293">
          <cell r="H293">
            <v>868833.8564231646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3.1250000000010436E-3</v>
          </cell>
        </row>
      </sheetData>
      <sheetData sheetId="1"/>
      <sheetData sheetId="2"/>
      <sheetData sheetId="3"/>
      <sheetData sheetId="4">
        <row r="293">
          <cell r="H293">
            <v>16814.466013545243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4.3750000000007949E-3</v>
          </cell>
        </row>
      </sheetData>
      <sheetData sheetId="1"/>
      <sheetData sheetId="2"/>
      <sheetData sheetId="3"/>
      <sheetData sheetId="4">
        <row r="293">
          <cell r="H293">
            <v>1195820.9261072341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3.7499999999989209E-3</v>
          </cell>
        </row>
      </sheetData>
      <sheetData sheetId="1"/>
      <sheetData sheetId="2"/>
      <sheetData sheetId="3"/>
      <sheetData sheetId="4">
        <row r="293">
          <cell r="H293">
            <v>1689395.6441676589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Beam"/>
      <sheetName val="SDBYLL"/>
      <sheetName val="SDBYLD1"/>
      <sheetName val="SDBYLD2"/>
      <sheetName val="SDBDALYs"/>
    </sheetNames>
    <sheetDataSet>
      <sheetData sheetId="0">
        <row r="51">
          <cell r="E51">
            <v>1.0615762933992023E-2</v>
          </cell>
        </row>
      </sheetData>
      <sheetData sheetId="1"/>
      <sheetData sheetId="2"/>
      <sheetData sheetId="3"/>
      <sheetData sheetId="4">
        <row r="293">
          <cell r="H293">
            <v>7643972.1912960354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2.0268223177680733E-2</v>
          </cell>
        </row>
      </sheetData>
      <sheetData sheetId="1"/>
      <sheetData sheetId="2"/>
      <sheetData sheetId="3"/>
      <sheetData sheetId="4">
        <row r="293">
          <cell r="H293">
            <v>4164.6503307490138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5.2499999999997549E-3</v>
          </cell>
        </row>
      </sheetData>
      <sheetData sheetId="1"/>
      <sheetData sheetId="2"/>
      <sheetData sheetId="3"/>
      <sheetData sheetId="4">
        <row r="293">
          <cell r="H293">
            <v>210062.50339109331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47.700000000000017</v>
          </cell>
          <cell r="P6">
            <v>1966.5466921239849</v>
          </cell>
        </row>
        <row r="7">
          <cell r="O7">
            <v>9.5399999999999974</v>
          </cell>
          <cell r="P7">
            <v>2209.9069458820909</v>
          </cell>
        </row>
        <row r="8">
          <cell r="O8">
            <v>85.860000000000042</v>
          </cell>
          <cell r="P8">
            <v>9335.4674811192635</v>
          </cell>
        </row>
        <row r="9">
          <cell r="O9">
            <v>0</v>
          </cell>
          <cell r="P9">
            <v>0</v>
          </cell>
        </row>
        <row r="10">
          <cell r="O10">
            <v>15.900000000000015</v>
          </cell>
          <cell r="P10">
            <v>3322.5281538921654</v>
          </cell>
        </row>
        <row r="11">
          <cell r="O11">
            <v>0</v>
          </cell>
          <cell r="P11">
            <v>112.70275909869882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4.1999999999999815E-3</v>
          </cell>
        </row>
      </sheetData>
      <sheetData sheetId="1"/>
      <sheetData sheetId="2"/>
      <sheetData sheetId="3"/>
      <sheetData sheetId="4">
        <row r="293">
          <cell r="H293">
            <v>2899602.5865162644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1.6827932793279099E-2</v>
          </cell>
        </row>
      </sheetData>
      <sheetData sheetId="1"/>
      <sheetData sheetId="2"/>
      <sheetData sheetId="3"/>
      <sheetData sheetId="4">
        <row r="293">
          <cell r="H293">
            <v>84422.244513265847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1.4700000000000157E-2</v>
          </cell>
        </row>
      </sheetData>
      <sheetData sheetId="1"/>
      <sheetData sheetId="2"/>
      <sheetData sheetId="3"/>
      <sheetData sheetId="4">
        <row r="293">
          <cell r="H293">
            <v>578611.72707619949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7.8749999999994102E-3</v>
          </cell>
        </row>
      </sheetData>
      <sheetData sheetId="1"/>
      <sheetData sheetId="2"/>
      <sheetData sheetId="3"/>
      <sheetData sheetId="4">
        <row r="293">
          <cell r="H293">
            <v>461313.11686704785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2.443874999999962E-2</v>
          </cell>
        </row>
      </sheetData>
      <sheetData sheetId="1"/>
      <sheetData sheetId="2"/>
      <sheetData sheetId="3"/>
      <sheetData sheetId="4">
        <row r="293">
          <cell r="H293">
            <v>860478.28836786421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5.2499999999989777E-3</v>
          </cell>
        </row>
      </sheetData>
      <sheetData sheetId="1"/>
      <sheetData sheetId="2"/>
      <sheetData sheetId="3"/>
      <sheetData sheetId="4">
        <row r="293">
          <cell r="H293">
            <v>16724.239520917014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7.3500000000010779E-3</v>
          </cell>
        </row>
      </sheetData>
      <sheetData sheetId="1"/>
      <sheetData sheetId="2"/>
      <sheetData sheetId="3"/>
      <sheetData sheetId="4">
        <row r="293">
          <cell r="H293">
            <v>1190520.5685512435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6.2999999999993062E-3</v>
          </cell>
        </row>
      </sheetData>
      <sheetData sheetId="1"/>
      <sheetData sheetId="2"/>
      <sheetData sheetId="3"/>
      <sheetData sheetId="4">
        <row r="293">
          <cell r="H293">
            <v>1681682.5691874863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Str&amp;Pad"/>
      <sheetName val="SSPYLL"/>
      <sheetName val="SSPYLD1"/>
      <sheetName val="SSPYLD2"/>
      <sheetName val="SSPDALYs"/>
    </sheetNames>
    <sheetDataSet>
      <sheetData sheetId="0">
        <row r="51">
          <cell r="E51">
            <v>1.7834481729106955E-2</v>
          </cell>
        </row>
      </sheetData>
      <sheetData sheetId="1"/>
      <sheetData sheetId="2"/>
      <sheetData sheetId="3"/>
      <sheetData sheetId="4">
        <row r="293">
          <cell r="H293">
            <v>7588215.642455887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7.662353514648379E-2</v>
          </cell>
        </row>
      </sheetData>
      <sheetData sheetId="1"/>
      <sheetData sheetId="2"/>
      <sheetData sheetId="3"/>
      <sheetData sheetId="4">
        <row r="293">
          <cell r="H293">
            <v>3910.275598819253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O6">
            <v>1561.4720107855655</v>
          </cell>
          <cell r="P6">
            <v>81704.940761974256</v>
          </cell>
        </row>
        <row r="7">
          <cell r="O7">
            <v>585.55200404458719</v>
          </cell>
          <cell r="P7">
            <v>32304.793759351665</v>
          </cell>
        </row>
        <row r="8">
          <cell r="O8">
            <v>14443.616099766487</v>
          </cell>
          <cell r="P8">
            <v>864834.89196689206</v>
          </cell>
        </row>
        <row r="9">
          <cell r="O9">
            <v>0</v>
          </cell>
          <cell r="P9">
            <v>0</v>
          </cell>
        </row>
        <row r="10">
          <cell r="O10">
            <v>2732.5760188747404</v>
          </cell>
          <cell r="P10">
            <v>216182.72982113605</v>
          </cell>
        </row>
        <row r="11">
          <cell r="O11">
            <v>195.18400134819564</v>
          </cell>
          <cell r="P11">
            <v>8588.2132625757058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1.9847499999999463E-2</v>
          </cell>
        </row>
      </sheetData>
      <sheetData sheetId="1"/>
      <sheetData sheetId="2"/>
      <sheetData sheetId="3"/>
      <sheetData sheetId="4">
        <row r="293">
          <cell r="H293">
            <v>204354.80646810259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1.5877999999999726E-2</v>
          </cell>
        </row>
      </sheetData>
      <sheetData sheetId="1"/>
      <sheetData sheetId="2"/>
      <sheetData sheetId="3"/>
      <sheetData sheetId="4">
        <row r="293">
          <cell r="H293">
            <v>2835349.6886205431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6.3617599259925939E-2</v>
          </cell>
        </row>
      </sheetData>
      <sheetData sheetId="1"/>
      <sheetData sheetId="2"/>
      <sheetData sheetId="3"/>
      <sheetData sheetId="4">
        <row r="293">
          <cell r="H293">
            <v>79990.299270629926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5.5573000000000095E-2</v>
          </cell>
        </row>
      </sheetData>
      <sheetData sheetId="1"/>
      <sheetData sheetId="2"/>
      <sheetData sheetId="3"/>
      <sheetData sheetId="4">
        <row r="293">
          <cell r="H293">
            <v>553549.70488123596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2.9771249999999694E-2</v>
          </cell>
        </row>
      </sheetData>
      <sheetData sheetId="1"/>
      <sheetData sheetId="2"/>
      <sheetData sheetId="3"/>
      <sheetData sheetId="4">
        <row r="293">
          <cell r="H293">
            <v>445013.66901305539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9.2390112500000177E-2</v>
          </cell>
        </row>
      </sheetData>
      <sheetData sheetId="1"/>
      <sheetData sheetId="2"/>
      <sheetData sheetId="3"/>
      <sheetData sheetId="4">
        <row r="293">
          <cell r="H293">
            <v>803080.45086798142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1.9847500000000906E-2</v>
          </cell>
        </row>
      </sheetData>
      <sheetData sheetId="1"/>
      <sheetData sheetId="2"/>
      <sheetData sheetId="3"/>
      <sheetData sheetId="4">
        <row r="293">
          <cell r="H293">
            <v>16104.436590968431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2.7786500000001824E-2</v>
          </cell>
        </row>
      </sheetData>
      <sheetData sheetId="1"/>
      <sheetData sheetId="2"/>
      <sheetData sheetId="3"/>
      <sheetData sheetId="4">
        <row r="293">
          <cell r="H293">
            <v>1154110.2299989576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2.3816999999998978E-2</v>
          </cell>
        </row>
      </sheetData>
      <sheetData sheetId="1"/>
      <sheetData sheetId="2"/>
      <sheetData sheetId="3"/>
      <sheetData sheetId="4">
        <row r="293">
          <cell r="H293">
            <v>1628698.2811766302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Opt"/>
      <sheetName val="SOYLL"/>
      <sheetName val="SOYLD1"/>
      <sheetName val="SOYLD2"/>
      <sheetName val="SODALYs"/>
    </sheetNames>
    <sheetDataSet>
      <sheetData sheetId="0">
        <row r="51">
          <cell r="E51">
            <v>6.7422833546371463E-2</v>
          </cell>
        </row>
      </sheetData>
      <sheetData sheetId="1"/>
      <sheetData sheetId="2"/>
      <sheetData sheetId="3"/>
      <sheetData sheetId="4">
        <row r="293">
          <cell r="H293">
            <v>7205200.949893984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6" zoomScale="170" zoomScaleNormal="170" workbookViewId="0">
      <selection activeCell="M25" sqref="M25"/>
    </sheetView>
  </sheetViews>
  <sheetFormatPr defaultRowHeight="14.25" x14ac:dyDescent="0.15"/>
  <cols>
    <col min="1" max="1" width="1.625" customWidth="1"/>
    <col min="2" max="2" width="21.125" customWidth="1"/>
    <col min="3" max="3" width="6.125" customWidth="1"/>
    <col min="4" max="4" width="10.75" customWidth="1"/>
    <col min="5" max="5" width="10" customWidth="1"/>
    <col min="6" max="6" width="6.5" customWidth="1"/>
    <col min="7" max="7" width="9.375" customWidth="1"/>
    <col min="8" max="8" width="9.875" customWidth="1"/>
    <col min="9" max="9" width="11.25" customWidth="1"/>
    <col min="10" max="10" width="10.375" customWidth="1"/>
    <col min="11" max="12" width="8.625" customWidth="1"/>
    <col min="13" max="13" width="12.75" customWidth="1"/>
    <col min="14" max="14" width="1.375" customWidth="1"/>
  </cols>
  <sheetData>
    <row r="1" spans="1:14" ht="38.25" customHeight="1" thickBot="1" x14ac:dyDescent="0.2">
      <c r="B1" t="s">
        <v>27</v>
      </c>
    </row>
    <row r="2" spans="1:14" x14ac:dyDescent="0.15">
      <c r="A2" s="8"/>
      <c r="B2" s="13"/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20" t="s">
        <v>25</v>
      </c>
      <c r="L2" s="20" t="s">
        <v>26</v>
      </c>
      <c r="M2" s="20" t="s">
        <v>46</v>
      </c>
      <c r="N2" s="20"/>
    </row>
    <row r="3" spans="1:14" x14ac:dyDescent="0.15">
      <c r="A3" s="9"/>
      <c r="B3" s="26" t="s">
        <v>35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0"/>
    </row>
    <row r="4" spans="1:14" x14ac:dyDescent="0.15">
      <c r="A4" s="9"/>
      <c r="B4" s="14" t="s">
        <v>1</v>
      </c>
      <c r="C4" s="16">
        <f>'[1]RESULTS-DALYs'!O6</f>
        <v>18.069821643838385</v>
      </c>
      <c r="D4" s="16">
        <f>'[2]RESULTS-DALYs'!O6</f>
        <v>289.09999999999997</v>
      </c>
      <c r="E4" s="16">
        <f>'[3]RESULTS-DALYs'!O6</f>
        <v>5859.0399999999981</v>
      </c>
      <c r="F4" s="16">
        <f>'[4]RESULTS-DALYs'!O6</f>
        <v>299.15163524711096</v>
      </c>
      <c r="G4" s="16">
        <f>'[5]RESULTS-DALYs'!O6</f>
        <v>454.92267684064029</v>
      </c>
      <c r="H4" s="16">
        <f>'[6]RESULTS-DALYs'!O6</f>
        <v>799.42499126176017</v>
      </c>
      <c r="I4" s="16">
        <f>'[7]RESULTS-DALYs'!O6</f>
        <v>2416.1693180793918</v>
      </c>
      <c r="J4" s="16">
        <f>'[8]RESULTS-DALYs'!O6</f>
        <v>47.700000000000017</v>
      </c>
      <c r="K4" s="16">
        <f>'[9]RESULTS-DALYs'!O6</f>
        <v>1561.4720107855655</v>
      </c>
      <c r="L4" s="16">
        <f>'[10]RESULTS-DALYs'!O6</f>
        <v>2412.9999999999995</v>
      </c>
      <c r="M4" s="16">
        <f>'[11]RESULTS-DALYs'!O6</f>
        <v>25521.601989818959</v>
      </c>
      <c r="N4" s="10"/>
    </row>
    <row r="5" spans="1:14" x14ac:dyDescent="0.15">
      <c r="A5" s="9"/>
      <c r="B5" s="14" t="s">
        <v>2</v>
      </c>
      <c r="C5" s="16">
        <f>'[1]RESULTS-DALYs'!O7</f>
        <v>3.7301493071882952</v>
      </c>
      <c r="D5" s="16">
        <f>'[2]RESULTS-DALYs'!O7</f>
        <v>57.819999999999986</v>
      </c>
      <c r="E5" s="16">
        <f>'[3]RESULTS-DALYs'!O7</f>
        <v>1098.57</v>
      </c>
      <c r="F5" s="16">
        <f>'[4]RESULTS-DALYs'!O7</f>
        <v>69.442058290213808</v>
      </c>
      <c r="G5" s="16">
        <f>'[5]RESULTS-DALYs'!O7</f>
        <v>151.64089228021336</v>
      </c>
      <c r="H5" s="16">
        <f>'[6]RESULTS-DALYs'!O7</f>
        <v>171.30535527037711</v>
      </c>
      <c r="I5" s="16">
        <f>'[7]RESULTS-DALYs'!O7</f>
        <v>507.40644534700175</v>
      </c>
      <c r="J5" s="16">
        <f>'[8]RESULTS-DALYs'!O7</f>
        <v>9.5399999999999974</v>
      </c>
      <c r="K5" s="16">
        <f>'[9]RESULTS-DALYs'!O7</f>
        <v>585.55200404458719</v>
      </c>
      <c r="L5" s="16">
        <f>'[10]RESULTS-DALYs'!O7</f>
        <v>723.90000000000009</v>
      </c>
      <c r="M5" s="16">
        <f>'[11]RESULTS-DALYs'!O7</f>
        <v>6805.3032710795369</v>
      </c>
      <c r="N5" s="10"/>
    </row>
    <row r="6" spans="1:14" x14ac:dyDescent="0.15">
      <c r="A6" s="9"/>
      <c r="B6" s="15" t="s">
        <v>37</v>
      </c>
      <c r="C6" s="16">
        <f>'[1]RESULTS-DALYs'!O8</f>
        <v>14.633192282133756</v>
      </c>
      <c r="D6" s="16">
        <f>'[2]RESULTS-DALYs'!O8</f>
        <v>2110.4300000000012</v>
      </c>
      <c r="E6" s="16">
        <f>'[3]RESULTS-DALYs'!O8</f>
        <v>26365.679999999997</v>
      </c>
      <c r="F6" s="16">
        <f>'[4]RESULTS-DALYs'!O8</f>
        <v>347.42628541153641</v>
      </c>
      <c r="G6" s="16">
        <f>'[5]RESULTS-DALYs'!O8</f>
        <v>4852.5085529668295</v>
      </c>
      <c r="H6" s="16">
        <f>'[6]RESULTS-DALYs'!O8</f>
        <v>3711.6160308581698</v>
      </c>
      <c r="I6" s="16">
        <f>'[7]RESULTS-DALYs'!O8</f>
        <v>2644.828874995424</v>
      </c>
      <c r="J6" s="16">
        <f>'[8]RESULTS-DALYs'!O8</f>
        <v>85.860000000000042</v>
      </c>
      <c r="K6" s="16">
        <f>'[9]RESULTS-DALYs'!O8</f>
        <v>14443.616099766487</v>
      </c>
      <c r="L6" s="16">
        <f>'[10]RESULTS-DALYs'!O8</f>
        <v>17856.2</v>
      </c>
      <c r="M6" s="16">
        <f>'[11]RESULTS-DALYs'!O8</f>
        <v>37480.055982779959</v>
      </c>
      <c r="N6" s="10"/>
    </row>
    <row r="7" spans="1:14" ht="28.5" hidden="1" x14ac:dyDescent="0.15">
      <c r="A7" s="9"/>
      <c r="B7" s="15" t="s">
        <v>16</v>
      </c>
      <c r="C7" s="16">
        <f>'[1]RESULTS-DALYs'!O9</f>
        <v>0.26294495116245375</v>
      </c>
      <c r="D7" s="16">
        <f>'[2]RESULTS-DALYs'!O9</f>
        <v>0</v>
      </c>
      <c r="E7" s="16">
        <f>'[3]RESULTS-DALYs'!O9</f>
        <v>0</v>
      </c>
      <c r="F7" s="16">
        <f>'[4]RESULTS-DALYs'!O9</f>
        <v>0</v>
      </c>
      <c r="G7" s="16">
        <f>'[5]RESULTS-DALYs'!O9</f>
        <v>0</v>
      </c>
      <c r="H7" s="16">
        <f>'[6]RESULTS-DALYs'!O9</f>
        <v>0</v>
      </c>
      <c r="I7" s="16">
        <f>'[7]RESULTS-DALYs'!O9</f>
        <v>0</v>
      </c>
      <c r="J7" s="16">
        <f>'[8]RESULTS-DALYs'!O9</f>
        <v>0</v>
      </c>
      <c r="K7" s="16">
        <f>'[9]RESULTS-DALYs'!O9</f>
        <v>0</v>
      </c>
      <c r="L7" s="16">
        <f>'[10]RESULTS-DALYs'!O9</f>
        <v>0</v>
      </c>
      <c r="M7" s="16">
        <f>'[11]RESULTS-DALYs'!P9</f>
        <v>0</v>
      </c>
      <c r="N7" s="10"/>
    </row>
    <row r="8" spans="1:14" x14ac:dyDescent="0.15">
      <c r="A8" s="9"/>
      <c r="B8" s="14" t="s">
        <v>3</v>
      </c>
      <c r="C8" s="16">
        <f>'[1]RESULTS-DALYs'!O10</f>
        <v>23.610010614842647</v>
      </c>
      <c r="D8" s="16">
        <f>'[2]RESULTS-DALYs'!O10</f>
        <v>289.09999999999991</v>
      </c>
      <c r="E8" s="16">
        <f>'[3]RESULTS-DALYs'!O10</f>
        <v>2929.52</v>
      </c>
      <c r="F8" s="16">
        <f>'[4]RESULTS-DALYs'!O10</f>
        <v>346.13032164873306</v>
      </c>
      <c r="G8" s="16">
        <f>'[5]RESULTS-DALYs'!O10</f>
        <v>2122.9724919229884</v>
      </c>
      <c r="H8" s="16">
        <f>'[6]RESULTS-DALYs'!O10</f>
        <v>856.52677635188559</v>
      </c>
      <c r="I8" s="16">
        <f>'[7]RESULTS-DALYs'!O10</f>
        <v>5068.6201783053457</v>
      </c>
      <c r="J8" s="16">
        <f>'[8]RESULTS-DALYs'!O10</f>
        <v>15.900000000000015</v>
      </c>
      <c r="K8" s="16">
        <f>'[9]RESULTS-DALYs'!O10</f>
        <v>2732.5760188747404</v>
      </c>
      <c r="L8" s="16">
        <f>'[10]RESULTS-DALYs'!O10</f>
        <v>2895.5999999999995</v>
      </c>
      <c r="M8" s="16">
        <f>'[11]RESULTS-DALYs'!O10</f>
        <v>36905.157952128429</v>
      </c>
      <c r="N8" s="10"/>
    </row>
    <row r="9" spans="1:14" x14ac:dyDescent="0.15">
      <c r="A9" s="9"/>
      <c r="B9" s="14" t="s">
        <v>4</v>
      </c>
      <c r="C9" s="16">
        <f>'[1]RESULTS-DALYs'!O11</f>
        <v>0.8499848421297922</v>
      </c>
      <c r="D9" s="16">
        <f>'[2]RESULTS-DALYs'!O11</f>
        <v>144.54999999999998</v>
      </c>
      <c r="E9" s="16">
        <f>'[3]RESULTS-DALYs'!O11</f>
        <v>366.19</v>
      </c>
      <c r="F9" s="16">
        <f>'[4]RESULTS-DALYs'!O11</f>
        <v>17.711504758312696</v>
      </c>
      <c r="G9" s="16">
        <f>'[5]RESULTS-DALYs'!O11</f>
        <v>0</v>
      </c>
      <c r="H9" s="16">
        <f>'[6]RESULTS-DALYs'!O11</f>
        <v>171.30535527037705</v>
      </c>
      <c r="I9" s="16">
        <f>'[7]RESULTS-DALYs'!O11</f>
        <v>251.52551260763391</v>
      </c>
      <c r="J9" s="16">
        <f>'[8]RESULTS-DALYs'!O11</f>
        <v>0</v>
      </c>
      <c r="K9" s="16">
        <f>'[9]RESULTS-DALYs'!O11</f>
        <v>195.18400134819564</v>
      </c>
      <c r="L9" s="16">
        <f>'[10]RESULTS-DALYs'!O11</f>
        <v>241.29999999999993</v>
      </c>
      <c r="M9" s="16">
        <f>'[11]RESULTS-DALYs'!O11</f>
        <v>1926.910629465724</v>
      </c>
      <c r="N9" s="10"/>
    </row>
    <row r="10" spans="1:14" x14ac:dyDescent="0.15">
      <c r="A10" s="9"/>
      <c r="B10" s="14" t="s">
        <v>5</v>
      </c>
      <c r="C10" s="16">
        <f t="shared" ref="C10:L10" si="0">SUM(C4:C9)</f>
        <v>61.156103641295324</v>
      </c>
      <c r="D10" s="16">
        <f t="shared" si="0"/>
        <v>2891.0000000000014</v>
      </c>
      <c r="E10" s="16">
        <f t="shared" si="0"/>
        <v>36618.999999999993</v>
      </c>
      <c r="F10" s="16">
        <f t="shared" si="0"/>
        <v>1079.8618053559069</v>
      </c>
      <c r="G10" s="16">
        <f t="shared" si="0"/>
        <v>7582.0446140106715</v>
      </c>
      <c r="H10" s="16">
        <f t="shared" si="0"/>
        <v>5710.1785090125695</v>
      </c>
      <c r="I10" s="16">
        <f t="shared" si="0"/>
        <v>10888.550329334797</v>
      </c>
      <c r="J10" s="16">
        <f t="shared" si="0"/>
        <v>159.00000000000006</v>
      </c>
      <c r="K10" s="16">
        <f t="shared" si="0"/>
        <v>19518.400134819574</v>
      </c>
      <c r="L10" s="16">
        <f t="shared" si="0"/>
        <v>24129.999999999996</v>
      </c>
      <c r="M10" s="16">
        <f t="shared" ref="M10" si="1">SUM(M4:M9)</f>
        <v>108639.02982527261</v>
      </c>
      <c r="N10" s="10"/>
    </row>
    <row r="11" spans="1:14" x14ac:dyDescent="0.15">
      <c r="A11" s="9"/>
      <c r="B11" s="23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1"/>
      <c r="N11" s="10"/>
    </row>
    <row r="12" spans="1:14" x14ac:dyDescent="0.15">
      <c r="A12" s="9"/>
      <c r="B12" s="17" t="s">
        <v>0</v>
      </c>
      <c r="C12" s="22">
        <f>[12]ABS!$E$51</f>
        <v>0.12775639304757558</v>
      </c>
      <c r="D12" s="22">
        <f>[13]ABS!$E$51</f>
        <v>0.2430739213296057</v>
      </c>
      <c r="E12" s="22">
        <f>[14]ABS!$E$51</f>
        <v>0.24237828134363582</v>
      </c>
      <c r="F12" s="22">
        <f>[15]ABS!$E$51</f>
        <v>0.14843089070294346</v>
      </c>
      <c r="G12" s="22">
        <f>[16]ABS!$E$51</f>
        <v>0.21325867187165404</v>
      </c>
      <c r="H12" s="22">
        <f>[17]ABS!$E$51</f>
        <v>0.2254896648471767</v>
      </c>
      <c r="I12" s="22">
        <f>[18]ABS!$E$51</f>
        <v>0.11775497655303158</v>
      </c>
      <c r="J12" s="22">
        <f>[19]ABS!$E$51</f>
        <v>0.21007710794813372</v>
      </c>
      <c r="K12" s="22">
        <f>[20]ABS!$E$51</f>
        <v>0.24261232303002644</v>
      </c>
      <c r="L12" s="22">
        <f>[21]ABS!$E$51</f>
        <v>0.2478890015894023</v>
      </c>
      <c r="M12" s="22">
        <f>[22]ABS!$E$51</f>
        <v>0.14921126236767679</v>
      </c>
      <c r="N12" s="10"/>
    </row>
    <row r="13" spans="1:14" x14ac:dyDescent="0.15">
      <c r="A13" s="9"/>
      <c r="B13" s="17" t="s">
        <v>44</v>
      </c>
      <c r="C13" s="22">
        <f>[23]ESC!$E$51</f>
        <v>0.22438701702562203</v>
      </c>
      <c r="D13" s="22">
        <f>[24]ESC!$E$51</f>
        <v>0.30161628981013333</v>
      </c>
      <c r="E13" s="22">
        <f>[25]ESC!$E$51</f>
        <v>0.29798452925528163</v>
      </c>
      <c r="F13" s="22">
        <f>[26]ESC!$E$51</f>
        <v>0.23490875496279151</v>
      </c>
      <c r="G13" s="22">
        <f>[27]ESC!$E$51</f>
        <v>0.30121265609338266</v>
      </c>
      <c r="H13" s="22">
        <f>[28]ESC!$E$51</f>
        <v>0.2909928077511853</v>
      </c>
      <c r="I13" s="22">
        <f>[29]ESC!$E$51</f>
        <v>0.22639161283901954</v>
      </c>
      <c r="J13" s="22">
        <f>[30]ESC!$E$51</f>
        <v>0.25965735810287893</v>
      </c>
      <c r="K13" s="22">
        <f>[31]ESC!$E$51</f>
        <v>0.30957611221935322</v>
      </c>
      <c r="L13" s="22">
        <f>[32]ESC!$E$51</f>
        <v>0.31125527002253983</v>
      </c>
      <c r="M13" s="22">
        <f>[33]ESC!$E$51</f>
        <v>0.23236602642327375</v>
      </c>
      <c r="N13" s="10"/>
    </row>
    <row r="14" spans="1:14" x14ac:dyDescent="0.15">
      <c r="A14" s="9"/>
      <c r="B14" s="17" t="s">
        <v>6</v>
      </c>
      <c r="C14" s="22">
        <f>[34]SB!$E$51</f>
        <v>8.9091090890909275E-2</v>
      </c>
      <c r="D14" s="22">
        <f>[35]SB!$E$51</f>
        <v>4.5652173913043992E-2</v>
      </c>
      <c r="E14" s="22">
        <f>[36]SB!$E$51</f>
        <v>1.8931297709923522E-2</v>
      </c>
      <c r="F14" s="22">
        <f>[37]SB!$E$51</f>
        <v>0.11373718016962997</v>
      </c>
      <c r="G14" s="22">
        <f>[38]SB!$E$51</f>
        <v>6.4615384615384519E-2</v>
      </c>
      <c r="H14" s="22">
        <f>[39]SB!$E$51</f>
        <v>7.227979274611307E-2</v>
      </c>
      <c r="I14" s="22">
        <f>[40]SB!$E$51</f>
        <v>7.7583333333333671E-2</v>
      </c>
      <c r="J14" s="22">
        <f>[41]SB!$E$51</f>
        <v>3.3333333333332327E-2</v>
      </c>
      <c r="K14" s="22">
        <f>[42]SB!$E$51</f>
        <v>4.140845070422694E-2</v>
      </c>
      <c r="L14" s="22">
        <f>[43]SB!$E$51</f>
        <v>5.3333333333332122E-2</v>
      </c>
      <c r="M14" s="22">
        <f>[44]SB!$E$51</f>
        <v>0.11323480462925062</v>
      </c>
      <c r="N14" s="10"/>
    </row>
    <row r="15" spans="1:14" x14ac:dyDescent="0.15">
      <c r="A15" s="9"/>
      <c r="B15" s="17" t="s">
        <v>7</v>
      </c>
      <c r="C15" s="22">
        <f>[45]AirBF!$E$51</f>
        <v>6.3584311568841811E-2</v>
      </c>
      <c r="D15" s="22">
        <f>[46]AirBF!$E$51</f>
        <v>1.6470000000000318E-2</v>
      </c>
      <c r="E15" s="22">
        <f>[47]AirBF!$E$51</f>
        <v>1.3175999999999854E-2</v>
      </c>
      <c r="F15" s="22">
        <f>[48]AirBF!$E$51</f>
        <v>5.2791629162916465E-2</v>
      </c>
      <c r="G15" s="22">
        <f>[49]AirBF!$E$51</f>
        <v>4.6115999999999935E-2</v>
      </c>
      <c r="H15" s="22">
        <f>[50]AirBF!$E$51</f>
        <v>2.4704999999999089E-2</v>
      </c>
      <c r="I15" s="22">
        <f>[51]AirBF!$E$51</f>
        <v>7.6667850000000315E-2</v>
      </c>
      <c r="J15" s="22">
        <f>[52]AirBF!$E$51</f>
        <v>1.6470000000001095E-2</v>
      </c>
      <c r="K15" s="22">
        <f>[53]AirBF!$E$51</f>
        <v>2.3058000000001022E-2</v>
      </c>
      <c r="L15" s="22">
        <f>[54]AirBF!$E$51</f>
        <v>1.9763999999999116E-2</v>
      </c>
      <c r="M15" s="22">
        <f>[55]AirBF!$E$51</f>
        <v>4.3108994911523424E-2</v>
      </c>
      <c r="N15" s="10"/>
    </row>
    <row r="16" spans="1:14" x14ac:dyDescent="0.15">
      <c r="A16" s="9"/>
      <c r="B16" s="17" t="s">
        <v>8</v>
      </c>
      <c r="C16" s="22">
        <f>[56]AirBS!$E$51</f>
        <v>3.5710678932105444E-2</v>
      </c>
      <c r="D16" s="22">
        <f>[57]AirBS!$E$51</f>
        <v>9.2500000000000915E-3</v>
      </c>
      <c r="E16" s="22">
        <f>[58]AirBS!$E$51</f>
        <v>7.3999999999998511E-3</v>
      </c>
      <c r="F16" s="22">
        <f>[59]AirBS!$E$51</f>
        <v>2.9649214921491973E-2</v>
      </c>
      <c r="G16" s="22">
        <f>[60]AirBS!$E$51</f>
        <v>2.5899999999999923E-2</v>
      </c>
      <c r="H16" s="22">
        <f>[61]AirBS!$E$51</f>
        <v>1.3874999999998971E-2</v>
      </c>
      <c r="I16" s="22">
        <f>[62]AirBS!$E$51</f>
        <v>4.3058750000000479E-2</v>
      </c>
      <c r="J16" s="22">
        <f>[63]AirBS!$E$51</f>
        <v>9.2500000000019789E-3</v>
      </c>
      <c r="K16" s="22">
        <f>[64]AirBS!$E$51</f>
        <v>1.2950000000000461E-2</v>
      </c>
      <c r="L16" s="22">
        <f>[65]AirBS!$E$51</f>
        <v>1.1099999999999E-2</v>
      </c>
      <c r="M16" s="22">
        <f>[66]AirBS!$E$51</f>
        <v>3.14226582846171E-2</v>
      </c>
      <c r="N16" s="10"/>
    </row>
    <row r="17" spans="1:14" x14ac:dyDescent="0.15">
      <c r="A17" s="9"/>
      <c r="B17" s="17" t="s">
        <v>9</v>
      </c>
      <c r="C17" s="22">
        <f>[67]SDBeam!$E$51</f>
        <v>1.2064418558142775E-2</v>
      </c>
      <c r="D17" s="22">
        <f>[68]SDBeam!$E$51</f>
        <v>3.1249999999997113E-3</v>
      </c>
      <c r="E17" s="22">
        <f>[69]SDBeam!$E$51</f>
        <v>2.4999999999998357E-3</v>
      </c>
      <c r="F17" s="22">
        <f>[70]SDBeam!$E$51</f>
        <v>1.0016626662666117E-2</v>
      </c>
      <c r="G17" s="22">
        <f>[71]SDBeam!$E$51</f>
        <v>8.7499999999999245E-3</v>
      </c>
      <c r="H17" s="22">
        <f>[72]SDBeam!$E$51</f>
        <v>4.6874999999988454E-3</v>
      </c>
      <c r="I17" s="22">
        <f>[73]SDBeam!$E$51</f>
        <v>1.4546875000000403E-2</v>
      </c>
      <c r="J17" s="22">
        <f>[74]SDBeam!$E$51</f>
        <v>3.1250000000010436E-3</v>
      </c>
      <c r="K17" s="22">
        <f>[75]SDBeam!$E$51</f>
        <v>4.3750000000007949E-3</v>
      </c>
      <c r="L17" s="22">
        <f>[76]SDBeam!$E$51</f>
        <v>3.7499999999989209E-3</v>
      </c>
      <c r="M17" s="22">
        <f>[77]SDBeam!$E$51</f>
        <v>1.0615762933992023E-2</v>
      </c>
      <c r="N17" s="10"/>
    </row>
    <row r="18" spans="1:14" ht="34.5" customHeight="1" x14ac:dyDescent="0.15">
      <c r="A18" s="9"/>
      <c r="B18" s="18" t="s">
        <v>49</v>
      </c>
      <c r="C18" s="22">
        <f>'[78]S Str&amp;Pad'!$E$51</f>
        <v>2.0268223177680733E-2</v>
      </c>
      <c r="D18" s="22">
        <f>'[79]S Str&amp;Pad'!$E$51</f>
        <v>5.2499999999997549E-3</v>
      </c>
      <c r="E18" s="22">
        <f>'[80]S Str&amp;Pad'!$E$51</f>
        <v>4.1999999999999815E-3</v>
      </c>
      <c r="F18" s="22">
        <f>'[81]S Str&amp;Pad'!$E$51</f>
        <v>1.6827932793279099E-2</v>
      </c>
      <c r="G18" s="22">
        <f>'[82]S Str&amp;Pad'!$E$51</f>
        <v>1.4700000000000157E-2</v>
      </c>
      <c r="H18" s="22">
        <f>'[83]S Str&amp;Pad'!$E$51</f>
        <v>7.8749999999994102E-3</v>
      </c>
      <c r="I18" s="22">
        <f>'[84]S Str&amp;Pad'!$E$51</f>
        <v>2.443874999999962E-2</v>
      </c>
      <c r="J18" s="22">
        <f>'[85]S Str&amp;Pad'!$E$51</f>
        <v>5.2499999999989777E-3</v>
      </c>
      <c r="K18" s="22">
        <f>'[86]S Str&amp;Pad'!$E$51</f>
        <v>7.3500000000010779E-3</v>
      </c>
      <c r="L18" s="22">
        <f>'[87]S Str&amp;Pad'!$E$51</f>
        <v>6.2999999999993062E-3</v>
      </c>
      <c r="M18" s="22">
        <f>'[88]S Str&amp;Pad'!$E$51</f>
        <v>1.7834481729106955E-2</v>
      </c>
      <c r="N18" s="10"/>
    </row>
    <row r="19" spans="1:14" x14ac:dyDescent="0.15">
      <c r="A19" s="9"/>
      <c r="B19" s="18" t="s">
        <v>53</v>
      </c>
      <c r="C19" s="22">
        <f>'[89]S Opt'!$E$51</f>
        <v>7.662353514648379E-2</v>
      </c>
      <c r="D19" s="22">
        <f>'[90]S Opt'!$E$51</f>
        <v>1.9847499999999463E-2</v>
      </c>
      <c r="E19" s="22">
        <f>'[91]S Opt'!$E$51</f>
        <v>1.5877999999999726E-2</v>
      </c>
      <c r="F19" s="22">
        <f>'[92]S Opt'!$E$51</f>
        <v>6.3617599259925939E-2</v>
      </c>
      <c r="G19" s="22">
        <f>'[93]S Opt'!$E$51</f>
        <v>5.5573000000000095E-2</v>
      </c>
      <c r="H19" s="22">
        <f>'[94]S Opt'!$E$51</f>
        <v>2.9771249999999694E-2</v>
      </c>
      <c r="I19" s="22">
        <f>'[95]S Opt'!$E$51</f>
        <v>9.2390112500000177E-2</v>
      </c>
      <c r="J19" s="22">
        <f>'[96]S Opt'!$E$51</f>
        <v>1.9847500000000906E-2</v>
      </c>
      <c r="K19" s="22">
        <f>'[97]S Opt'!$E$51</f>
        <v>2.7786500000001824E-2</v>
      </c>
      <c r="L19" s="22">
        <f>'[98]S Opt'!$E$51</f>
        <v>2.3816999999998978E-2</v>
      </c>
      <c r="M19" s="22">
        <f>'[99]S Opt'!$E$51</f>
        <v>6.7422833546371463E-2</v>
      </c>
      <c r="N19" s="10"/>
    </row>
    <row r="20" spans="1:14" x14ac:dyDescent="0.15">
      <c r="A20" s="9"/>
      <c r="B20" s="18" t="s">
        <v>50</v>
      </c>
      <c r="C20" s="22">
        <f>[100]VFD!$E$51</f>
        <v>5.2741475852413178E-2</v>
      </c>
      <c r="D20" s="22">
        <f>[101]VFD!$E$51</f>
        <v>1.7849999999999366E-2</v>
      </c>
      <c r="E20" s="22">
        <f>[102]VFD!$E$51</f>
        <v>2.8559999999999253E-2</v>
      </c>
      <c r="F20" s="22">
        <f>[103]VFD!$E$51</f>
        <v>4.9449444944494436E-2</v>
      </c>
      <c r="G20" s="22">
        <f>[104]VFD!$E$51</f>
        <v>1.0710000000000108E-2</v>
      </c>
      <c r="H20" s="22">
        <f>[105]VFD!$E$51</f>
        <v>2.4989999999999291E-2</v>
      </c>
      <c r="I20" s="22">
        <f>[106]VFD!$E$51</f>
        <v>3.9609150000000315E-2</v>
      </c>
      <c r="J20" s="22">
        <f>[107]VFD!$E$51</f>
        <v>5.3550000000000098E-2</v>
      </c>
      <c r="K20" s="22">
        <f>[108]VFD!$E$51</f>
        <v>1.4280000000000959E-2</v>
      </c>
      <c r="L20" s="22">
        <f>[109]VFD!$E$51</f>
        <v>1.7849999999999033E-2</v>
      </c>
      <c r="M20" s="22">
        <f>[110]VFD!$E$51</f>
        <v>4.193341897943681E-2</v>
      </c>
      <c r="N20" s="10"/>
    </row>
    <row r="21" spans="1:14" hidden="1" x14ac:dyDescent="0.15">
      <c r="A21" s="9"/>
      <c r="B21" s="17" t="s">
        <v>12</v>
      </c>
      <c r="C21" s="22">
        <f>[111]HR!$E$51</f>
        <v>0</v>
      </c>
      <c r="D21" s="22">
        <f>[112]HR!$E$51</f>
        <v>0</v>
      </c>
      <c r="E21" s="22">
        <f>[113]HR!$E$51</f>
        <v>0</v>
      </c>
      <c r="F21" s="22">
        <f>[114]HR!$E$51</f>
        <v>0</v>
      </c>
      <c r="G21" s="22">
        <f>[115]HR!$E$51</f>
        <v>0</v>
      </c>
      <c r="H21" s="22">
        <f>[116]HR!$E$51</f>
        <v>0</v>
      </c>
      <c r="I21" s="22">
        <f>[117]HR!$E$51</f>
        <v>0</v>
      </c>
      <c r="J21" s="22">
        <f>[118]HR!$E$51</f>
        <v>0</v>
      </c>
      <c r="K21" s="22">
        <f>[119]HR!$E$51</f>
        <v>0</v>
      </c>
      <c r="L21" s="22">
        <f>[120]HR!$E$51</f>
        <v>0</v>
      </c>
      <c r="M21" s="22">
        <f>[120]HR!$E$51</f>
        <v>0</v>
      </c>
      <c r="N21" s="10"/>
    </row>
    <row r="22" spans="1:14" ht="13.5" customHeight="1" x14ac:dyDescent="0.15">
      <c r="A22" s="9"/>
      <c r="B22" s="17" t="s">
        <v>13</v>
      </c>
      <c r="C22" s="22">
        <f>[121]MHTYP!$E$51</f>
        <v>2.214324022143177E-2</v>
      </c>
      <c r="D22" s="22">
        <f>[122]MHTYP!$E$51</f>
        <v>0.24333333333333373</v>
      </c>
      <c r="E22" s="22">
        <f>[123]MHTYP!$E$51</f>
        <v>0.16186046511627861</v>
      </c>
      <c r="F22" s="22">
        <f>[124]MHTYP!$E$51</f>
        <v>7.7995678355714415E-2</v>
      </c>
      <c r="G22" s="22">
        <f>[125]MHTYP!$E$51</f>
        <v>5.8181818181818112E-2</v>
      </c>
      <c r="H22" s="22">
        <f>[126]MHTYP!$E$51</f>
        <v>0.26764705882352924</v>
      </c>
      <c r="I22" s="22">
        <f>[127]MHTYP!$E$51</f>
        <v>5.6053846153846454E-2</v>
      </c>
      <c r="J22" s="22">
        <f>[128]MHTYP!$E$51</f>
        <v>0.16500000000000004</v>
      </c>
      <c r="K22" s="22">
        <f>[129]MHTYP!$E$51</f>
        <v>0.24666666666666659</v>
      </c>
      <c r="L22" s="22">
        <f>[130]MHTYP!$E$51</f>
        <v>0.12333333333333241</v>
      </c>
      <c r="M22" s="22">
        <f>[131]MHTYP!$E$51</f>
        <v>7.9614515172352629E-2</v>
      </c>
      <c r="N22" s="10"/>
    </row>
    <row r="23" spans="1:14" hidden="1" x14ac:dyDescent="0.15">
      <c r="A23" s="9"/>
      <c r="B23" s="17" t="s">
        <v>45</v>
      </c>
      <c r="C23" s="22">
        <f>[132]AEB!$E$51</f>
        <v>0.30953616638336157</v>
      </c>
      <c r="D23" s="22">
        <f>[133]AEB!$E$51</f>
        <v>0.35942000000000052</v>
      </c>
      <c r="E23" s="22">
        <f>[134]AEB!$E$51</f>
        <v>0.36303600000000003</v>
      </c>
      <c r="F23" s="22">
        <f>[135]AEB!$E$51</f>
        <v>0.31552015201520178</v>
      </c>
      <c r="G23" s="22">
        <f>[136]AEB!$E$51</f>
        <v>0.37697599999999998</v>
      </c>
      <c r="H23" s="22">
        <f>[137]AEB!$E$51</f>
        <v>0.3545799999999999</v>
      </c>
      <c r="I23" s="22">
        <f>[138]AEB!$E$51</f>
        <v>0.31852659999999999</v>
      </c>
      <c r="J23" s="22">
        <f>[139]AEB!$E$51</f>
        <v>0.33191999999999999</v>
      </c>
      <c r="K23" s="22">
        <f>[140]AEB!$E$51</f>
        <v>0.37538800000000005</v>
      </c>
      <c r="L23" s="22">
        <f>[141]AEB!$E$51</f>
        <v>0.37260400000000005</v>
      </c>
      <c r="M23" s="22">
        <f>[141]AEB!$E$51</f>
        <v>0.37260400000000005</v>
      </c>
      <c r="N23" s="10"/>
    </row>
    <row r="24" spans="1:14" hidden="1" x14ac:dyDescent="0.15">
      <c r="A24" s="9"/>
      <c r="B24" s="17" t="s">
        <v>14</v>
      </c>
      <c r="C24" s="22">
        <f>[142]SM!$E$51</f>
        <v>0.19722027797220365</v>
      </c>
      <c r="D24" s="22">
        <f>[143]SM!$E$51</f>
        <v>0.19000000000000039</v>
      </c>
      <c r="E24" s="22">
        <f>[144]SM!$E$51</f>
        <v>0.19799999999999973</v>
      </c>
      <c r="F24" s="22">
        <f>[145]SM!$E$51</f>
        <v>0.19671967196719609</v>
      </c>
      <c r="G24" s="22">
        <f>[146]SM!$E$51</f>
        <v>0.19999999999999984</v>
      </c>
      <c r="H24" s="22">
        <f>[147]SM!$E$51</f>
        <v>0.19399999999999917</v>
      </c>
      <c r="I24" s="22">
        <f>[148]SM!$E$51</f>
        <v>0.19538</v>
      </c>
      <c r="J24" s="22">
        <f>[149]SM!$E$51</f>
        <v>0.19999999999999962</v>
      </c>
      <c r="K24" s="22">
        <f>[150]SM!$E$51</f>
        <v>0.19799999999999995</v>
      </c>
      <c r="L24" s="22">
        <f>[151]SM!$E$51</f>
        <v>0.19799999999999873</v>
      </c>
      <c r="M24" s="22">
        <f>[151]SM!$E$51</f>
        <v>0.19799999999999873</v>
      </c>
      <c r="N24" s="10"/>
    </row>
    <row r="25" spans="1:14" x14ac:dyDescent="0.15">
      <c r="A25" s="9"/>
      <c r="B25" s="17" t="s">
        <v>15</v>
      </c>
      <c r="C25" s="22">
        <f>[152]OVERALL2021!$E$51</f>
        <v>0.30630191980801935</v>
      </c>
      <c r="D25" s="22">
        <f>[153]OVERALL2021!$E$51</f>
        <v>0.29102000000000028</v>
      </c>
      <c r="E25" s="22">
        <f>[154]OVERALL2021!$E$51</f>
        <v>0.29175499999999976</v>
      </c>
      <c r="F25" s="22">
        <f>[155]OVERALL2021!$E$51</f>
        <v>0.29945549554955497</v>
      </c>
      <c r="G25" s="22">
        <f>[156]OVERALL2021!$E$51</f>
        <v>0.33391999999999999</v>
      </c>
      <c r="H25" s="22">
        <f>[157]OVERALL2021!$E$51</f>
        <v>0.29679499999999992</v>
      </c>
      <c r="I25" s="22">
        <f>[158]OVERALL2021!$E$51</f>
        <v>0.32478774999999993</v>
      </c>
      <c r="J25" s="22">
        <f>[159]OVERALL2021!$E$51</f>
        <v>0.27496000000000009</v>
      </c>
      <c r="K25" s="22">
        <f>[160]OVERALL2021!$E$51</f>
        <v>0.30965500000000012</v>
      </c>
      <c r="L25" s="22">
        <f>[161]OVERALL2021!$E$51</f>
        <v>0.30456499999999997</v>
      </c>
      <c r="M25" s="22">
        <f>[162]OVERALL2021!$E$51</f>
        <v>0.3071557559992234</v>
      </c>
      <c r="N25" s="10"/>
    </row>
    <row r="26" spans="1:14" x14ac:dyDescent="0.15">
      <c r="A26" s="9"/>
      <c r="B26" s="24" t="s">
        <v>32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0"/>
      <c r="N26" s="10"/>
    </row>
    <row r="27" spans="1:14" ht="18" customHeight="1" thickBot="1" x14ac:dyDescent="0.2">
      <c r="A27" s="11"/>
      <c r="B27" s="25" t="s">
        <v>34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12"/>
      <c r="N27" s="10"/>
    </row>
  </sheetData>
  <mergeCells count="4">
    <mergeCell ref="B11:L11"/>
    <mergeCell ref="B26:L26"/>
    <mergeCell ref="B27:L27"/>
    <mergeCell ref="B3:M3"/>
  </mergeCells>
  <phoneticPr fontId="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topLeftCell="T1" zoomScale="180" zoomScaleNormal="180" workbookViewId="0">
      <selection activeCell="X19" sqref="X19"/>
    </sheetView>
  </sheetViews>
  <sheetFormatPr defaultRowHeight="14.25" x14ac:dyDescent="0.15"/>
  <sheetData>
    <row r="2" spans="2:13" ht="15" thickBot="1" x14ac:dyDescent="0.2"/>
    <row r="3" spans="2:13" x14ac:dyDescent="0.15">
      <c r="B3" s="3"/>
      <c r="C3" s="4" t="str">
        <f>'Death Table'!C2</f>
        <v>Brunei</v>
      </c>
      <c r="D3" s="4" t="str">
        <f>'Death Table'!D2</f>
        <v>Cambodia</v>
      </c>
      <c r="E3" s="4" t="str">
        <f>'Death Table'!E2</f>
        <v>Indonesia</v>
      </c>
      <c r="F3" s="4" t="str">
        <f>'Death Table'!F2</f>
        <v>Laos</v>
      </c>
      <c r="G3" s="4" t="str">
        <f>'Death Table'!G2</f>
        <v>Malaysia</v>
      </c>
      <c r="H3" s="4" t="str">
        <f>'Death Table'!H2</f>
        <v>Myanmar</v>
      </c>
      <c r="I3" s="4" t="str">
        <f>'Death Table'!I2</f>
        <v>Philippines</v>
      </c>
      <c r="J3" s="4" t="str">
        <f>'Death Table'!J2</f>
        <v>Singapore</v>
      </c>
      <c r="K3" s="4" t="str">
        <f>'Death Table'!K2</f>
        <v>Thailand</v>
      </c>
      <c r="L3" s="5" t="str">
        <f>'Death Table'!L2</f>
        <v>Vietnam</v>
      </c>
      <c r="M3" t="str">
        <f>'Death Table'!M2</f>
        <v>ASEAN</v>
      </c>
    </row>
    <row r="4" spans="2:13" x14ac:dyDescent="0.15">
      <c r="B4" s="2" t="str">
        <f>'Death Table'!B12</f>
        <v>ABS</v>
      </c>
      <c r="C4" s="1">
        <f>'Death Table'!C12</f>
        <v>0.12775639304757558</v>
      </c>
      <c r="D4" s="1">
        <f>'Death Table'!D12</f>
        <v>0.2430739213296057</v>
      </c>
      <c r="E4" s="1">
        <f>'Death Table'!E12</f>
        <v>0.24237828134363582</v>
      </c>
      <c r="F4" s="1">
        <f>'Death Table'!F12</f>
        <v>0.14843089070294346</v>
      </c>
      <c r="G4" s="1">
        <f>'Death Table'!G12</f>
        <v>0.21325867187165404</v>
      </c>
      <c r="H4" s="1">
        <f>'Death Table'!H12</f>
        <v>0.2254896648471767</v>
      </c>
      <c r="I4" s="1">
        <f>'Death Table'!I12</f>
        <v>0.11775497655303158</v>
      </c>
      <c r="J4" s="1">
        <f>'Death Table'!J12</f>
        <v>0.21007710794813372</v>
      </c>
      <c r="K4" s="1">
        <f>'Death Table'!K12</f>
        <v>0.24261232303002644</v>
      </c>
      <c r="L4" s="1">
        <f>'Death Table'!L12</f>
        <v>0.2478890015894023</v>
      </c>
      <c r="M4">
        <f>'Death Table'!M12</f>
        <v>0.14921126236767679</v>
      </c>
    </row>
    <row r="5" spans="2:13" x14ac:dyDescent="0.15">
      <c r="B5" s="2" t="str">
        <f>'Death Table'!B13</f>
        <v>ESC</v>
      </c>
      <c r="C5" s="1">
        <f>'Death Table'!C13</f>
        <v>0.22438701702562203</v>
      </c>
      <c r="D5" s="1">
        <f>'Death Table'!D13</f>
        <v>0.30161628981013333</v>
      </c>
      <c r="E5" s="1">
        <f>'Death Table'!E13</f>
        <v>0.29798452925528163</v>
      </c>
      <c r="F5" s="1">
        <f>'Death Table'!F13</f>
        <v>0.23490875496279151</v>
      </c>
      <c r="G5" s="1">
        <f>'Death Table'!G13</f>
        <v>0.30121265609338266</v>
      </c>
      <c r="H5" s="1">
        <f>'Death Table'!H13</f>
        <v>0.2909928077511853</v>
      </c>
      <c r="I5" s="1">
        <f>'Death Table'!I13</f>
        <v>0.22639161283901954</v>
      </c>
      <c r="J5" s="1">
        <f>'Death Table'!J13</f>
        <v>0.25965735810287893</v>
      </c>
      <c r="K5" s="1">
        <f>'Death Table'!K13</f>
        <v>0.30957611221935322</v>
      </c>
      <c r="L5" s="1">
        <f>'Death Table'!L13</f>
        <v>0.31125527002253983</v>
      </c>
      <c r="M5">
        <f>'Death Table'!M13</f>
        <v>0.23236602642327375</v>
      </c>
    </row>
    <row r="6" spans="2:13" x14ac:dyDescent="0.15">
      <c r="B6" s="2" t="str">
        <f>'Death Table'!B14</f>
        <v>Seatbelt</v>
      </c>
      <c r="C6" s="1">
        <f>'Death Table'!C14</f>
        <v>8.9091090890909275E-2</v>
      </c>
      <c r="D6" s="1">
        <f>'Death Table'!D14</f>
        <v>4.5652173913043992E-2</v>
      </c>
      <c r="E6" s="1">
        <f>'Death Table'!E14</f>
        <v>1.8931297709923522E-2</v>
      </c>
      <c r="F6" s="1">
        <f>'Death Table'!F14</f>
        <v>0.11373718016962997</v>
      </c>
      <c r="G6" s="1">
        <f>'Death Table'!G14</f>
        <v>6.4615384615384519E-2</v>
      </c>
      <c r="H6" s="1">
        <f>'Death Table'!H14</f>
        <v>7.227979274611307E-2</v>
      </c>
      <c r="I6" s="1">
        <f>'Death Table'!I14</f>
        <v>7.7583333333333671E-2</v>
      </c>
      <c r="J6" s="1">
        <f>'Death Table'!J14</f>
        <v>3.3333333333332327E-2</v>
      </c>
      <c r="K6" s="1">
        <f>'Death Table'!K14</f>
        <v>4.140845070422694E-2</v>
      </c>
      <c r="L6" s="1">
        <f>'Death Table'!L14</f>
        <v>5.3333333333332122E-2</v>
      </c>
      <c r="M6">
        <f>'Death Table'!M14</f>
        <v>0.11323480462925062</v>
      </c>
    </row>
    <row r="7" spans="2:13" x14ac:dyDescent="0.15">
      <c r="B7" s="2" t="str">
        <f>'Death Table'!B15</f>
        <v>Airbag-front</v>
      </c>
      <c r="C7" s="1">
        <f>'Death Table'!C15</f>
        <v>6.3584311568841811E-2</v>
      </c>
      <c r="D7" s="1">
        <f>'Death Table'!D15</f>
        <v>1.6470000000000318E-2</v>
      </c>
      <c r="E7" s="1">
        <f>'Death Table'!E15</f>
        <v>1.3175999999999854E-2</v>
      </c>
      <c r="F7" s="1">
        <f>'Death Table'!F15</f>
        <v>5.2791629162916465E-2</v>
      </c>
      <c r="G7" s="1">
        <f>'Death Table'!G15</f>
        <v>4.6115999999999935E-2</v>
      </c>
      <c r="H7" s="1">
        <f>'Death Table'!H15</f>
        <v>2.4704999999999089E-2</v>
      </c>
      <c r="I7" s="1">
        <f>'Death Table'!I15</f>
        <v>7.6667850000000315E-2</v>
      </c>
      <c r="J7" s="1">
        <f>'Death Table'!J15</f>
        <v>1.6470000000001095E-2</v>
      </c>
      <c r="K7" s="1">
        <f>'Death Table'!K15</f>
        <v>2.3058000000001022E-2</v>
      </c>
      <c r="L7" s="1">
        <f>'Death Table'!L15</f>
        <v>1.9763999999999116E-2</v>
      </c>
      <c r="M7">
        <f>'Death Table'!M15</f>
        <v>4.3108994911523424E-2</v>
      </c>
    </row>
    <row r="8" spans="2:13" x14ac:dyDescent="0.15">
      <c r="B8" s="2" t="str">
        <f>'Death Table'!B16</f>
        <v>Airbag-side</v>
      </c>
      <c r="C8" s="1">
        <f>'Death Table'!C16</f>
        <v>3.5710678932105444E-2</v>
      </c>
      <c r="D8" s="1">
        <f>'Death Table'!D16</f>
        <v>9.2500000000000915E-3</v>
      </c>
      <c r="E8" s="1">
        <f>'Death Table'!E16</f>
        <v>7.3999999999998511E-3</v>
      </c>
      <c r="F8" s="1">
        <f>'Death Table'!F16</f>
        <v>2.9649214921491973E-2</v>
      </c>
      <c r="G8" s="1">
        <f>'Death Table'!G16</f>
        <v>2.5899999999999923E-2</v>
      </c>
      <c r="H8" s="1">
        <f>'Death Table'!H16</f>
        <v>1.3874999999998971E-2</v>
      </c>
      <c r="I8" s="1">
        <f>'Death Table'!I16</f>
        <v>4.3058750000000479E-2</v>
      </c>
      <c r="J8" s="1">
        <f>'Death Table'!J16</f>
        <v>9.2500000000019789E-3</v>
      </c>
      <c r="K8" s="1">
        <f>'Death Table'!K16</f>
        <v>1.2950000000000461E-2</v>
      </c>
      <c r="L8" s="1">
        <f>'Death Table'!L16</f>
        <v>1.1099999999999E-2</v>
      </c>
      <c r="M8">
        <f>'Death Table'!M16</f>
        <v>3.14226582846171E-2</v>
      </c>
    </row>
    <row r="9" spans="2:13" x14ac:dyDescent="0.15">
      <c r="B9" s="2" t="str">
        <f>'Death Table'!B17</f>
        <v>Side door beam</v>
      </c>
      <c r="C9" s="1">
        <f>'Death Table'!C17</f>
        <v>1.2064418558142775E-2</v>
      </c>
      <c r="D9" s="1">
        <f>'Death Table'!D17</f>
        <v>3.1249999999997113E-3</v>
      </c>
      <c r="E9" s="1">
        <f>'Death Table'!E17</f>
        <v>2.4999999999998357E-3</v>
      </c>
      <c r="F9" s="1">
        <f>'Death Table'!F17</f>
        <v>1.0016626662666117E-2</v>
      </c>
      <c r="G9" s="1">
        <f>'Death Table'!G17</f>
        <v>8.7499999999999245E-3</v>
      </c>
      <c r="H9" s="1">
        <f>'Death Table'!H17</f>
        <v>4.6874999999988454E-3</v>
      </c>
      <c r="I9" s="1">
        <f>'Death Table'!I17</f>
        <v>1.4546875000000403E-2</v>
      </c>
      <c r="J9" s="1">
        <f>'Death Table'!J17</f>
        <v>3.1250000000010436E-3</v>
      </c>
      <c r="K9" s="1">
        <f>'Death Table'!K17</f>
        <v>4.3750000000007949E-3</v>
      </c>
      <c r="L9" s="1">
        <f>'Death Table'!L17</f>
        <v>3.7499999999989209E-3</v>
      </c>
      <c r="M9">
        <f>'Death Table'!M17</f>
        <v>1.0615762933992023E-2</v>
      </c>
    </row>
    <row r="10" spans="2:13" x14ac:dyDescent="0.15">
      <c r="B10" s="2" t="str">
        <f>'Death Table'!B18</f>
        <v>Side padding</v>
      </c>
      <c r="C10" s="1">
        <f>'Death Table'!C18</f>
        <v>2.0268223177680733E-2</v>
      </c>
      <c r="D10" s="1">
        <f>'Death Table'!D18</f>
        <v>5.2499999999997549E-3</v>
      </c>
      <c r="E10" s="1">
        <f>'Death Table'!E18</f>
        <v>4.1999999999999815E-3</v>
      </c>
      <c r="F10" s="1">
        <f>'Death Table'!F18</f>
        <v>1.6827932793279099E-2</v>
      </c>
      <c r="G10" s="1">
        <f>'Death Table'!G18</f>
        <v>1.4700000000000157E-2</v>
      </c>
      <c r="H10" s="1">
        <f>'Death Table'!H18</f>
        <v>7.8749999999994102E-3</v>
      </c>
      <c r="I10" s="1">
        <f>'Death Table'!I18</f>
        <v>2.443874999999962E-2</v>
      </c>
      <c r="J10" s="1">
        <f>'Death Table'!J18</f>
        <v>5.2499999999989777E-3</v>
      </c>
      <c r="K10" s="1">
        <f>'Death Table'!K18</f>
        <v>7.3500000000010779E-3</v>
      </c>
      <c r="L10" s="1">
        <f>'Death Table'!L18</f>
        <v>6.2999999999993062E-3</v>
      </c>
      <c r="M10">
        <f>'Death Table'!M18</f>
        <v>1.7834481729106955E-2</v>
      </c>
    </row>
    <row r="11" spans="2:13" x14ac:dyDescent="0.15">
      <c r="B11" s="2" t="str">
        <f>'Death Table'!B19</f>
        <v>Side opt.</v>
      </c>
      <c r="C11" s="1">
        <f>'Death Table'!C19</f>
        <v>7.662353514648379E-2</v>
      </c>
      <c r="D11" s="1">
        <f>'Death Table'!D19</f>
        <v>1.9847499999999463E-2</v>
      </c>
      <c r="E11" s="1">
        <f>'Death Table'!E19</f>
        <v>1.5877999999999726E-2</v>
      </c>
      <c r="F11" s="1">
        <f>'Death Table'!F19</f>
        <v>6.3617599259925939E-2</v>
      </c>
      <c r="G11" s="1">
        <f>'Death Table'!G19</f>
        <v>5.5573000000000095E-2</v>
      </c>
      <c r="H11" s="1">
        <f>'Death Table'!H19</f>
        <v>2.9771249999999694E-2</v>
      </c>
      <c r="I11" s="1">
        <f>'Death Table'!I19</f>
        <v>9.2390112500000177E-2</v>
      </c>
      <c r="J11" s="1">
        <f>'Death Table'!J19</f>
        <v>1.9847500000000906E-2</v>
      </c>
      <c r="K11" s="1">
        <f>'Death Table'!K19</f>
        <v>2.7786500000001824E-2</v>
      </c>
      <c r="L11" s="1">
        <f>'Death Table'!L19</f>
        <v>2.3816999999998978E-2</v>
      </c>
      <c r="M11">
        <f>'Death Table'!M19</f>
        <v>6.7422833546371463E-2</v>
      </c>
    </row>
    <row r="12" spans="2:13" x14ac:dyDescent="0.15">
      <c r="B12" s="2" t="str">
        <f>'Death Table'!B20</f>
        <v>Pedestrian protection</v>
      </c>
      <c r="C12" s="1">
        <f>'Death Table'!C20</f>
        <v>5.2741475852413178E-2</v>
      </c>
      <c r="D12" s="1">
        <f>'Death Table'!D20</f>
        <v>1.7849999999999366E-2</v>
      </c>
      <c r="E12" s="1">
        <f>'Death Table'!E20</f>
        <v>2.8559999999999253E-2</v>
      </c>
      <c r="F12" s="1">
        <f>'Death Table'!F20</f>
        <v>4.9449444944494436E-2</v>
      </c>
      <c r="G12" s="1">
        <f>'Death Table'!G20</f>
        <v>1.0710000000000108E-2</v>
      </c>
      <c r="H12" s="1">
        <f>'Death Table'!H20</f>
        <v>2.4989999999999291E-2</v>
      </c>
      <c r="I12" s="1">
        <f>'Death Table'!I20</f>
        <v>3.9609150000000315E-2</v>
      </c>
      <c r="J12" s="1">
        <f>'Death Table'!J20</f>
        <v>5.3550000000000098E-2</v>
      </c>
      <c r="K12" s="1">
        <f>'Death Table'!K20</f>
        <v>1.4280000000000959E-2</v>
      </c>
      <c r="L12" s="1">
        <f>'Death Table'!L20</f>
        <v>1.7849999999999033E-2</v>
      </c>
      <c r="M12">
        <f>'Death Table'!M20</f>
        <v>4.193341897943681E-2</v>
      </c>
    </row>
    <row r="13" spans="2:13" x14ac:dyDescent="0.15">
      <c r="B13" s="2" t="str">
        <f>'Death Table'!B21</f>
        <v>Head restrains</v>
      </c>
      <c r="C13" s="1">
        <f>'Death Table'!C21</f>
        <v>0</v>
      </c>
      <c r="D13" s="1">
        <f>'Death Table'!D21</f>
        <v>0</v>
      </c>
      <c r="E13" s="1">
        <f>'Death Table'!E21</f>
        <v>0</v>
      </c>
      <c r="F13" s="1">
        <f>'Death Table'!F21</f>
        <v>0</v>
      </c>
      <c r="G13" s="1">
        <f>'Death Table'!G21</f>
        <v>0</v>
      </c>
      <c r="H13" s="1">
        <f>'Death Table'!H21</f>
        <v>0</v>
      </c>
      <c r="I13" s="1">
        <f>'Death Table'!I21</f>
        <v>0</v>
      </c>
      <c r="J13" s="1">
        <f>'Death Table'!J21</f>
        <v>0</v>
      </c>
      <c r="K13" s="1">
        <f>'Death Table'!K21</f>
        <v>0</v>
      </c>
      <c r="L13" s="1">
        <f>'Death Table'!L21</f>
        <v>0</v>
      </c>
      <c r="M13">
        <f>'Death Table'!M21</f>
        <v>0</v>
      </c>
    </row>
    <row r="14" spans="2:13" x14ac:dyDescent="0.15">
      <c r="B14" s="2" t="str">
        <f>'Death Table'!B22</f>
        <v>Motorcycle helmet</v>
      </c>
      <c r="C14" s="1">
        <f>'Death Table'!C22</f>
        <v>2.214324022143177E-2</v>
      </c>
      <c r="D14" s="1">
        <f>'Death Table'!D22</f>
        <v>0.24333333333333373</v>
      </c>
      <c r="E14" s="1">
        <f>'Death Table'!E22</f>
        <v>0.16186046511627861</v>
      </c>
      <c r="F14" s="1">
        <f>'Death Table'!F22</f>
        <v>7.7995678355714415E-2</v>
      </c>
      <c r="G14" s="1">
        <f>'Death Table'!G22</f>
        <v>5.8181818181818112E-2</v>
      </c>
      <c r="H14" s="1">
        <f>'Death Table'!H22</f>
        <v>0.26764705882352924</v>
      </c>
      <c r="I14" s="1">
        <f>'Death Table'!I22</f>
        <v>5.6053846153846454E-2</v>
      </c>
      <c r="J14" s="1">
        <f>'Death Table'!J22</f>
        <v>0.16500000000000004</v>
      </c>
      <c r="K14" s="1">
        <f>'Death Table'!K22</f>
        <v>0.24666666666666659</v>
      </c>
      <c r="L14" s="1">
        <f>'Death Table'!L22</f>
        <v>0.12333333333333241</v>
      </c>
      <c r="M14">
        <f>'Death Table'!M22</f>
        <v>7.9614515172352629E-2</v>
      </c>
    </row>
    <row r="15" spans="2:13" x14ac:dyDescent="0.15">
      <c r="B15" s="2" t="str">
        <f>'Death Table'!B23</f>
        <v>AEB</v>
      </c>
      <c r="C15" s="1">
        <f>'Death Table'!C23</f>
        <v>0.30953616638336157</v>
      </c>
      <c r="D15" s="1">
        <f>'Death Table'!D23</f>
        <v>0.35942000000000052</v>
      </c>
      <c r="E15" s="1">
        <f>'Death Table'!E23</f>
        <v>0.36303600000000003</v>
      </c>
      <c r="F15" s="1">
        <f>'Death Table'!F23</f>
        <v>0.31552015201520178</v>
      </c>
      <c r="G15" s="1">
        <f>'Death Table'!G23</f>
        <v>0.37697599999999998</v>
      </c>
      <c r="H15" s="1">
        <f>'Death Table'!H23</f>
        <v>0.3545799999999999</v>
      </c>
      <c r="I15" s="1">
        <f>'Death Table'!I23</f>
        <v>0.31852659999999999</v>
      </c>
      <c r="J15" s="1">
        <f>'Death Table'!J23</f>
        <v>0.33191999999999999</v>
      </c>
      <c r="K15" s="1">
        <f>'Death Table'!K23</f>
        <v>0.37538800000000005</v>
      </c>
      <c r="L15" s="1">
        <f>'Death Table'!L23</f>
        <v>0.37260400000000005</v>
      </c>
      <c r="M15">
        <f>'Death Table'!M23</f>
        <v>0.37260400000000005</v>
      </c>
    </row>
    <row r="16" spans="2:13" x14ac:dyDescent="0.15">
      <c r="B16" s="2" t="str">
        <f>'Death Table'!B24</f>
        <v>Speed management</v>
      </c>
      <c r="C16" s="1">
        <f>'Death Table'!C24</f>
        <v>0.19722027797220365</v>
      </c>
      <c r="D16" s="1">
        <f>'Death Table'!D24</f>
        <v>0.19000000000000039</v>
      </c>
      <c r="E16" s="1">
        <f>'Death Table'!E24</f>
        <v>0.19799999999999973</v>
      </c>
      <c r="F16" s="1">
        <f>'Death Table'!F24</f>
        <v>0.19671967196719609</v>
      </c>
      <c r="G16" s="1">
        <f>'Death Table'!G24</f>
        <v>0.19999999999999984</v>
      </c>
      <c r="H16" s="1">
        <f>'Death Table'!H24</f>
        <v>0.19399999999999917</v>
      </c>
      <c r="I16" s="1">
        <f>'Death Table'!I24</f>
        <v>0.19538</v>
      </c>
      <c r="J16" s="1">
        <f>'Death Table'!J24</f>
        <v>0.19999999999999962</v>
      </c>
      <c r="K16" s="1">
        <f>'Death Table'!K24</f>
        <v>0.19799999999999995</v>
      </c>
      <c r="L16" s="1">
        <f>'Death Table'!L24</f>
        <v>0.19799999999999873</v>
      </c>
      <c r="M16">
        <f>'Death Table'!M24</f>
        <v>0.19799999999999873</v>
      </c>
    </row>
    <row r="17" spans="2:13" ht="15" thickBot="1" x14ac:dyDescent="0.2">
      <c r="B17" s="6" t="str">
        <f>'Death Table'!B25</f>
        <v>Overall</v>
      </c>
      <c r="C17" s="1">
        <f>'Death Table'!C25</f>
        <v>0.30630191980801935</v>
      </c>
      <c r="D17" s="1">
        <f>'Death Table'!D25</f>
        <v>0.29102000000000028</v>
      </c>
      <c r="E17" s="1">
        <f>'Death Table'!E25</f>
        <v>0.29175499999999976</v>
      </c>
      <c r="F17" s="1">
        <f>'Death Table'!F25</f>
        <v>0.29945549554955497</v>
      </c>
      <c r="G17" s="1">
        <f>'Death Table'!G25</f>
        <v>0.33391999999999999</v>
      </c>
      <c r="H17" s="1">
        <f>'Death Table'!H25</f>
        <v>0.29679499999999992</v>
      </c>
      <c r="I17" s="1">
        <f>'Death Table'!I25</f>
        <v>0.32478774999999993</v>
      </c>
      <c r="J17" s="1">
        <f>'Death Table'!J25</f>
        <v>0.27496000000000009</v>
      </c>
      <c r="K17" s="1">
        <f>'Death Table'!K25</f>
        <v>0.30965500000000012</v>
      </c>
      <c r="L17" s="1">
        <f>'Death Table'!L25</f>
        <v>0.30456499999999997</v>
      </c>
      <c r="M17">
        <f>'Death Table'!M25</f>
        <v>0.3071557559992234</v>
      </c>
    </row>
  </sheetData>
  <phoneticPr fontId="6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2" sqref="B12"/>
    </sheetView>
  </sheetViews>
  <sheetFormatPr defaultRowHeight="14.25" x14ac:dyDescent="0.15"/>
  <cols>
    <col min="1" max="1" width="1.75" customWidth="1"/>
    <col min="2" max="2" width="20.625" customWidth="1"/>
    <col min="3" max="3" width="7.25" customWidth="1"/>
    <col min="4" max="4" width="10.125" customWidth="1"/>
    <col min="5" max="5" width="9.75" customWidth="1"/>
    <col min="6" max="6" width="7.75" customWidth="1"/>
    <col min="7" max="7" width="9.5" customWidth="1"/>
    <col min="8" max="8" width="10" customWidth="1"/>
    <col min="9" max="9" width="10.75" customWidth="1"/>
    <col min="10" max="10" width="10.5" customWidth="1"/>
    <col min="11" max="11" width="8.75" customWidth="1"/>
    <col min="12" max="12" width="8.875" customWidth="1"/>
    <col min="13" max="13" width="12" customWidth="1"/>
  </cols>
  <sheetData>
    <row r="1" spans="1:13" ht="37.5" customHeight="1" thickBot="1" x14ac:dyDescent="0.2"/>
    <row r="2" spans="1:13" x14ac:dyDescent="0.15">
      <c r="A2" s="8"/>
      <c r="B2" s="13"/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46</v>
      </c>
    </row>
    <row r="3" spans="1:13" x14ac:dyDescent="0.15">
      <c r="A3" s="9"/>
      <c r="B3" s="23" t="s">
        <v>38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10"/>
    </row>
    <row r="4" spans="1:13" x14ac:dyDescent="0.15">
      <c r="A4" s="9"/>
      <c r="B4" s="14" t="s">
        <v>1</v>
      </c>
      <c r="C4" s="16">
        <f>'[1]RESULTS-DALYs'!P6</f>
        <v>815.48696479007344</v>
      </c>
      <c r="D4" s="16">
        <f>'[2]RESULTS-DALYs'!P6</f>
        <v>16234.051701802013</v>
      </c>
      <c r="E4" s="16">
        <f>'[3]RESULTS-DALYs'!P6</f>
        <v>348577.90804149391</v>
      </c>
      <c r="F4" s="16">
        <f>'[4]RESULTS-DALYs'!P6</f>
        <v>15683.948274379683</v>
      </c>
      <c r="G4" s="16">
        <f>'[5]RESULTS-DALYs'!P6</f>
        <v>23295.974038158976</v>
      </c>
      <c r="H4" s="16">
        <f>'[6]RESULTS-DALYs'!P6</f>
        <v>45354.341176418893</v>
      </c>
      <c r="I4" s="16">
        <f>'[7]RESULTS-DALYs'!P6</f>
        <v>130710.94703609226</v>
      </c>
      <c r="J4" s="16">
        <f>'[8]RESULTS-DALYs'!P6</f>
        <v>1966.5466921239849</v>
      </c>
      <c r="K4" s="16">
        <f>'[9]RESULTS-DALYs'!P6</f>
        <v>81704.940761974256</v>
      </c>
      <c r="L4" s="16">
        <f>'[10]RESULTS-DALYs'!P6</f>
        <v>124395.87161524963</v>
      </c>
      <c r="M4" s="16">
        <f>'[11]RESULTS-DALYs'!P6</f>
        <v>1275614.1745946172</v>
      </c>
    </row>
    <row r="5" spans="1:13" x14ac:dyDescent="0.15">
      <c r="A5" s="9"/>
      <c r="B5" s="14" t="s">
        <v>2</v>
      </c>
      <c r="C5" s="16">
        <f>'[1]RESULTS-DALYs'!P7</f>
        <v>195.23506563163758</v>
      </c>
      <c r="D5" s="16">
        <f>'[2]RESULTS-DALYs'!P7</f>
        <v>4381.4355625336284</v>
      </c>
      <c r="E5" s="16">
        <f>'[3]RESULTS-DALYs'!P7</f>
        <v>317815.73641023354</v>
      </c>
      <c r="F5" s="16">
        <f>'[4]RESULTS-DALYs'!P7</f>
        <v>4183.4885515821888</v>
      </c>
      <c r="G5" s="16">
        <f>'[5]RESULTS-DALYs'!P7</f>
        <v>8022.7271072852445</v>
      </c>
      <c r="H5" s="16">
        <f>'[6]RESULTS-DALYs'!P7</f>
        <v>12697.958403909304</v>
      </c>
      <c r="I5" s="16">
        <f>'[7]RESULTS-DALYs'!P7</f>
        <v>33169.908240791599</v>
      </c>
      <c r="J5" s="16">
        <f>'[8]RESULTS-DALYs'!P7</f>
        <v>2209.9069458820909</v>
      </c>
      <c r="K5" s="16">
        <f>'[9]RESULTS-DALYs'!P7</f>
        <v>32304.793759351665</v>
      </c>
      <c r="L5" s="16">
        <f>'[10]RESULTS-DALYs'!P7</f>
        <v>44615.583539254752</v>
      </c>
      <c r="M5" s="16">
        <f>'[11]RESULTS-DALYs'!P7</f>
        <v>919557.54090740951</v>
      </c>
    </row>
    <row r="6" spans="1:13" x14ac:dyDescent="0.15">
      <c r="A6" s="9"/>
      <c r="B6" s="15" t="s">
        <v>37</v>
      </c>
      <c r="C6" s="16">
        <f>'[1]RESULTS-DALYs'!P8</f>
        <v>1618.1193054881173</v>
      </c>
      <c r="D6" s="16">
        <f>'[2]RESULTS-DALYs'!P8</f>
        <v>152321.79840221966</v>
      </c>
      <c r="E6" s="16">
        <f>'[3]RESULTS-DALYs'!P8</f>
        <v>1841203.9667874419</v>
      </c>
      <c r="F6" s="16">
        <f>'[4]RESULTS-DALYs'!P8</f>
        <v>38266.654708691043</v>
      </c>
      <c r="G6" s="16">
        <f>'[5]RESULTS-DALYs'!P8</f>
        <v>404529.68763653294</v>
      </c>
      <c r="H6" s="16">
        <f>'[6]RESULTS-DALYs'!P8</f>
        <v>307706.05875464407</v>
      </c>
      <c r="I6" s="16">
        <f>'[7]RESULTS-DALYs'!P8</f>
        <v>348739.32468544965</v>
      </c>
      <c r="J6" s="16">
        <f>'[8]RESULTS-DALYs'!P8</f>
        <v>9335.4674811192635</v>
      </c>
      <c r="K6" s="16">
        <f>'[9]RESULTS-DALYs'!P8</f>
        <v>864834.89196689206</v>
      </c>
      <c r="L6" s="16">
        <f>'[10]RESULTS-DALYs'!P8</f>
        <v>1221993.5715514701</v>
      </c>
      <c r="M6" s="16">
        <f>'[11]RESULTS-DALYs'!P8</f>
        <v>2980022.0488591879</v>
      </c>
    </row>
    <row r="7" spans="1:13" ht="17.45" customHeight="1" x14ac:dyDescent="0.15">
      <c r="A7" s="9"/>
      <c r="B7" s="15" t="s">
        <v>16</v>
      </c>
      <c r="C7" s="16">
        <f>'[1]RESULTS-DALYs'!P9</f>
        <v>11.270507185306355</v>
      </c>
      <c r="D7" s="16">
        <f>'[2]RESULTS-DALYs'!P9</f>
        <v>0</v>
      </c>
      <c r="E7" s="16">
        <f>'[3]RESULTS-DALYs'!P9</f>
        <v>0</v>
      </c>
      <c r="F7" s="16">
        <f>'[4]RESULTS-DALYs'!P9</f>
        <v>0</v>
      </c>
      <c r="G7" s="16">
        <f>'[5]RESULTS-DALYs'!P9</f>
        <v>0</v>
      </c>
      <c r="H7" s="16">
        <f>'[6]RESULTS-DALYs'!P9</f>
        <v>0</v>
      </c>
      <c r="I7" s="16">
        <f>'[7]RESULTS-DALYs'!P9</f>
        <v>0</v>
      </c>
      <c r="J7" s="16">
        <f>'[8]RESULTS-DALYs'!P9</f>
        <v>0</v>
      </c>
      <c r="K7" s="16">
        <f>'[9]RESULTS-DALYs'!P9</f>
        <v>0</v>
      </c>
      <c r="L7" s="16">
        <f>'[10]RESULTS-DALYs'!P9</f>
        <v>0</v>
      </c>
      <c r="M7" s="16">
        <f>'[11]RESULTS-DALYs'!P9</f>
        <v>0</v>
      </c>
    </row>
    <row r="8" spans="1:13" x14ac:dyDescent="0.15">
      <c r="A8" s="9"/>
      <c r="B8" s="14" t="s">
        <v>3</v>
      </c>
      <c r="C8" s="16">
        <f>'[1]RESULTS-DALYs'!P10</f>
        <v>1578.7276720610232</v>
      </c>
      <c r="D8" s="16">
        <f>'[2]RESULTS-DALYs'!P10</f>
        <v>32580.622507117547</v>
      </c>
      <c r="E8" s="16">
        <f>'[3]RESULTS-DALYs'!P10</f>
        <v>361634.78927316802</v>
      </c>
      <c r="F8" s="16">
        <f>'[4]RESULTS-DALYs'!P10</f>
        <v>27026.25452342736</v>
      </c>
      <c r="G8" s="16">
        <f>'[5]RESULTS-DALYs'!P10</f>
        <v>151776.91024308774</v>
      </c>
      <c r="H8" s="16">
        <f>'[6]RESULTS-DALYs'!P10</f>
        <v>93501.645074768763</v>
      </c>
      <c r="I8" s="16">
        <f>'[7]RESULTS-DALYs'!P10</f>
        <v>356323.43081083463</v>
      </c>
      <c r="J8" s="16">
        <f>'[8]RESULTS-DALYs'!P10</f>
        <v>3322.5281538921654</v>
      </c>
      <c r="K8" s="16">
        <f>'[9]RESULTS-DALYs'!P10</f>
        <v>216182.72982113605</v>
      </c>
      <c r="L8" s="16">
        <f>'[10]RESULTS-DALYs'!P10</f>
        <v>300256.16139611031</v>
      </c>
      <c r="M8" s="16">
        <f>'[11]RESULTS-DALYs'!P10</f>
        <v>2378474.0890189903</v>
      </c>
    </row>
    <row r="9" spans="1:13" x14ac:dyDescent="0.15">
      <c r="A9" s="9"/>
      <c r="B9" s="14" t="s">
        <v>4</v>
      </c>
      <c r="C9" s="16">
        <f>'[1]RESULTS-DALYs'!P11</f>
        <v>37.296846942828203</v>
      </c>
      <c r="D9" s="16">
        <f>'[2]RESULTS-DALYs'!P11</f>
        <v>6597.3719836956516</v>
      </c>
      <c r="E9" s="16">
        <f>'[3]RESULTS-DALYs'!P11</f>
        <v>53478.780897060322</v>
      </c>
      <c r="F9" s="16">
        <f>'[4]RESULTS-DALYs'!P11</f>
        <v>855.85033213972781</v>
      </c>
      <c r="G9" s="16">
        <f>'[5]RESULTS-DALYs'!P11</f>
        <v>0</v>
      </c>
      <c r="H9" s="16">
        <f>'[6]RESULTS-DALYs'!P11</f>
        <v>7915.2200668945943</v>
      </c>
      <c r="I9" s="16">
        <f>'[7]RESULTS-DALYs'!P11</f>
        <v>12177.845731321317</v>
      </c>
      <c r="J9" s="16">
        <f>'[8]RESULTS-DALYs'!P11</f>
        <v>112.70275909869882</v>
      </c>
      <c r="K9" s="16">
        <f>'[9]RESULTS-DALYs'!P11</f>
        <v>8588.2132625757058</v>
      </c>
      <c r="L9" s="16">
        <f>'[10]RESULTS-DALYs'!P11</f>
        <v>9477.2133893564333</v>
      </c>
      <c r="M9" s="16">
        <f>'[11]RESULTS-DALYs'!P11</f>
        <v>172299.26268075255</v>
      </c>
    </row>
    <row r="10" spans="1:13" x14ac:dyDescent="0.15">
      <c r="A10" s="9"/>
      <c r="B10" s="14" t="s">
        <v>5</v>
      </c>
      <c r="C10" s="16">
        <f t="shared" ref="C10:L10" si="0">SUM(C4:C9)</f>
        <v>4256.136362098986</v>
      </c>
      <c r="D10" s="16">
        <f t="shared" si="0"/>
        <v>212115.28015736851</v>
      </c>
      <c r="E10" s="16">
        <f t="shared" si="0"/>
        <v>2922711.1814093976</v>
      </c>
      <c r="F10" s="16">
        <f t="shared" si="0"/>
        <v>86016.196390220008</v>
      </c>
      <c r="G10" s="16">
        <f t="shared" si="0"/>
        <v>587625.29902506492</v>
      </c>
      <c r="H10" s="16">
        <f t="shared" si="0"/>
        <v>467175.22347663564</v>
      </c>
      <c r="I10" s="16">
        <f t="shared" si="0"/>
        <v>881121.45650448953</v>
      </c>
      <c r="J10" s="16">
        <f t="shared" si="0"/>
        <v>16947.152032116202</v>
      </c>
      <c r="K10" s="16">
        <f t="shared" si="0"/>
        <v>1203615.5695719298</v>
      </c>
      <c r="L10" s="16">
        <f t="shared" si="0"/>
        <v>1700738.4014914411</v>
      </c>
      <c r="M10" s="16">
        <f>SUM(M4:M9)</f>
        <v>7725967.1160609564</v>
      </c>
    </row>
    <row r="11" spans="1:13" x14ac:dyDescent="0.15">
      <c r="A11" s="9"/>
      <c r="B11" s="23" t="s">
        <v>55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0"/>
    </row>
    <row r="12" spans="1:13" x14ac:dyDescent="0.15">
      <c r="A12" s="9"/>
      <c r="B12" s="17" t="s">
        <v>0</v>
      </c>
      <c r="C12" s="22">
        <f>1-([12]ABSDALYs!$H$293/C10)</f>
        <v>0.14429125280367006</v>
      </c>
      <c r="D12" s="22">
        <f>1-([13]ABSDALYs!$H$293/D10)</f>
        <v>0.22835720681752636</v>
      </c>
      <c r="E12" s="22">
        <f>1-([14]ABSDALYs!$H$293/E10)</f>
        <v>0.19685433321062096</v>
      </c>
      <c r="F12" s="22">
        <f>1-([15]ABSDALYs!$H$293/F10)</f>
        <v>0.16101934494607439</v>
      </c>
      <c r="G12" s="22">
        <f>1-([16]ABSDALYs!$H$293/G10)</f>
        <v>0.21688825753208429</v>
      </c>
      <c r="H12" s="22">
        <f>1-([17]ABSDALYs!$H$293/H10)</f>
        <v>0.21167617776663494</v>
      </c>
      <c r="I12" s="22">
        <f>1-([18]ABSDALYs!$H$293/I10)</f>
        <v>0.14128358535408991</v>
      </c>
      <c r="J12" s="22">
        <f>1-([19]ABSDALYs!$H$293/J10)</f>
        <v>0.16653922799722676</v>
      </c>
      <c r="K12" s="22">
        <f>1-([20]ABSDALYs!$H$293/K10)</f>
        <v>0.22810516220198496</v>
      </c>
      <c r="L12" s="22">
        <f>1-([21]ABSDALYs!$H$293/L10)</f>
        <v>0.22733484216023192</v>
      </c>
      <c r="M12" s="22">
        <f>1-([22]ABSDALYs!$H$293/M10)</f>
        <v>0.13438671251133727</v>
      </c>
    </row>
    <row r="13" spans="1:13" x14ac:dyDescent="0.15">
      <c r="A13" s="9"/>
      <c r="B13" s="17" t="s">
        <v>44</v>
      </c>
      <c r="C13" s="22">
        <f>1-([23]ESCDALYs!$H$293/C10)</f>
        <v>0.23984702178978656</v>
      </c>
      <c r="D13" s="22">
        <f>1-([24]ESCDALYs!$H$293/D10)</f>
        <v>0.29433126675401688</v>
      </c>
      <c r="E13" s="22">
        <f>1-([25]ESCDALYs!$H$293/E10)</f>
        <v>0.2505887203308913</v>
      </c>
      <c r="F13" s="22">
        <f>1-([26]ESCDALYs!$H$293/F10)</f>
        <v>0.24751775433778778</v>
      </c>
      <c r="G13" s="22">
        <f>1-([27]ESCDALYs!$H$293/G10)</f>
        <v>0.29949568708221186</v>
      </c>
      <c r="H13" s="22">
        <f>1-([28]ESCDALYs!$H$293/H10)</f>
        <v>0.28389634581657763</v>
      </c>
      <c r="I13" s="22">
        <f>1-([29]ESCDALYs!$H$293/I10)</f>
        <v>0.24053585998496907</v>
      </c>
      <c r="J13" s="22">
        <f>1-([30]ESCDALYs!$H$293/J10)</f>
        <v>0.22906452024860224</v>
      </c>
      <c r="K13" s="22">
        <f>1-([31]ESCDALYs!$H$293/K10)</f>
        <v>0.29819247430643425</v>
      </c>
      <c r="L13" s="22">
        <f>1-([32]ESCDALYs!$H$293/L10)</f>
        <v>0.29757740629426987</v>
      </c>
      <c r="M13" s="22">
        <f>1-([33]ESCDALYs!$H$293/M10)</f>
        <v>0.21085259143675728</v>
      </c>
    </row>
    <row r="14" spans="1:13" x14ac:dyDescent="0.15">
      <c r="A14" s="9"/>
      <c r="B14" s="17" t="s">
        <v>6</v>
      </c>
      <c r="C14" s="22">
        <f>1-([34]SBDALYs!$H$293/C10)</f>
        <v>8.5599177159809581E-2</v>
      </c>
      <c r="D14" s="22">
        <f>1-([35]SBDALYs!$H$293/D10)</f>
        <v>7.0121126765910757E-2</v>
      </c>
      <c r="E14" s="22">
        <f>1-([36]SBDALYs!$H$293/E10)</f>
        <v>2.9280244578830161E-2</v>
      </c>
      <c r="F14" s="22">
        <f>1-([37]SBDALYs!$H$293/F10)</f>
        <v>0.11149018074457528</v>
      </c>
      <c r="G14" s="22">
        <f>1-([38]SBDALYs!$H$293/G10)</f>
        <v>5.960505935234417E-2</v>
      </c>
      <c r="H14" s="22">
        <f>1-([39]SBDALYs!$H$293/H10)</f>
        <v>9.644175158564039E-2</v>
      </c>
      <c r="I14" s="22">
        <f>1-([40]SBDALYs!$H$293/I10)</f>
        <v>6.739960538932821E-2</v>
      </c>
      <c r="J14" s="22">
        <f>1-([41]SBDALYs!$H$293/J10)</f>
        <v>6.5350767051118863E-2</v>
      </c>
      <c r="K14" s="22">
        <f>1-([42]SBDALYs!$H$293/K10)</f>
        <v>5.3124413150377636E-2</v>
      </c>
      <c r="L14" s="22">
        <f>1-([43]SBDALYs!$H$293/L10)</f>
        <v>7.8464261597016249E-2</v>
      </c>
      <c r="M14" s="22">
        <f>1-([44]SBDALYs!$H$293/M10)</f>
        <v>0.10261818157257141</v>
      </c>
    </row>
    <row r="15" spans="1:13" x14ac:dyDescent="0.15">
      <c r="A15" s="9"/>
      <c r="B15" s="17" t="s">
        <v>7</v>
      </c>
      <c r="C15" s="22">
        <f>1-('[45]AirBFDALYs '!$H$293/C10)</f>
        <v>5.1389562827050872E-2</v>
      </c>
      <c r="D15" s="22">
        <f>1-('[46]AirBFDALYs '!$H$293/D10)</f>
        <v>1.7551503015716174E-2</v>
      </c>
      <c r="E15" s="22">
        <f>1-('[47]AirBFDALYs '!$H$293/E10)</f>
        <v>1.3607591069811797E-2</v>
      </c>
      <c r="F15" s="22">
        <f>1-('[48]AirBFDALYs '!$H$293/F10)</f>
        <v>4.1978523485042385E-2</v>
      </c>
      <c r="G15" s="22">
        <f>1-('[49]AirBFDALYs '!$H$293/G10)</f>
        <v>3.4001368430375822E-2</v>
      </c>
      <c r="H15" s="22">
        <f>1-('[50]AirBFDALYs '!$H$293/H10)</f>
        <v>2.3168641069749141E-2</v>
      </c>
      <c r="I15" s="22">
        <f>1-('[51]AirBFDALYs '!$H$293/I10)</f>
        <v>5.605622504483887E-2</v>
      </c>
      <c r="J15" s="22">
        <f>1-('[52]AirBFDALYs '!$H$293/J10)</f>
        <v>1.8558092433509921E-2</v>
      </c>
      <c r="K15" s="22">
        <f>1-('[53]AirBFDALYs '!$H$293/K10)</f>
        <v>2.2620973979684322E-2</v>
      </c>
      <c r="L15" s="22">
        <f>1-('[54]AirBFDALYs '!$H$293/L10)</f>
        <v>1.9784363389949267E-2</v>
      </c>
      <c r="M15" s="22">
        <f>1-('[55]AirBFDALYs '!$H$293/M10)</f>
        <v>3.2847420975577246E-2</v>
      </c>
    </row>
    <row r="16" spans="1:13" x14ac:dyDescent="0.15">
      <c r="A16" s="9"/>
      <c r="B16" s="17" t="s">
        <v>8</v>
      </c>
      <c r="C16" s="22">
        <f>1-([56]AirBSDALYs!$H$293/C10)</f>
        <v>3.7872300267135173E-2</v>
      </c>
      <c r="D16" s="22">
        <f>1-([57]AirBSDALYs!$H$293/D10)</f>
        <v>1.7051092014419122E-2</v>
      </c>
      <c r="E16" s="22">
        <f>1-([58]AirBSDALYs!$H$293/E10)</f>
        <v>1.3930607869200529E-2</v>
      </c>
      <c r="F16" s="22">
        <f>1-([59]AirBSDALYs!$H$293/F10)</f>
        <v>3.2649565083209264E-2</v>
      </c>
      <c r="G16" s="22">
        <f>1-([60]AirBSDALYs!$H$293/G10)</f>
        <v>2.702581962489603E-2</v>
      </c>
      <c r="H16" s="22">
        <f>1-([61]AirBSDALYs!$H$293/H10)</f>
        <v>2.2108350424415502E-2</v>
      </c>
      <c r="I16" s="22">
        <f>1-([62]AirBSDALYs!$H$293/I10)</f>
        <v>4.1278413971451822E-2</v>
      </c>
      <c r="J16" s="22">
        <f>1-([63]AirBSDALYs!$H$293/J10)</f>
        <v>2.3175021633470183E-2</v>
      </c>
      <c r="K16" s="22">
        <f>1-([64]AirBSDALYs!$H$293/K10)</f>
        <v>1.9169031407348158E-2</v>
      </c>
      <c r="L16" s="22">
        <f>1-([65]AirBSDALYs!$H$293/L10)</f>
        <v>1.974116751227295E-2</v>
      </c>
      <c r="M16" s="22">
        <f>1-([66]AirBSDALYs!$H$293/M10)</f>
        <v>3.1414187202483346E-2</v>
      </c>
    </row>
    <row r="17" spans="1:13" x14ac:dyDescent="0.15">
      <c r="A17" s="9"/>
      <c r="B17" s="17" t="s">
        <v>9</v>
      </c>
      <c r="C17" s="22">
        <f>1-([67]SDBDALYs!$H$293/C10)</f>
        <v>1.2794696036193764E-2</v>
      </c>
      <c r="D17" s="22">
        <f>1-([68]SDBDALYs!$H$293/D10)</f>
        <v>5.7605040589258083E-3</v>
      </c>
      <c r="E17" s="22">
        <f>1-([69]SDBDALYs!$H$293/E10)</f>
        <v>4.7062864422975359E-3</v>
      </c>
      <c r="F17" s="22">
        <f>1-([70]SDBDALYs!$H$293/F10)</f>
        <v>1.1030258474057475E-2</v>
      </c>
      <c r="G17" s="22">
        <f>1-([71]SDBDALYs!$H$293/G10)</f>
        <v>9.1303444678698664E-3</v>
      </c>
      <c r="H17" s="22">
        <f>1-([72]SDBDALYs!$H$293/H10)</f>
        <v>7.4690373055456005E-3</v>
      </c>
      <c r="I17" s="22">
        <f>1-([73]SDBDALYs!$H$293/I10)</f>
        <v>1.3945410125490776E-2</v>
      </c>
      <c r="J17" s="22">
        <f>1-([74]SDBDALYs!$H$293/J10)</f>
        <v>7.8293992004974111E-3</v>
      </c>
      <c r="K17" s="22">
        <f>1-([75]SDBDALYs!$H$293/K10)</f>
        <v>6.4760241241045291E-3</v>
      </c>
      <c r="L17" s="22">
        <f>1-([76]SDBDALYs!$H$293/L10)</f>
        <v>6.6693133487403244E-3</v>
      </c>
      <c r="M17" s="22">
        <f>1-([77]SDBDALYs!$H$293/M10)</f>
        <v>1.0612901081919923E-2</v>
      </c>
    </row>
    <row r="18" spans="1:13" ht="28.5" x14ac:dyDescent="0.15">
      <c r="A18" s="9"/>
      <c r="B18" s="18" t="s">
        <v>10</v>
      </c>
      <c r="C18" s="22">
        <f>1-([78]SSPDALYs!$H$293/C10)</f>
        <v>2.149508934080635E-2</v>
      </c>
      <c r="D18" s="22">
        <f>1-([79]SSPDALYs!$H$293/D10)</f>
        <v>9.6776468189950782E-3</v>
      </c>
      <c r="E18" s="22">
        <f>1-([80]SSPDALYs!$H$293/E10)</f>
        <v>7.9065612230592164E-3</v>
      </c>
      <c r="F18" s="22">
        <f>1-([81]SSPDALYs!$H$293/F10)</f>
        <v>1.8530834236415883E-2</v>
      </c>
      <c r="G18" s="22">
        <f>1-([82]SSPDALYs!$H$293/G10)</f>
        <v>1.5338978706022299E-2</v>
      </c>
      <c r="H18" s="22">
        <f>1-([83]SSPDALYs!$H$293/H10)</f>
        <v>1.2547982673316915E-2</v>
      </c>
      <c r="I18" s="22">
        <f>1-([84]SSPDALYs!$H$293/I10)</f>
        <v>2.3428289010823944E-2</v>
      </c>
      <c r="J18" s="22">
        <f>1-([85]SSPDALYs!$H$293/J10)</f>
        <v>1.3153390656834407E-2</v>
      </c>
      <c r="K18" s="22">
        <f>1-([86]SSPDALYs!$H$293/K10)</f>
        <v>1.0879720528493619E-2</v>
      </c>
      <c r="L18" s="22">
        <f>1-([87]SSPDALYs!$H$293/L10)</f>
        <v>1.120444642588414E-2</v>
      </c>
      <c r="M18" s="22">
        <f>1-([88]SSPDALYs!$H$293/M10)</f>
        <v>1.782967381762568E-2</v>
      </c>
    </row>
    <row r="19" spans="1:13" ht="28.5" x14ac:dyDescent="0.15">
      <c r="A19" s="9"/>
      <c r="B19" s="18" t="s">
        <v>11</v>
      </c>
      <c r="C19" s="22">
        <f>1-([89]SODALYs!$H$293/C10)</f>
        <v>8.1261673465078066E-2</v>
      </c>
      <c r="D19" s="22">
        <f>1-([90]SODALYs!$H$293/D10)</f>
        <v>3.6586113379047602E-2</v>
      </c>
      <c r="E19" s="22">
        <f>1-([91]SODALYs!$H$293/E10)</f>
        <v>2.9890566452319356E-2</v>
      </c>
      <c r="F19" s="22">
        <f>1-([92]SODALYs!$H$293/F10)</f>
        <v>7.0055377620431791E-2</v>
      </c>
      <c r="G19" s="22">
        <f>1-([93]SODALYs!$H$293/G10)</f>
        <v>5.798864378433688E-2</v>
      </c>
      <c r="H19" s="22">
        <f>1-([94]SODALYs!$H$293/H10)</f>
        <v>4.7437349734983481E-2</v>
      </c>
      <c r="I19" s="22">
        <f>1-([95]SODALYs!$H$293/I10)</f>
        <v>8.8570088789014179E-2</v>
      </c>
      <c r="J19" s="22">
        <f>1-([96]SODALYs!$H$293/J10)</f>
        <v>4.9726080202193157E-2</v>
      </c>
      <c r="K19" s="22">
        <f>1-([97]SODALYs!$H$293/K10)</f>
        <v>4.1130524417010372E-2</v>
      </c>
      <c r="L19" s="22">
        <f>1-([98]SODALYs!$H$293/L10)</f>
        <v>4.2358142940522869E-2</v>
      </c>
      <c r="M19" s="22">
        <f>1-([99]SODALYs!$H$293/M10)</f>
        <v>6.7404657351490593E-2</v>
      </c>
    </row>
    <row r="20" spans="1:13" ht="28.5" x14ac:dyDescent="0.15">
      <c r="A20" s="9"/>
      <c r="B20" s="18" t="s">
        <v>36</v>
      </c>
      <c r="C20" s="22">
        <f>1-([100]VFDDALYs!$H$293/C10)</f>
        <v>3.4201071307602637E-2</v>
      </c>
      <c r="D20" s="22">
        <f>1-([101]VFDDALYs!$H$293/D10)</f>
        <v>1.3661336545966241E-2</v>
      </c>
      <c r="E20" s="22">
        <f>1-([102]VFDDALYs!$H$293/E10)</f>
        <v>2.1288848854166043E-2</v>
      </c>
      <c r="F20" s="22">
        <f>1-([103]VFDDALYs!$H$293/F10)</f>
        <v>3.2547181629332123E-2</v>
      </c>
      <c r="G20" s="22">
        <f>1-([104]VFDDALYs!$H$293/G10)</f>
        <v>7.0765015949977306E-3</v>
      </c>
      <c r="H20" s="22">
        <f>1-([105]VFDDALYs!$H$293/H10)</f>
        <v>1.7329150805009186E-2</v>
      </c>
      <c r="I20" s="22">
        <f>1-([106]VFDDALYs!$H$293/I10)</f>
        <v>2.6479781957078785E-2</v>
      </c>
      <c r="J20" s="22">
        <f>1-([107]VFDDALYs!$H$293/J10)</f>
        <v>2.0713131261164808E-2</v>
      </c>
      <c r="K20" s="22">
        <f>1-([108]VFDDALYs!$H$293/K10)</f>
        <v>1.2117101419017229E-2</v>
      </c>
      <c r="L20" s="22">
        <f>1-([109]VFDDALYs!$H$293/L10)</f>
        <v>1.3055895641475468E-2</v>
      </c>
      <c r="M20" s="22">
        <f>1-([110]VFDDALYs!$H$293/M10)</f>
        <v>2.9471667008755031E-2</v>
      </c>
    </row>
    <row r="21" spans="1:13" ht="14.25" hidden="1" customHeight="1" x14ac:dyDescent="0.15">
      <c r="A21" s="9"/>
      <c r="B21" s="17" t="s">
        <v>12</v>
      </c>
      <c r="C21" s="22">
        <f>1-([111]HRDALYs!$H$293/C10)</f>
        <v>6.3193933109233491E-3</v>
      </c>
      <c r="D21" s="22">
        <f>1-([112]HRDALYs!$H$293/D10)</f>
        <v>5.0451849371142554E-3</v>
      </c>
      <c r="E21" s="22">
        <f>1-([113]HRDALYs!$H$293/E10)</f>
        <v>4.4101432347477543E-3</v>
      </c>
      <c r="F21" s="22">
        <f>1-([114]HRDALYs!$H$293/F10)</f>
        <v>6.3634094287859932E-3</v>
      </c>
      <c r="G21" s="22">
        <f>1-([115]HRDALYs!$H$293/G10)</f>
        <v>5.5613923599419079E-3</v>
      </c>
      <c r="H21" s="22">
        <f>1-([116]HRDALYs!$H$293/H10)</f>
        <v>6.3794888968168317E-3</v>
      </c>
      <c r="I21" s="22">
        <f>1-([117]HRDALYs!$H$293/I10)</f>
        <v>6.8700738067407618E-3</v>
      </c>
      <c r="J21" s="22">
        <f>1-([118]HRDALYs!$H$293/J10)</f>
        <v>8.9436252665401339E-3</v>
      </c>
      <c r="K21" s="22">
        <f>1-([119]HRDALYs!$H$293/K10)</f>
        <v>4.5337622626476781E-3</v>
      </c>
      <c r="L21" s="22">
        <f>1-([120]HRDALYs!$H$293/L10)</f>
        <v>6.0523299164190192E-3</v>
      </c>
      <c r="M21" s="22">
        <f>1-([120]HRDALYs!$H$293/M10)</f>
        <v>0.78119956425002801</v>
      </c>
    </row>
    <row r="22" spans="1:13" x14ac:dyDescent="0.15">
      <c r="A22" s="9"/>
      <c r="B22" s="17" t="s">
        <v>13</v>
      </c>
      <c r="C22" s="22">
        <f>1-([121]MHTYPDALYs!$H$293/C10)</f>
        <v>3.4803007705707545E-2</v>
      </c>
      <c r="D22" s="22">
        <f>1-([122]MHTYPDALYs!$H$293/D10)</f>
        <v>0.23936952002265321</v>
      </c>
      <c r="E22" s="22">
        <f>1-([123]MHTYPDALYs!$H$293/E10)</f>
        <v>0.14161990164672755</v>
      </c>
      <c r="F22" s="22">
        <f>1-([124]MHTYPDALYs!$H$293/F10)</f>
        <v>0.10784904665837203</v>
      </c>
      <c r="G22" s="22">
        <f>1-([125]MHTYPDALYs!$H$293/G10)</f>
        <v>6.2583122628978805E-2</v>
      </c>
      <c r="H22" s="22">
        <f>1-([126]MHTYPDALYs!$H$293/H10)</f>
        <v>0.27120979113238575</v>
      </c>
      <c r="I22" s="22">
        <f>1-([127]MHTYPDALYs!$H$293/I10)</f>
        <v>9.1336222835735836E-2</v>
      </c>
      <c r="J22" s="22">
        <f>1-([128]MHTYPDALYs!$H$293/J10)</f>
        <v>0.16831759974528449</v>
      </c>
      <c r="K22" s="22">
        <f>1-([129]MHTYPDALYs!$H$293/K10)</f>
        <v>0.23951027604671526</v>
      </c>
      <c r="L22" s="22">
        <f>1-([130]MHTYPDALYs!$H$293/L10)</f>
        <v>0.11975127690418264</v>
      </c>
      <c r="M22" s="22">
        <f>1-([131]MHTYPDALYs!$H$293/M10)</f>
        <v>8.901117304278694E-2</v>
      </c>
    </row>
    <row r="23" spans="1:13" ht="0.75" customHeight="1" x14ac:dyDescent="0.15">
      <c r="A23" s="9"/>
      <c r="B23" s="17" t="s">
        <v>45</v>
      </c>
      <c r="C23" s="22">
        <f>1-([132]AEBDALYs!$H$293/C10)</f>
        <v>0.34334558849356778</v>
      </c>
      <c r="D23" s="22">
        <f>1-([133]AEBDALYs!$H$293/D10)</f>
        <v>0.37381988652279219</v>
      </c>
      <c r="E23" s="22">
        <f>1-([134]AEBDALYs!$H$293/E10)</f>
        <v>0.37460058825257669</v>
      </c>
      <c r="F23" s="22">
        <f>1-([135]AEBDALYs!$H$293/F10)</f>
        <v>0.34748145254544205</v>
      </c>
      <c r="G23" s="22">
        <f>1-([136]AEBDALYs!$H$293/G10)</f>
        <v>0.38532063257476024</v>
      </c>
      <c r="H23" s="22">
        <f>1-([137]AEBDALYs!$H$293/H10)</f>
        <v>0.37284956502331501</v>
      </c>
      <c r="I23" s="22">
        <f>1-([138]AEBDALYs!$H$293/I10)</f>
        <v>0.34999705101734147</v>
      </c>
      <c r="J23" s="22">
        <f>1-([139]AEBDALYs!$H$293/J10)</f>
        <v>0.37708067960947655</v>
      </c>
      <c r="K23" s="22">
        <f>1-([140]AEBDALYs!$H$293/K10)</f>
        <v>0.38222623512398046</v>
      </c>
      <c r="L23" s="22">
        <f>1-([141]AEBDALYs!$H$293/L10)</f>
        <v>0.38363866255037171</v>
      </c>
      <c r="M23" s="22">
        <f>1-([163]AEBDALYs!$H$293/M10)</f>
        <v>0.34924794729247688</v>
      </c>
    </row>
    <row r="24" spans="1:13" ht="28.5" hidden="1" customHeight="1" x14ac:dyDescent="0.15">
      <c r="A24" s="9"/>
      <c r="B24" s="17" t="s">
        <v>14</v>
      </c>
      <c r="C24" s="22">
        <f>1-([142]SMDALYs!$H$293/C10)</f>
        <v>0.1982473847748415</v>
      </c>
      <c r="D24" s="22">
        <f>1-([143]SMDALYs!$H$293/D10)</f>
        <v>0.19377944674348657</v>
      </c>
      <c r="E24" s="22">
        <f>1-([144]SMDALYs!$H$293/E10)</f>
        <v>0.19634046762901358</v>
      </c>
      <c r="F24" s="22">
        <f>1-([145]SMDALYs!$H$293/F10)</f>
        <v>0.19801002516257116</v>
      </c>
      <c r="G24" s="22">
        <f>1-([146]SMDALYs!$H$293/G10)</f>
        <v>0.1999999999999994</v>
      </c>
      <c r="H24" s="22">
        <f>1-([147]SMDALYs!$H$293/H10)</f>
        <v>0.19661145554424242</v>
      </c>
      <c r="I24" s="22">
        <f>1-([148]SMDALYs!$H$293/I10)</f>
        <v>0.19723583039740444</v>
      </c>
      <c r="J24" s="22">
        <f>1-([149]SMDALYs!$H$293/J10)</f>
        <v>0.19866995045674818</v>
      </c>
      <c r="K24" s="22">
        <f>1-([150]SMDALYs!$H$293/K10)</f>
        <v>0.19857293084607885</v>
      </c>
      <c r="L24" s="22">
        <f>1-([151]SMDALYs!$H$293/L10)</f>
        <v>0.19888551779849939</v>
      </c>
      <c r="M24" s="22">
        <f>1-([151]SMDALYs!$H$293/M10)</f>
        <v>0.82364846453479601</v>
      </c>
    </row>
    <row r="25" spans="1:13" x14ac:dyDescent="0.15">
      <c r="A25" s="9"/>
      <c r="B25" s="17" t="s">
        <v>15</v>
      </c>
      <c r="C25" s="22">
        <f>1-([152]OVDALYs_!$H$293/C10)</f>
        <v>0.31747236358981512</v>
      </c>
      <c r="D25" s="22">
        <f>1-([153]OVDALYs_!$H$293/D10)</f>
        <v>0.30299520893261667</v>
      </c>
      <c r="E25" s="22">
        <f>1-([154]OVDALYs_!$H$293/E10)</f>
        <v>0.28677063919295565</v>
      </c>
      <c r="F25" s="22">
        <f>1-([155]OVDALYs_!$H$293/F10)</f>
        <v>0.31080688171580606</v>
      </c>
      <c r="G25" s="22">
        <f>1-([156]OVDALYs_!$H$293/G10)</f>
        <v>0.32990358996426816</v>
      </c>
      <c r="H25" s="22">
        <f>1-([157]OVDALYs_!$H$293/H10)</f>
        <v>0.30861150351416677</v>
      </c>
      <c r="I25" s="22">
        <f>1-([158]OVDALYs_!$H$293/I10)</f>
        <v>0.32634022016526132</v>
      </c>
      <c r="J25" s="22">
        <f>1-([159]OVDALYs_!$H$293/J10)</f>
        <v>0.29337177682964033</v>
      </c>
      <c r="K25" s="22">
        <f>1-([160]OVDALYs_!$H$293/K10)</f>
        <v>0.31445265837759306</v>
      </c>
      <c r="L25" s="22">
        <f>1-([161]OVDALYs_!$H$293/L10)</f>
        <v>0.31277416633084387</v>
      </c>
      <c r="M25" s="22">
        <f>1-([162]OVDALYs_!$H$293/M10)</f>
        <v>0.30086525574809941</v>
      </c>
    </row>
    <row r="26" spans="1:13" x14ac:dyDescent="0.15">
      <c r="A26" s="9"/>
      <c r="B26" s="24" t="s">
        <v>33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0"/>
    </row>
    <row r="27" spans="1:13" ht="30" customHeight="1" thickBot="1" x14ac:dyDescent="0.2">
      <c r="A27" s="11"/>
      <c r="B27" s="27" t="s">
        <v>39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2"/>
    </row>
  </sheetData>
  <mergeCells count="4">
    <mergeCell ref="B3:L3"/>
    <mergeCell ref="B11:L11"/>
    <mergeCell ref="B26:L26"/>
    <mergeCell ref="B27:L27"/>
  </mergeCells>
  <phoneticPr fontId="6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opLeftCell="U1" zoomScale="150" zoomScaleNormal="150" workbookViewId="0">
      <selection activeCell="AF15" sqref="AF15"/>
    </sheetView>
  </sheetViews>
  <sheetFormatPr defaultRowHeight="14.25" x14ac:dyDescent="0.15"/>
  <cols>
    <col min="2" max="2" width="20.5" customWidth="1"/>
    <col min="8" max="8" width="18.375" customWidth="1"/>
    <col min="9" max="9" width="18.625" customWidth="1"/>
    <col min="11" max="11" width="18.75" customWidth="1"/>
  </cols>
  <sheetData>
    <row r="1" spans="2:13" ht="15" thickBot="1" x14ac:dyDescent="0.2"/>
    <row r="2" spans="2:13" x14ac:dyDescent="0.15">
      <c r="B2" s="3" t="s">
        <v>27</v>
      </c>
      <c r="C2" s="4" t="str">
        <f>'DALYs Table'!C2</f>
        <v>Brunei</v>
      </c>
      <c r="D2" s="4" t="str">
        <f>'DALYs Table'!D2</f>
        <v>Cambodia</v>
      </c>
      <c r="E2" s="4" t="str">
        <f>'DALYs Table'!E2</f>
        <v>Indonesia</v>
      </c>
      <c r="F2" s="4" t="str">
        <f>'DALYs Table'!F2</f>
        <v>Laos</v>
      </c>
      <c r="G2" s="4" t="str">
        <f>'DALYs Table'!G2</f>
        <v>Malaysia</v>
      </c>
      <c r="H2" s="4" t="str">
        <f>'DALYs Table'!H2</f>
        <v>Myanmar</v>
      </c>
      <c r="I2" s="4" t="str">
        <f>'DALYs Table'!I2</f>
        <v>Philippines</v>
      </c>
      <c r="J2" s="4" t="str">
        <f>'DALYs Table'!J2</f>
        <v>Singapore</v>
      </c>
      <c r="K2" s="4" t="str">
        <f>'DALYs Table'!K2</f>
        <v>Thailand</v>
      </c>
      <c r="L2" s="5" t="str">
        <f>'DALYs Table'!L2</f>
        <v>Vietnam</v>
      </c>
      <c r="M2" t="str">
        <f>'DALYs Table'!M2</f>
        <v>ASEAN</v>
      </c>
    </row>
    <row r="3" spans="2:13" x14ac:dyDescent="0.15">
      <c r="B3" s="2" t="str">
        <f>'DALYs Table'!B12</f>
        <v>ABS</v>
      </c>
      <c r="C3" s="1">
        <f>'DALYs Table'!C12</f>
        <v>0.14429125280367006</v>
      </c>
      <c r="D3" s="1">
        <f>'DALYs Table'!D12</f>
        <v>0.22835720681752636</v>
      </c>
      <c r="E3" s="1">
        <f>'DALYs Table'!E12</f>
        <v>0.19685433321062096</v>
      </c>
      <c r="F3" s="1">
        <f>'DALYs Table'!F12</f>
        <v>0.16101934494607439</v>
      </c>
      <c r="G3" s="1">
        <f>'DALYs Table'!G12</f>
        <v>0.21688825753208429</v>
      </c>
      <c r="H3" s="1">
        <f>'DALYs Table'!H12</f>
        <v>0.21167617776663494</v>
      </c>
      <c r="I3" s="1">
        <f>'DALYs Table'!I12</f>
        <v>0.14128358535408991</v>
      </c>
      <c r="J3" s="1">
        <f>'DALYs Table'!J12</f>
        <v>0.16653922799722676</v>
      </c>
      <c r="K3" s="1">
        <f>'DALYs Table'!K12</f>
        <v>0.22810516220198496</v>
      </c>
      <c r="L3" s="1">
        <f>'DALYs Table'!L12</f>
        <v>0.22733484216023192</v>
      </c>
      <c r="M3">
        <f>'DALYs Table'!M12</f>
        <v>0.13438671251133727</v>
      </c>
    </row>
    <row r="4" spans="2:13" x14ac:dyDescent="0.15">
      <c r="B4" s="2" t="str">
        <f>'DALYs Table'!B13</f>
        <v>ESC</v>
      </c>
      <c r="C4" s="1">
        <f>'DALYs Table'!C13</f>
        <v>0.23984702178978656</v>
      </c>
      <c r="D4" s="1">
        <f>'DALYs Table'!D13</f>
        <v>0.29433126675401688</v>
      </c>
      <c r="E4" s="1">
        <f>'DALYs Table'!E13</f>
        <v>0.2505887203308913</v>
      </c>
      <c r="F4" s="1">
        <f>'DALYs Table'!F13</f>
        <v>0.24751775433778778</v>
      </c>
      <c r="G4" s="1">
        <f>'DALYs Table'!G13</f>
        <v>0.29949568708221186</v>
      </c>
      <c r="H4" s="1">
        <f>'DALYs Table'!H13</f>
        <v>0.28389634581657763</v>
      </c>
      <c r="I4" s="1">
        <f>'DALYs Table'!I13</f>
        <v>0.24053585998496907</v>
      </c>
      <c r="J4" s="1">
        <f>'DALYs Table'!J13</f>
        <v>0.22906452024860224</v>
      </c>
      <c r="K4" s="1">
        <f>'DALYs Table'!K13</f>
        <v>0.29819247430643425</v>
      </c>
      <c r="L4" s="1">
        <f>'DALYs Table'!L13</f>
        <v>0.29757740629426987</v>
      </c>
      <c r="M4">
        <f>'DALYs Table'!M13</f>
        <v>0.21085259143675728</v>
      </c>
    </row>
    <row r="5" spans="2:13" x14ac:dyDescent="0.15">
      <c r="B5" s="2" t="str">
        <f>'DALYs Table'!B14</f>
        <v>Seatbelt</v>
      </c>
      <c r="C5" s="1">
        <f>'DALYs Table'!C14</f>
        <v>8.5599177159809581E-2</v>
      </c>
      <c r="D5" s="1">
        <f>'DALYs Table'!D14</f>
        <v>7.0121126765910757E-2</v>
      </c>
      <c r="E5" s="1">
        <f>'DALYs Table'!E14</f>
        <v>2.9280244578830161E-2</v>
      </c>
      <c r="F5" s="1">
        <f>'DALYs Table'!F14</f>
        <v>0.11149018074457528</v>
      </c>
      <c r="G5" s="1">
        <f>'DALYs Table'!G14</f>
        <v>5.960505935234417E-2</v>
      </c>
      <c r="H5" s="1">
        <f>'DALYs Table'!H14</f>
        <v>9.644175158564039E-2</v>
      </c>
      <c r="I5" s="1">
        <f>'DALYs Table'!I14</f>
        <v>6.739960538932821E-2</v>
      </c>
      <c r="J5" s="1">
        <f>'DALYs Table'!J14</f>
        <v>6.5350767051118863E-2</v>
      </c>
      <c r="K5" s="1">
        <f>'DALYs Table'!K14</f>
        <v>5.3124413150377636E-2</v>
      </c>
      <c r="L5" s="1">
        <f>'DALYs Table'!L14</f>
        <v>7.8464261597016249E-2</v>
      </c>
      <c r="M5">
        <f>'DALYs Table'!M14</f>
        <v>0.10261818157257141</v>
      </c>
    </row>
    <row r="6" spans="2:13" x14ac:dyDescent="0.15">
      <c r="B6" s="2" t="s">
        <v>47</v>
      </c>
      <c r="C6" s="1">
        <f>'DALYs Table'!C15</f>
        <v>5.1389562827050872E-2</v>
      </c>
      <c r="D6" s="1">
        <f>'DALYs Table'!D15</f>
        <v>1.7551503015716174E-2</v>
      </c>
      <c r="E6" s="1">
        <f>'DALYs Table'!E15</f>
        <v>1.3607591069811797E-2</v>
      </c>
      <c r="F6" s="1">
        <f>'DALYs Table'!F15</f>
        <v>4.1978523485042385E-2</v>
      </c>
      <c r="G6" s="1">
        <f>'DALYs Table'!G15</f>
        <v>3.4001368430375822E-2</v>
      </c>
      <c r="H6" s="1">
        <f>'DALYs Table'!H15</f>
        <v>2.3168641069749141E-2</v>
      </c>
      <c r="I6" s="1">
        <f>'DALYs Table'!I15</f>
        <v>5.605622504483887E-2</v>
      </c>
      <c r="J6" s="1">
        <f>'DALYs Table'!J15</f>
        <v>1.8558092433509921E-2</v>
      </c>
      <c r="K6" s="1">
        <f>'DALYs Table'!K15</f>
        <v>2.2620973979684322E-2</v>
      </c>
      <c r="L6" s="1">
        <f>'DALYs Table'!L15</f>
        <v>1.9784363389949267E-2</v>
      </c>
      <c r="M6">
        <f>'DALYs Table'!M15</f>
        <v>3.2847420975577246E-2</v>
      </c>
    </row>
    <row r="7" spans="2:13" x14ac:dyDescent="0.15">
      <c r="B7" s="2" t="s">
        <v>48</v>
      </c>
      <c r="C7" s="1">
        <f>'DALYs Table'!C16</f>
        <v>3.7872300267135173E-2</v>
      </c>
      <c r="D7" s="1">
        <f>'DALYs Table'!D16</f>
        <v>1.7051092014419122E-2</v>
      </c>
      <c r="E7" s="1">
        <f>'DALYs Table'!E16</f>
        <v>1.3930607869200529E-2</v>
      </c>
      <c r="F7" s="1">
        <f>'DALYs Table'!F16</f>
        <v>3.2649565083209264E-2</v>
      </c>
      <c r="G7" s="1">
        <f>'DALYs Table'!G16</f>
        <v>2.702581962489603E-2</v>
      </c>
      <c r="H7" s="1">
        <f>'DALYs Table'!H16</f>
        <v>2.2108350424415502E-2</v>
      </c>
      <c r="I7" s="1">
        <f>'DALYs Table'!I16</f>
        <v>4.1278413971451822E-2</v>
      </c>
      <c r="J7" s="1">
        <f>'DALYs Table'!J16</f>
        <v>2.3175021633470183E-2</v>
      </c>
      <c r="K7" s="1">
        <f>'DALYs Table'!K16</f>
        <v>1.9169031407348158E-2</v>
      </c>
      <c r="L7" s="1">
        <f>'DALYs Table'!L16</f>
        <v>1.974116751227295E-2</v>
      </c>
      <c r="M7">
        <f>'DALYs Table'!M16</f>
        <v>3.1414187202483346E-2</v>
      </c>
    </row>
    <row r="8" spans="2:13" x14ac:dyDescent="0.15">
      <c r="B8" s="2" t="str">
        <f>'DALYs Table'!B17</f>
        <v>Side door beam</v>
      </c>
      <c r="C8" s="1">
        <f>'DALYs Table'!C17</f>
        <v>1.2794696036193764E-2</v>
      </c>
      <c r="D8" s="1">
        <f>'DALYs Table'!D17</f>
        <v>5.7605040589258083E-3</v>
      </c>
      <c r="E8" s="1">
        <f>'DALYs Table'!E17</f>
        <v>4.7062864422975359E-3</v>
      </c>
      <c r="F8" s="1">
        <f>'DALYs Table'!F17</f>
        <v>1.1030258474057475E-2</v>
      </c>
      <c r="G8" s="1">
        <f>'DALYs Table'!G17</f>
        <v>9.1303444678698664E-3</v>
      </c>
      <c r="H8" s="1">
        <f>'DALYs Table'!H17</f>
        <v>7.4690373055456005E-3</v>
      </c>
      <c r="I8" s="1">
        <f>'DALYs Table'!I17</f>
        <v>1.3945410125490776E-2</v>
      </c>
      <c r="J8" s="1">
        <f>'DALYs Table'!J17</f>
        <v>7.8293992004974111E-3</v>
      </c>
      <c r="K8" s="1">
        <f>'DALYs Table'!K17</f>
        <v>6.4760241241045291E-3</v>
      </c>
      <c r="L8" s="1">
        <f>'DALYs Table'!L17</f>
        <v>6.6693133487403244E-3</v>
      </c>
      <c r="M8">
        <f>'DALYs Table'!M17</f>
        <v>1.0612901081919923E-2</v>
      </c>
    </row>
    <row r="9" spans="2:13" x14ac:dyDescent="0.15">
      <c r="B9" s="2" t="s">
        <v>49</v>
      </c>
      <c r="C9" s="1">
        <f>'DALYs Table'!C18</f>
        <v>2.149508934080635E-2</v>
      </c>
      <c r="D9" s="1">
        <f>'DALYs Table'!D18</f>
        <v>9.6776468189950782E-3</v>
      </c>
      <c r="E9" s="1">
        <f>'DALYs Table'!E18</f>
        <v>7.9065612230592164E-3</v>
      </c>
      <c r="F9" s="1">
        <f>'DALYs Table'!F18</f>
        <v>1.8530834236415883E-2</v>
      </c>
      <c r="G9" s="1">
        <f>'DALYs Table'!G18</f>
        <v>1.5338978706022299E-2</v>
      </c>
      <c r="H9" s="1">
        <f>'DALYs Table'!H18</f>
        <v>1.2547982673316915E-2</v>
      </c>
      <c r="I9" s="1">
        <f>'DALYs Table'!I18</f>
        <v>2.3428289010823944E-2</v>
      </c>
      <c r="J9" s="1">
        <f>'DALYs Table'!J18</f>
        <v>1.3153390656834407E-2</v>
      </c>
      <c r="K9" s="1">
        <f>'DALYs Table'!K18</f>
        <v>1.0879720528493619E-2</v>
      </c>
      <c r="L9" s="1">
        <f>'DALYs Table'!L18</f>
        <v>1.120444642588414E-2</v>
      </c>
      <c r="M9">
        <f>'DALYs Table'!M18</f>
        <v>1.782967381762568E-2</v>
      </c>
    </row>
    <row r="10" spans="2:13" x14ac:dyDescent="0.15">
      <c r="B10" s="2" t="s">
        <v>51</v>
      </c>
      <c r="C10" s="1">
        <f>'DALYs Table'!C19</f>
        <v>8.1261673465078066E-2</v>
      </c>
      <c r="D10" s="1">
        <f>'DALYs Table'!D19</f>
        <v>3.6586113379047602E-2</v>
      </c>
      <c r="E10" s="1">
        <f>'DALYs Table'!E19</f>
        <v>2.9890566452319356E-2</v>
      </c>
      <c r="F10" s="1">
        <f>'DALYs Table'!F19</f>
        <v>7.0055377620431791E-2</v>
      </c>
      <c r="G10" s="1">
        <f>'DALYs Table'!G19</f>
        <v>5.798864378433688E-2</v>
      </c>
      <c r="H10" s="1">
        <f>'DALYs Table'!H19</f>
        <v>4.7437349734983481E-2</v>
      </c>
      <c r="I10" s="1">
        <f>'DALYs Table'!I19</f>
        <v>8.8570088789014179E-2</v>
      </c>
      <c r="J10" s="1">
        <f>'DALYs Table'!J19</f>
        <v>4.9726080202193157E-2</v>
      </c>
      <c r="K10" s="1">
        <f>'DALYs Table'!K19</f>
        <v>4.1130524417010372E-2</v>
      </c>
      <c r="L10" s="1">
        <f>'DALYs Table'!L19</f>
        <v>4.2358142940522869E-2</v>
      </c>
      <c r="M10">
        <f>'DALYs Table'!M19</f>
        <v>6.7404657351490593E-2</v>
      </c>
    </row>
    <row r="11" spans="2:13" x14ac:dyDescent="0.15">
      <c r="B11" s="2" t="s">
        <v>50</v>
      </c>
      <c r="C11" s="1">
        <f>'DALYs Table'!C20</f>
        <v>3.4201071307602637E-2</v>
      </c>
      <c r="D11" s="1">
        <f>'DALYs Table'!D20</f>
        <v>1.3661336545966241E-2</v>
      </c>
      <c r="E11" s="1">
        <f>'DALYs Table'!E20</f>
        <v>2.1288848854166043E-2</v>
      </c>
      <c r="F11" s="1">
        <f>'DALYs Table'!F20</f>
        <v>3.2547181629332123E-2</v>
      </c>
      <c r="G11" s="1">
        <f>'DALYs Table'!G20</f>
        <v>7.0765015949977306E-3</v>
      </c>
      <c r="H11" s="1">
        <f>'DALYs Table'!H20</f>
        <v>1.7329150805009186E-2</v>
      </c>
      <c r="I11" s="1">
        <f>'DALYs Table'!I20</f>
        <v>2.6479781957078785E-2</v>
      </c>
      <c r="J11" s="1">
        <f>'DALYs Table'!J20</f>
        <v>2.0713131261164808E-2</v>
      </c>
      <c r="K11" s="1">
        <f>'DALYs Table'!K20</f>
        <v>1.2117101419017229E-2</v>
      </c>
      <c r="L11" s="1">
        <f>'DALYs Table'!L20</f>
        <v>1.3055895641475468E-2</v>
      </c>
      <c r="M11">
        <f>'DALYs Table'!M20</f>
        <v>2.9471667008755031E-2</v>
      </c>
    </row>
    <row r="12" spans="2:13" x14ac:dyDescent="0.15">
      <c r="B12" s="2" t="str">
        <f>'DALYs Table'!B21</f>
        <v>Head restrains</v>
      </c>
      <c r="C12" s="1">
        <f>'DALYs Table'!C21</f>
        <v>6.3193933109233491E-3</v>
      </c>
      <c r="D12" s="1">
        <f>'DALYs Table'!D21</f>
        <v>5.0451849371142554E-3</v>
      </c>
      <c r="E12" s="1">
        <f>'DALYs Table'!E21</f>
        <v>4.4101432347477543E-3</v>
      </c>
      <c r="F12" s="1">
        <f>'DALYs Table'!F21</f>
        <v>6.3634094287859932E-3</v>
      </c>
      <c r="G12" s="1">
        <f>'DALYs Table'!G21</f>
        <v>5.5613923599419079E-3</v>
      </c>
      <c r="H12" s="1">
        <f>'DALYs Table'!H21</f>
        <v>6.3794888968168317E-3</v>
      </c>
      <c r="I12" s="1">
        <f>'DALYs Table'!I21</f>
        <v>6.8700738067407618E-3</v>
      </c>
      <c r="J12" s="1">
        <f>'DALYs Table'!J21</f>
        <v>8.9436252665401339E-3</v>
      </c>
      <c r="K12" s="1">
        <f>'DALYs Table'!K21</f>
        <v>4.5337622626476781E-3</v>
      </c>
      <c r="L12" s="1">
        <f>'DALYs Table'!L21</f>
        <v>6.0523299164190192E-3</v>
      </c>
      <c r="M12">
        <f>'DALYs Table'!M21</f>
        <v>0.78119956425002801</v>
      </c>
    </row>
    <row r="13" spans="2:13" x14ac:dyDescent="0.15">
      <c r="B13" s="2" t="s">
        <v>52</v>
      </c>
      <c r="C13" s="1">
        <f>'DALYs Table'!C22</f>
        <v>3.4803007705707545E-2</v>
      </c>
      <c r="D13" s="1">
        <f>'DALYs Table'!D22</f>
        <v>0.23936952002265321</v>
      </c>
      <c r="E13" s="1">
        <f>'DALYs Table'!E22</f>
        <v>0.14161990164672755</v>
      </c>
      <c r="F13" s="1">
        <f>'DALYs Table'!F22</f>
        <v>0.10784904665837203</v>
      </c>
      <c r="G13" s="1">
        <f>'DALYs Table'!G22</f>
        <v>6.2583122628978805E-2</v>
      </c>
      <c r="H13" s="1">
        <f>'DALYs Table'!H22</f>
        <v>0.27120979113238575</v>
      </c>
      <c r="I13" s="1">
        <f>'DALYs Table'!I22</f>
        <v>9.1336222835735836E-2</v>
      </c>
      <c r="J13" s="1">
        <f>'DALYs Table'!J22</f>
        <v>0.16831759974528449</v>
      </c>
      <c r="K13" s="1">
        <f>'DALYs Table'!K22</f>
        <v>0.23951027604671526</v>
      </c>
      <c r="L13" s="1">
        <f>'DALYs Table'!L22</f>
        <v>0.11975127690418264</v>
      </c>
      <c r="M13">
        <f>'DALYs Table'!M22</f>
        <v>8.901117304278694E-2</v>
      </c>
    </row>
    <row r="14" spans="2:13" x14ac:dyDescent="0.15">
      <c r="B14" s="2" t="str">
        <f>'DALYs Table'!B23</f>
        <v>AEB</v>
      </c>
      <c r="C14" s="1">
        <f>'DALYs Table'!C23</f>
        <v>0.34334558849356778</v>
      </c>
      <c r="D14" s="1">
        <f>'DALYs Table'!D23</f>
        <v>0.37381988652279219</v>
      </c>
      <c r="E14" s="1">
        <f>'DALYs Table'!E23</f>
        <v>0.37460058825257669</v>
      </c>
      <c r="F14" s="1">
        <f>'DALYs Table'!F23</f>
        <v>0.34748145254544205</v>
      </c>
      <c r="G14" s="1">
        <f>'DALYs Table'!G23</f>
        <v>0.38532063257476024</v>
      </c>
      <c r="H14" s="1">
        <f>'DALYs Table'!H23</f>
        <v>0.37284956502331501</v>
      </c>
      <c r="I14" s="1">
        <f>'DALYs Table'!I23</f>
        <v>0.34999705101734147</v>
      </c>
      <c r="J14" s="1">
        <f>'DALYs Table'!J23</f>
        <v>0.37708067960947655</v>
      </c>
      <c r="K14" s="1">
        <f>'DALYs Table'!K23</f>
        <v>0.38222623512398046</v>
      </c>
      <c r="L14" s="1">
        <f>'DALYs Table'!L23</f>
        <v>0.38363866255037171</v>
      </c>
      <c r="M14">
        <f>'DALYs Table'!M23</f>
        <v>0.34924794729247688</v>
      </c>
    </row>
    <row r="15" spans="2:13" x14ac:dyDescent="0.15">
      <c r="B15" s="2" t="str">
        <f>'DALYs Table'!B24</f>
        <v>Speed management</v>
      </c>
      <c r="C15" s="1">
        <f>'DALYs Table'!C24</f>
        <v>0.1982473847748415</v>
      </c>
      <c r="D15" s="1">
        <f>'DALYs Table'!D24</f>
        <v>0.19377944674348657</v>
      </c>
      <c r="E15" s="1">
        <f>'DALYs Table'!E24</f>
        <v>0.19634046762901358</v>
      </c>
      <c r="F15" s="1">
        <f>'DALYs Table'!F24</f>
        <v>0.19801002516257116</v>
      </c>
      <c r="G15" s="1">
        <f>'DALYs Table'!G24</f>
        <v>0.1999999999999994</v>
      </c>
      <c r="H15" s="1">
        <f>'DALYs Table'!H24</f>
        <v>0.19661145554424242</v>
      </c>
      <c r="I15" s="1">
        <f>'DALYs Table'!I24</f>
        <v>0.19723583039740444</v>
      </c>
      <c r="J15" s="1">
        <f>'DALYs Table'!J24</f>
        <v>0.19866995045674818</v>
      </c>
      <c r="K15" s="1">
        <f>'DALYs Table'!K24</f>
        <v>0.19857293084607885</v>
      </c>
      <c r="L15" s="1">
        <f>'DALYs Table'!L24</f>
        <v>0.19888551779849939</v>
      </c>
      <c r="M15">
        <f>'DALYs Table'!M24</f>
        <v>0.82364846453479601</v>
      </c>
    </row>
    <row r="16" spans="2:13" ht="15" thickBot="1" x14ac:dyDescent="0.2">
      <c r="B16" s="6" t="str">
        <f>'DALYs Table'!B25</f>
        <v>Overall</v>
      </c>
      <c r="C16" s="1">
        <f>'DALYs Table'!C25</f>
        <v>0.31747236358981512</v>
      </c>
      <c r="D16" s="1">
        <f>'DALYs Table'!D25</f>
        <v>0.30299520893261667</v>
      </c>
      <c r="E16" s="1">
        <f>'DALYs Table'!E25</f>
        <v>0.28677063919295565</v>
      </c>
      <c r="F16" s="1">
        <f>'DALYs Table'!F25</f>
        <v>0.31080688171580606</v>
      </c>
      <c r="G16" s="1">
        <f>'DALYs Table'!G25</f>
        <v>0.32990358996426816</v>
      </c>
      <c r="H16" s="1">
        <f>'DALYs Table'!H25</f>
        <v>0.30861150351416677</v>
      </c>
      <c r="I16" s="1">
        <f>'DALYs Table'!I25</f>
        <v>0.32634022016526132</v>
      </c>
      <c r="J16" s="1">
        <f>'DALYs Table'!J25</f>
        <v>0.29337177682964033</v>
      </c>
      <c r="K16" s="1">
        <f>'DALYs Table'!K25</f>
        <v>0.31445265837759306</v>
      </c>
      <c r="L16" s="1">
        <f>'DALYs Table'!L25</f>
        <v>0.31277416633084387</v>
      </c>
      <c r="M16">
        <f>'DALYs Table'!M25</f>
        <v>0.30086525574809941</v>
      </c>
    </row>
  </sheetData>
  <phoneticPr fontId="6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G4" sqref="G4"/>
    </sheetView>
  </sheetViews>
  <sheetFormatPr defaultRowHeight="14.25" x14ac:dyDescent="0.15"/>
  <sheetData>
    <row r="2" spans="2:12" ht="15" thickBot="1" x14ac:dyDescent="0.2"/>
    <row r="3" spans="2:12" x14ac:dyDescent="0.15">
      <c r="B3" s="3"/>
      <c r="C3" s="4" t="str">
        <f>'Death Table'!C2</f>
        <v>Brunei</v>
      </c>
      <c r="D3" s="4" t="str">
        <f>'Death Table'!D2</f>
        <v>Cambodia</v>
      </c>
      <c r="E3" s="4" t="str">
        <f>'Death Table'!E2</f>
        <v>Indonesia</v>
      </c>
      <c r="F3" s="4" t="str">
        <f>'Death Table'!F2</f>
        <v>Laos</v>
      </c>
      <c r="G3" s="4" t="str">
        <f>'Death Table'!G2</f>
        <v>Malaysia</v>
      </c>
      <c r="H3" s="4" t="str">
        <f>'Death Table'!H2</f>
        <v>Myanmar</v>
      </c>
      <c r="I3" s="4" t="str">
        <f>'Death Table'!I2</f>
        <v>Philippines</v>
      </c>
      <c r="J3" s="4" t="str">
        <f>'Death Table'!J2</f>
        <v>Singapore</v>
      </c>
      <c r="K3" s="4" t="str">
        <f>'Death Table'!K2</f>
        <v>Thailand</v>
      </c>
      <c r="L3" s="5" t="str">
        <f>'Death Table'!L2</f>
        <v>Vietnam</v>
      </c>
    </row>
    <row r="4" spans="2:12" x14ac:dyDescent="0.15">
      <c r="B4" t="s">
        <v>28</v>
      </c>
      <c r="C4">
        <f>'Death Fig'!C15</f>
        <v>0.30953616638336157</v>
      </c>
      <c r="D4">
        <f>'Death Fig'!D15</f>
        <v>0.35942000000000052</v>
      </c>
      <c r="E4">
        <f>'Death Fig'!E15</f>
        <v>0.36303600000000003</v>
      </c>
      <c r="F4">
        <f>'Death Fig'!F15</f>
        <v>0.31552015201520178</v>
      </c>
      <c r="G4">
        <f>'Death Fig'!G15</f>
        <v>0.37697599999999998</v>
      </c>
      <c r="H4">
        <f>'Death Fig'!H15</f>
        <v>0.3545799999999999</v>
      </c>
      <c r="I4">
        <f>'Death Fig'!I15</f>
        <v>0.31852659999999999</v>
      </c>
      <c r="J4">
        <f>'Death Fig'!J15</f>
        <v>0.33191999999999999</v>
      </c>
      <c r="K4">
        <f>'Death Fig'!K15</f>
        <v>0.37538800000000005</v>
      </c>
      <c r="L4">
        <f>'Death Fig'!L15</f>
        <v>0.37260400000000005</v>
      </c>
    </row>
    <row r="5" spans="2:12" x14ac:dyDescent="0.15">
      <c r="B5" t="s">
        <v>29</v>
      </c>
      <c r="C5">
        <f>'DALYs Fig'!C14</f>
        <v>0.34334558849356778</v>
      </c>
      <c r="D5">
        <f>'DALYs Fig'!D14</f>
        <v>0.37381988652279219</v>
      </c>
      <c r="E5">
        <f>'DALYs Fig'!E14</f>
        <v>0.37460058825257669</v>
      </c>
      <c r="F5">
        <f>'DALYs Fig'!F14</f>
        <v>0.34748145254544205</v>
      </c>
      <c r="G5">
        <f>'DALYs Fig'!G14</f>
        <v>0.38532063257476024</v>
      </c>
      <c r="H5">
        <f>'DALYs Fig'!H14</f>
        <v>0.37284956502331501</v>
      </c>
      <c r="I5">
        <f>'DALYs Fig'!I14</f>
        <v>0.34999705101734147</v>
      </c>
      <c r="J5">
        <f>'DALYs Fig'!J14</f>
        <v>0.37708067960947655</v>
      </c>
      <c r="K5">
        <f>'DALYs Fig'!K14</f>
        <v>0.38222623512398046</v>
      </c>
      <c r="L5">
        <f>'DALYs Fig'!L14</f>
        <v>0.38363866255037171</v>
      </c>
    </row>
  </sheetData>
  <phoneticPr fontId="6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"/>
  <sheetViews>
    <sheetView topLeftCell="D1" zoomScale="110" zoomScaleNormal="110" workbookViewId="0">
      <selection activeCell="O12" sqref="O12"/>
    </sheetView>
  </sheetViews>
  <sheetFormatPr defaultRowHeight="14.25" x14ac:dyDescent="0.15"/>
  <cols>
    <col min="4" max="4" width="19.125" customWidth="1"/>
  </cols>
  <sheetData>
    <row r="3" spans="4:14" ht="15" thickBot="1" x14ac:dyDescent="0.2">
      <c r="D3" s="28" t="s">
        <v>31</v>
      </c>
      <c r="E3" s="28"/>
    </row>
    <row r="4" spans="4:14" x14ac:dyDescent="0.15">
      <c r="D4" s="3" t="s">
        <v>27</v>
      </c>
      <c r="E4" s="4" t="str">
        <f>'Death Fig'!C3</f>
        <v>Brunei</v>
      </c>
      <c r="F4" s="4" t="str">
        <f>'Death Fig'!D3</f>
        <v>Cambodia</v>
      </c>
      <c r="G4" s="4" t="str">
        <f>'Death Fig'!E3</f>
        <v>Indonesia</v>
      </c>
      <c r="H4" s="4" t="str">
        <f>'Death Fig'!F3</f>
        <v>Laos</v>
      </c>
      <c r="I4" s="4" t="str">
        <f>'Death Fig'!G3</f>
        <v>Malaysia</v>
      </c>
      <c r="J4" s="4" t="str">
        <f>'Death Fig'!H3</f>
        <v>Myanmar</v>
      </c>
      <c r="K4" s="4" t="str">
        <f>'Death Fig'!I3</f>
        <v>Philippines</v>
      </c>
      <c r="L4" s="4" t="str">
        <f>'Death Fig'!J3</f>
        <v>Singapore</v>
      </c>
      <c r="M4" s="4" t="str">
        <f>'Death Fig'!K3</f>
        <v>Thailand</v>
      </c>
      <c r="N4" s="5" t="str">
        <f>'Death Fig'!L3</f>
        <v>Vietnam</v>
      </c>
    </row>
    <row r="5" spans="4:14" x14ac:dyDescent="0.15">
      <c r="D5" t="s">
        <v>40</v>
      </c>
      <c r="E5" s="19">
        <f>'Death Table'!C10</f>
        <v>61.156103641295324</v>
      </c>
      <c r="F5" s="19">
        <f>'Death Table'!D10</f>
        <v>2891.0000000000014</v>
      </c>
      <c r="G5" s="19">
        <f>'Death Table'!E10</f>
        <v>36618.999999999993</v>
      </c>
      <c r="H5" s="19">
        <f>'Death Table'!F10</f>
        <v>1079.8618053559069</v>
      </c>
      <c r="I5" s="19">
        <f>'Death Table'!G10</f>
        <v>7582.0446140106715</v>
      </c>
      <c r="J5" s="19">
        <f>'Death Table'!H10</f>
        <v>5710.1785090125695</v>
      </c>
      <c r="K5" s="19">
        <f>'Death Table'!I10</f>
        <v>10888.550329334797</v>
      </c>
      <c r="L5" s="19">
        <f>'Death Table'!J10</f>
        <v>159.00000000000006</v>
      </c>
      <c r="M5" s="19">
        <f>'Death Table'!K10</f>
        <v>19518.400134819574</v>
      </c>
      <c r="N5" s="19">
        <f>'Death Table'!L10</f>
        <v>24129.999999999996</v>
      </c>
    </row>
    <row r="6" spans="4:14" x14ac:dyDescent="0.15">
      <c r="D6" t="s">
        <v>42</v>
      </c>
      <c r="E6" s="19">
        <f>E5*(1-'Death Fig'!C16)</f>
        <v>49.094879881462163</v>
      </c>
      <c r="F6" s="19">
        <f>F5*(1-'Death Fig'!D16)</f>
        <v>2341.71</v>
      </c>
      <c r="G6" s="19">
        <f>G5*(1-'Death Fig'!E16)</f>
        <v>29368.438000000006</v>
      </c>
      <c r="H6" s="19">
        <f>H5*(1-'Death Fig'!F16)</f>
        <v>867.43174523638868</v>
      </c>
      <c r="I6" s="19">
        <f>I5*(1-'Death Fig'!G16)</f>
        <v>6065.6356912085384</v>
      </c>
      <c r="J6" s="19">
        <f>J5*(1-'Death Fig'!H16)</f>
        <v>4602.4038782641355</v>
      </c>
      <c r="K6" s="19">
        <f>K5*(1-'Death Fig'!I16)</f>
        <v>8761.145365989365</v>
      </c>
      <c r="L6" s="19">
        <f>L5*(1-'Death Fig'!J16)</f>
        <v>127.2000000000001</v>
      </c>
      <c r="M6" s="19">
        <f>M5*(1-'Death Fig'!K16)</f>
        <v>15653.756908125299</v>
      </c>
      <c r="N6" s="19">
        <f>N5*(1-'Death Fig'!L16)</f>
        <v>19352.260000000028</v>
      </c>
    </row>
    <row r="7" spans="4:14" x14ac:dyDescent="0.15">
      <c r="D7" t="s">
        <v>41</v>
      </c>
      <c r="E7" s="19">
        <f>'DALYs Table'!C10</f>
        <v>4256.136362098986</v>
      </c>
      <c r="F7" s="19">
        <f>'DALYs Table'!D10</f>
        <v>212115.28015736851</v>
      </c>
      <c r="G7" s="19">
        <f>'DALYs Table'!E10</f>
        <v>2922711.1814093976</v>
      </c>
      <c r="H7" s="19">
        <f>'DALYs Table'!F10</f>
        <v>86016.196390220008</v>
      </c>
      <c r="I7" s="19">
        <f>'DALYs Table'!G10</f>
        <v>587625.29902506492</v>
      </c>
      <c r="J7" s="19">
        <f>'DALYs Table'!H10</f>
        <v>467175.22347663564</v>
      </c>
      <c r="K7" s="19">
        <f>'DALYs Table'!I10</f>
        <v>881121.45650448953</v>
      </c>
      <c r="L7" s="19">
        <f>'DALYs Table'!J10</f>
        <v>16947.152032116202</v>
      </c>
      <c r="M7" s="19">
        <f>'DALYs Table'!K10</f>
        <v>1203615.5695719298</v>
      </c>
      <c r="N7" s="19">
        <f>'DALYs Table'!L10</f>
        <v>1700738.4014914411</v>
      </c>
    </row>
    <row r="8" spans="4:14" x14ac:dyDescent="0.15">
      <c r="D8" t="s">
        <v>43</v>
      </c>
      <c r="E8" s="19">
        <f>E7*(1-'DALYs Fig'!C15)</f>
        <v>3412.368459067754</v>
      </c>
      <c r="F8" s="19">
        <f>F7*(1-'DALYs Fig'!D15)</f>
        <v>171011.69852263399</v>
      </c>
      <c r="G8" s="19">
        <f>G7*(1-'DALYs Fig'!E15)</f>
        <v>2348864.7013069298</v>
      </c>
      <c r="H8" s="19">
        <f>H7*(1-'DALYs Fig'!F15)</f>
        <v>68984.127178603885</v>
      </c>
      <c r="I8" s="19">
        <f>I7*(1-'DALYs Fig'!G15)</f>
        <v>470100.23922005226</v>
      </c>
      <c r="J8" s="19">
        <f>J7*(1-'DALYs Fig'!H15)</f>
        <v>375323.22279468755</v>
      </c>
      <c r="K8" s="19">
        <f>K7*(1-'DALYs Fig'!I15)</f>
        <v>707332.73434985604</v>
      </c>
      <c r="L8" s="19">
        <f>L7*(1-'DALYs Fig'!J15)</f>
        <v>13580.262177512697</v>
      </c>
      <c r="M8" s="19">
        <f>M7*(1-'DALYs Fig'!K15)</f>
        <v>964610.09831005917</v>
      </c>
      <c r="N8" s="19">
        <f>N7*(1-'DALYs Fig'!L15)</f>
        <v>1362486.1638710236</v>
      </c>
    </row>
  </sheetData>
  <mergeCells count="1">
    <mergeCell ref="D3:E3"/>
  </mergeCells>
  <phoneticPr fontId="6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6"/>
  <sheetViews>
    <sheetView workbookViewId="0">
      <selection activeCell="F6" sqref="F6"/>
    </sheetView>
  </sheetViews>
  <sheetFormatPr defaultRowHeight="14.25" x14ac:dyDescent="0.15"/>
  <sheetData>
    <row r="3" spans="4:14" ht="15" thickBot="1" x14ac:dyDescent="0.2">
      <c r="D3" s="29" t="s">
        <v>30</v>
      </c>
      <c r="E3" s="28"/>
    </row>
    <row r="4" spans="4:14" x14ac:dyDescent="0.15">
      <c r="D4" s="3" t="s">
        <v>27</v>
      </c>
      <c r="E4" s="4" t="str">
        <f>'Death Fig'!C3</f>
        <v>Brunei</v>
      </c>
      <c r="F4" s="4" t="str">
        <f>'Death Fig'!D3</f>
        <v>Cambodia</v>
      </c>
      <c r="G4" s="4" t="str">
        <f>'Death Fig'!E3</f>
        <v>Indonesia</v>
      </c>
      <c r="H4" s="4" t="str">
        <f>'Death Fig'!F3</f>
        <v>Laos</v>
      </c>
      <c r="I4" s="4" t="str">
        <f>'Death Fig'!G3</f>
        <v>Malaysia</v>
      </c>
      <c r="J4" s="4" t="str">
        <f>'Death Fig'!H3</f>
        <v>Myanmar</v>
      </c>
      <c r="K4" s="4" t="str">
        <f>'Death Fig'!I3</f>
        <v>Philippines</v>
      </c>
      <c r="L4" s="4" t="str">
        <f>'Death Fig'!J3</f>
        <v>Singapore</v>
      </c>
      <c r="M4" s="4" t="str">
        <f>'Death Fig'!K3</f>
        <v>Thailand</v>
      </c>
      <c r="N4" s="5" t="str">
        <f>'Death Fig'!L3</f>
        <v>Vietnam</v>
      </c>
    </row>
    <row r="5" spans="4:14" x14ac:dyDescent="0.15">
      <c r="D5" s="2" t="s">
        <v>28</v>
      </c>
      <c r="E5" s="1">
        <f>'Death Fig'!C13</f>
        <v>0</v>
      </c>
      <c r="F5" s="1">
        <f>'Death Fig'!D13</f>
        <v>0</v>
      </c>
      <c r="G5" s="1">
        <f>'Death Fig'!E13</f>
        <v>0</v>
      </c>
      <c r="H5" s="1">
        <f>'Death Fig'!F13</f>
        <v>0</v>
      </c>
      <c r="I5" s="1">
        <f>'Death Fig'!G13</f>
        <v>0</v>
      </c>
      <c r="J5" s="1">
        <f>'Death Fig'!H13</f>
        <v>0</v>
      </c>
      <c r="K5" s="1">
        <f>'Death Fig'!I13</f>
        <v>0</v>
      </c>
      <c r="L5" s="1">
        <f>'Death Fig'!J13</f>
        <v>0</v>
      </c>
      <c r="M5" s="1">
        <f>'Death Fig'!K13</f>
        <v>0</v>
      </c>
      <c r="N5" s="1">
        <f>'Death Fig'!L13</f>
        <v>0</v>
      </c>
    </row>
    <row r="6" spans="4:14" ht="15" thickBot="1" x14ac:dyDescent="0.2">
      <c r="D6" s="6" t="s">
        <v>29</v>
      </c>
      <c r="E6" s="7">
        <f>'DALYs Fig'!C12</f>
        <v>6.3193933109233491E-3</v>
      </c>
      <c r="F6" s="7">
        <f>'DALYs Fig'!D12</f>
        <v>5.0451849371142554E-3</v>
      </c>
      <c r="G6" s="7">
        <f>'DALYs Fig'!E12</f>
        <v>4.4101432347477543E-3</v>
      </c>
      <c r="H6" s="7">
        <f>'DALYs Fig'!F12</f>
        <v>6.3634094287859932E-3</v>
      </c>
      <c r="I6" s="7">
        <f>'DALYs Fig'!G12</f>
        <v>5.5613923599419079E-3</v>
      </c>
      <c r="J6" s="7">
        <f>'DALYs Fig'!H12</f>
        <v>6.3794888968168317E-3</v>
      </c>
      <c r="K6" s="7">
        <f>'DALYs Fig'!I12</f>
        <v>6.8700738067407618E-3</v>
      </c>
      <c r="L6" s="7">
        <f>'DALYs Fig'!J12</f>
        <v>8.9436252665401339E-3</v>
      </c>
      <c r="M6" s="7">
        <f>'DALYs Fig'!K12</f>
        <v>4.5337622626476781E-3</v>
      </c>
      <c r="N6" s="7">
        <f>'DALYs Fig'!L12</f>
        <v>6.0523299164190192E-3</v>
      </c>
    </row>
  </sheetData>
  <mergeCells count="1">
    <mergeCell ref="D3:E3"/>
  </mergeCells>
  <phoneticPr fontId="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Death Table</vt:lpstr>
      <vt:lpstr>Death Fig</vt:lpstr>
      <vt:lpstr>DALYs Table</vt:lpstr>
      <vt:lpstr>DALYs Fig</vt:lpstr>
      <vt:lpstr>AEB</vt:lpstr>
      <vt:lpstr>SM</vt:lpstr>
      <vt:lpstr>HR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Bhalla</dc:creator>
  <cp:lastModifiedBy>Windows ユーザー</cp:lastModifiedBy>
  <cp:lastPrinted>2022-03-13T02:58:43Z</cp:lastPrinted>
  <dcterms:created xsi:type="dcterms:W3CDTF">2015-01-21T15:58:21Z</dcterms:created>
  <dcterms:modified xsi:type="dcterms:W3CDTF">2022-04-28T03:41:35Z</dcterms:modified>
</cp:coreProperties>
</file>