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GitHub/Fiscal-Impact-Measure/documentation/COVID-19 Changes/September/"/>
    </mc:Choice>
  </mc:AlternateContent>
  <xr:revisionPtr revIDLastSave="0" documentId="13_ncr:1_{0D55A712-DDC2-D448-A6B9-D2D3C56B7FF7}" xr6:coauthVersionLast="45" xr6:coauthVersionMax="45" xr10:uidLastSave="{00000000-0000-0000-0000-000000000000}"/>
  <bookViews>
    <workbookView xWindow="0" yWindow="0" windowWidth="33600" windowHeight="21000" activeTab="2" xr2:uid="{BAFE3F49-3B7E-4387-938E-5F3D7AC6DAFE}"/>
  </bookViews>
  <sheets>
    <sheet name="main" sheetId="1" r:id="rId1"/>
    <sheet name="add-ons calculations" sheetId="5" r:id="rId2"/>
    <sheet name="FIM Add Factors" sheetId="9" r:id="rId3"/>
    <sheet name="MPC" sheetId="8" r:id="rId4"/>
    <sheet name="figuring out Medicaid" sheetId="7" r:id="rId5"/>
    <sheet name="add-ons - Kadija b4" sheetId="6" state="hidden" r:id="rId6"/>
    <sheet name="figuring out UI" sheetId="4" r:id="rId7"/>
    <sheet name="figuring NIPA tax changes" sheetId="3" r:id="rId8"/>
    <sheet name="figuring out social benefits" sheetId="2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86" i="1" l="1"/>
  <c r="X86" i="1"/>
  <c r="W86" i="1"/>
  <c r="Y85" i="1"/>
  <c r="Y87" i="1" s="1"/>
  <c r="R31" i="5" s="1"/>
  <c r="X85" i="1"/>
  <c r="X87" i="1" s="1"/>
  <c r="Q31" i="5" s="1"/>
  <c r="W85" i="1"/>
  <c r="W87" i="1" s="1"/>
  <c r="P31" i="5" s="1"/>
  <c r="S31" i="5"/>
  <c r="T31" i="5"/>
  <c r="U31" i="5"/>
  <c r="V31" i="5"/>
  <c r="W31" i="5"/>
  <c r="X31" i="5"/>
  <c r="Y31" i="5"/>
  <c r="Z31" i="5"/>
  <c r="AA31" i="5"/>
  <c r="N81" i="1"/>
  <c r="O81" i="1" s="1"/>
  <c r="P81" i="1" s="1"/>
  <c r="Q81" i="1" s="1"/>
  <c r="R81" i="1" s="1"/>
  <c r="S81" i="1" s="1"/>
  <c r="K82" i="1"/>
  <c r="K78" i="1"/>
  <c r="E78" i="1"/>
  <c r="F78" i="1"/>
  <c r="G78" i="1"/>
  <c r="H78" i="1"/>
  <c r="I78" i="1"/>
  <c r="J78" i="1"/>
  <c r="J82" i="1"/>
  <c r="I82" i="1"/>
  <c r="K33" i="1" l="1"/>
  <c r="N36" i="1"/>
  <c r="K49" i="1" l="1"/>
  <c r="J49" i="1"/>
  <c r="M32" i="1"/>
  <c r="M36" i="1"/>
  <c r="L33" i="1" s="1"/>
  <c r="M39" i="1"/>
  <c r="M40" i="1"/>
  <c r="M80" i="1"/>
  <c r="M77" i="1"/>
  <c r="M74" i="1"/>
  <c r="M72" i="1"/>
  <c r="M71" i="1"/>
  <c r="M67" i="1"/>
  <c r="M65" i="1"/>
  <c r="M64" i="1"/>
  <c r="M61" i="1"/>
  <c r="M60" i="1"/>
  <c r="M59" i="1"/>
  <c r="M57" i="1"/>
  <c r="M54" i="1"/>
  <c r="M48" i="1"/>
  <c r="M46" i="1"/>
  <c r="M43" i="1"/>
  <c r="M42" i="1"/>
  <c r="M33" i="1"/>
  <c r="M31" i="1"/>
  <c r="M30" i="1"/>
  <c r="M25" i="1"/>
  <c r="M24" i="1"/>
  <c r="M23" i="1"/>
  <c r="M16" i="1"/>
  <c r="M14" i="1"/>
  <c r="M12" i="1"/>
  <c r="M7" i="1"/>
  <c r="M5" i="1"/>
  <c r="K72" i="1"/>
  <c r="K55" i="1"/>
  <c r="M55" i="1" s="1"/>
  <c r="N16" i="1"/>
  <c r="N6" i="1"/>
  <c r="N12" i="1"/>
  <c r="N14" i="1"/>
  <c r="N11" i="1" l="1"/>
  <c r="T26" i="5"/>
  <c r="AA25" i="5"/>
  <c r="AA26" i="5" s="1"/>
  <c r="Z25" i="5"/>
  <c r="Y25" i="5"/>
  <c r="X25" i="5"/>
  <c r="W25" i="5"/>
  <c r="V25" i="5"/>
  <c r="U25" i="5"/>
  <c r="U26" i="5" s="1"/>
  <c r="T25" i="5"/>
  <c r="S25" i="5"/>
  <c r="R25" i="5"/>
  <c r="R26" i="5" s="1"/>
  <c r="Q25" i="5"/>
  <c r="Q26" i="5" s="1"/>
  <c r="P25" i="5"/>
  <c r="O25" i="5"/>
  <c r="N25" i="5"/>
  <c r="M25" i="5"/>
  <c r="L25" i="5"/>
  <c r="N32" i="5"/>
  <c r="O32" i="5"/>
  <c r="O33" i="5" s="1"/>
  <c r="P32" i="5"/>
  <c r="Q33" i="5" s="1"/>
  <c r="Q32" i="5"/>
  <c r="R32" i="5"/>
  <c r="S32" i="5"/>
  <c r="T32" i="5"/>
  <c r="T33" i="5" s="1"/>
  <c r="U32" i="5"/>
  <c r="U33" i="5" s="1"/>
  <c r="V32" i="5"/>
  <c r="W32" i="5"/>
  <c r="W33" i="5" s="1"/>
  <c r="X32" i="5"/>
  <c r="Y32" i="5"/>
  <c r="Z32" i="5"/>
  <c r="Z33" i="5" s="1"/>
  <c r="AA32" i="5"/>
  <c r="AA33" i="5"/>
  <c r="R33" i="5"/>
  <c r="AK31" i="1"/>
  <c r="AJ31" i="1"/>
  <c r="AI31" i="1"/>
  <c r="AH31" i="1"/>
  <c r="AA51" i="5"/>
  <c r="Z51" i="5"/>
  <c r="Y51" i="5"/>
  <c r="X51" i="5"/>
  <c r="W51" i="5"/>
  <c r="V51" i="5"/>
  <c r="U51" i="5"/>
  <c r="T51" i="5"/>
  <c r="S51" i="5"/>
  <c r="S52" i="5" s="1"/>
  <c r="R51" i="5"/>
  <c r="Q51" i="5"/>
  <c r="P51" i="5"/>
  <c r="O51" i="5"/>
  <c r="P52" i="5" s="1"/>
  <c r="N51" i="5"/>
  <c r="M51" i="5"/>
  <c r="L51" i="5"/>
  <c r="R71" i="5"/>
  <c r="S71" i="5"/>
  <c r="S72" i="5" s="1"/>
  <c r="T71" i="5"/>
  <c r="U71" i="5"/>
  <c r="U72" i="5" s="1"/>
  <c r="V71" i="5"/>
  <c r="W71" i="5"/>
  <c r="W72" i="5" s="1"/>
  <c r="X71" i="5"/>
  <c r="X72" i="5" s="1"/>
  <c r="Y71" i="5"/>
  <c r="Z71" i="5"/>
  <c r="Z72" i="5" s="1"/>
  <c r="AA71" i="5"/>
  <c r="AA72" i="5" s="1"/>
  <c r="V72" i="5"/>
  <c r="T72" i="5"/>
  <c r="N64" i="5"/>
  <c r="O64" i="5"/>
  <c r="P64" i="5"/>
  <c r="P65" i="5" s="1"/>
  <c r="Q64" i="5"/>
  <c r="Q65" i="5" s="1"/>
  <c r="R64" i="5"/>
  <c r="S64" i="5"/>
  <c r="T64" i="5"/>
  <c r="T65" i="5" s="1"/>
  <c r="U64" i="5"/>
  <c r="V64" i="5"/>
  <c r="W64" i="5"/>
  <c r="X64" i="5"/>
  <c r="X65" i="5" s="1"/>
  <c r="Y64" i="5"/>
  <c r="Y65" i="5" s="1"/>
  <c r="Z64" i="5"/>
  <c r="AA64" i="5"/>
  <c r="M64" i="5"/>
  <c r="F41" i="1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Y52" i="5" l="1"/>
  <c r="AA52" i="5"/>
  <c r="R52" i="5"/>
  <c r="O26" i="5"/>
  <c r="V26" i="5"/>
  <c r="N26" i="5"/>
  <c r="P26" i="5"/>
  <c r="S26" i="5"/>
  <c r="W26" i="5"/>
  <c r="Y26" i="5"/>
  <c r="Z26" i="5"/>
  <c r="T52" i="5"/>
  <c r="N52" i="5"/>
  <c r="X26" i="5"/>
  <c r="M52" i="5"/>
  <c r="Z52" i="5"/>
  <c r="V52" i="5"/>
  <c r="Y33" i="5"/>
  <c r="Q52" i="5"/>
  <c r="U52" i="5"/>
  <c r="X52" i="5"/>
  <c r="N31" i="1"/>
  <c r="O31" i="1" s="1"/>
  <c r="P31" i="1" s="1"/>
  <c r="Q31" i="1" s="1"/>
  <c r="R31" i="1" s="1"/>
  <c r="S31" i="1" s="1"/>
  <c r="T31" i="1" s="1"/>
  <c r="U31" i="1" s="1"/>
  <c r="V31" i="1" s="1"/>
  <c r="W31" i="1" s="1"/>
  <c r="X31" i="1" s="1"/>
  <c r="Y31" i="1" s="1"/>
  <c r="Y72" i="5"/>
  <c r="W52" i="5"/>
  <c r="O52" i="5"/>
  <c r="AA65" i="5"/>
  <c r="S65" i="5"/>
  <c r="P33" i="5"/>
  <c r="S33" i="5"/>
  <c r="X33" i="5"/>
  <c r="V33" i="5"/>
  <c r="U65" i="5"/>
  <c r="W65" i="5"/>
  <c r="O65" i="5"/>
  <c r="V65" i="5"/>
  <c r="N65" i="5"/>
  <c r="Z65" i="5"/>
  <c r="R65" i="5"/>
  <c r="Z66" i="1"/>
  <c r="Y66" i="1"/>
  <c r="X66" i="1"/>
  <c r="W66" i="1"/>
  <c r="P71" i="5"/>
  <c r="Q71" i="5"/>
  <c r="Q72" i="5" l="1"/>
  <c r="R72" i="5"/>
  <c r="O71" i="5"/>
  <c r="S47" i="1"/>
  <c r="N48" i="1"/>
  <c r="P48" i="1"/>
  <c r="Q48" i="1"/>
  <c r="R48" i="1"/>
  <c r="T48" i="1"/>
  <c r="U48" i="1"/>
  <c r="V48" i="1"/>
  <c r="T49" i="1"/>
  <c r="U49" i="1"/>
  <c r="V49" i="1"/>
  <c r="M49" i="1"/>
  <c r="O47" i="1" l="1"/>
  <c r="P47" i="1"/>
  <c r="U47" i="1"/>
  <c r="T47" i="1"/>
  <c r="N47" i="1"/>
  <c r="V47" i="1"/>
  <c r="R47" i="1"/>
  <c r="Q47" i="1"/>
  <c r="K47" i="1"/>
  <c r="M47" i="1" s="1"/>
  <c r="E44" i="5"/>
  <c r="L32" i="5"/>
  <c r="M32" i="5"/>
  <c r="L64" i="5"/>
  <c r="M65" i="5" s="1"/>
  <c r="L71" i="5"/>
  <c r="M71" i="5"/>
  <c r="N71" i="5"/>
  <c r="S58" i="1"/>
  <c r="T58" i="1"/>
  <c r="U58" i="1"/>
  <c r="V58" i="1"/>
  <c r="W58" i="1"/>
  <c r="T17" i="4"/>
  <c r="U17" i="4"/>
  <c r="V17" i="4"/>
  <c r="W17" i="4"/>
  <c r="N33" i="5" l="1"/>
  <c r="M33" i="5"/>
  <c r="N26" i="4"/>
  <c r="W18" i="4"/>
  <c r="V37" i="1" s="1"/>
  <c r="V33" i="1" s="1"/>
  <c r="V18" i="4"/>
  <c r="U37" i="1" s="1"/>
  <c r="U33" i="1" s="1"/>
  <c r="U18" i="4"/>
  <c r="T37" i="1" s="1"/>
  <c r="T33" i="1" s="1"/>
  <c r="T18" i="4"/>
  <c r="S37" i="1" s="1"/>
  <c r="S33" i="1" s="1"/>
  <c r="F29" i="4"/>
  <c r="V33" i="4"/>
  <c r="V26" i="4" s="1"/>
  <c r="U33" i="4"/>
  <c r="U26" i="4" s="1"/>
  <c r="T33" i="4"/>
  <c r="T26" i="4" s="1"/>
  <c r="S33" i="4"/>
  <c r="S37" i="4" s="1"/>
  <c r="V83" i="1"/>
  <c r="V46" i="1"/>
  <c r="U46" i="1"/>
  <c r="T46" i="1"/>
  <c r="S46" i="1"/>
  <c r="L63" i="5" s="1"/>
  <c r="S26" i="4" l="1"/>
  <c r="M63" i="5"/>
  <c r="L66" i="5"/>
  <c r="F45" i="5"/>
  <c r="G45" i="5"/>
  <c r="H45" i="5"/>
  <c r="I45" i="5"/>
  <c r="J45" i="5"/>
  <c r="K45" i="5"/>
  <c r="J22" i="1"/>
  <c r="E38" i="5" s="1"/>
  <c r="I22" i="1"/>
  <c r="H22" i="1"/>
  <c r="G22" i="1"/>
  <c r="F22" i="1"/>
  <c r="E22" i="1"/>
  <c r="D22" i="1"/>
  <c r="V6" i="1"/>
  <c r="U6" i="1"/>
  <c r="T6" i="1"/>
  <c r="S6" i="1"/>
  <c r="R6" i="1"/>
  <c r="Q6" i="1"/>
  <c r="P6" i="1"/>
  <c r="O6" i="1"/>
  <c r="K6" i="1"/>
  <c r="J6" i="1"/>
  <c r="I6" i="1"/>
  <c r="H6" i="1"/>
  <c r="G6" i="1"/>
  <c r="F6" i="1"/>
  <c r="E6" i="1"/>
  <c r="J27" i="1"/>
  <c r="I27" i="1"/>
  <c r="H27" i="1"/>
  <c r="G27" i="1"/>
  <c r="F27" i="1"/>
  <c r="E27" i="1"/>
  <c r="D27" i="1"/>
  <c r="S40" i="4"/>
  <c r="M66" i="5" l="1"/>
  <c r="N63" i="5"/>
  <c r="N24" i="1"/>
  <c r="O24" i="1" s="1"/>
  <c r="P24" i="1" s="1"/>
  <c r="Q24" i="1" s="1"/>
  <c r="R24" i="1" s="1"/>
  <c r="S24" i="1" s="1"/>
  <c r="T24" i="1" s="1"/>
  <c r="U24" i="1" s="1"/>
  <c r="V24" i="1" s="1"/>
  <c r="K26" i="1"/>
  <c r="M26" i="1" s="1"/>
  <c r="N25" i="1"/>
  <c r="O25" i="1" s="1"/>
  <c r="P25" i="1" s="1"/>
  <c r="Q25" i="1" s="1"/>
  <c r="R25" i="1" s="1"/>
  <c r="S25" i="1" s="1"/>
  <c r="T25" i="1" s="1"/>
  <c r="U25" i="1" s="1"/>
  <c r="V25" i="1" s="1"/>
  <c r="N66" i="5" l="1"/>
  <c r="O63" i="5"/>
  <c r="F44" i="5"/>
  <c r="F46" i="5" s="1"/>
  <c r="N26" i="1"/>
  <c r="K22" i="1"/>
  <c r="N23" i="1"/>
  <c r="F38" i="5" l="1"/>
  <c r="M22" i="1"/>
  <c r="P63" i="5"/>
  <c r="O66" i="5"/>
  <c r="O26" i="1"/>
  <c r="G44" i="5"/>
  <c r="G46" i="5" s="1"/>
  <c r="O23" i="1"/>
  <c r="N22" i="1"/>
  <c r="G38" i="5" s="1"/>
  <c r="Q63" i="5" l="1"/>
  <c r="P66" i="5"/>
  <c r="P26" i="1"/>
  <c r="H44" i="5"/>
  <c r="H46" i="5" s="1"/>
  <c r="P23" i="1"/>
  <c r="O22" i="1"/>
  <c r="H38" i="5" s="1"/>
  <c r="Q66" i="5" l="1"/>
  <c r="R63" i="5"/>
  <c r="Q26" i="1"/>
  <c r="I44" i="5"/>
  <c r="I46" i="5" s="1"/>
  <c r="Q23" i="1"/>
  <c r="P22" i="1"/>
  <c r="I38" i="5" s="1"/>
  <c r="S63" i="5" l="1"/>
  <c r="R66" i="5"/>
  <c r="R26" i="1"/>
  <c r="J44" i="5"/>
  <c r="J46" i="5" s="1"/>
  <c r="R23" i="1"/>
  <c r="Q22" i="1"/>
  <c r="J38" i="5" s="1"/>
  <c r="T63" i="5" l="1"/>
  <c r="S66" i="5"/>
  <c r="S26" i="1"/>
  <c r="T26" i="1" s="1"/>
  <c r="U26" i="1" s="1"/>
  <c r="V26" i="1" s="1"/>
  <c r="K44" i="5"/>
  <c r="K46" i="5" s="1"/>
  <c r="E2" i="9" s="1" a="1"/>
  <c r="S23" i="1"/>
  <c r="R22" i="1"/>
  <c r="K38" i="5" s="1"/>
  <c r="T66" i="5" l="1"/>
  <c r="U63" i="5"/>
  <c r="E2" i="9"/>
  <c r="E9" i="9"/>
  <c r="E16" i="9"/>
  <c r="E11" i="9"/>
  <c r="E13" i="9"/>
  <c r="E23" i="9"/>
  <c r="E19" i="9"/>
  <c r="E8" i="9"/>
  <c r="E3" i="9"/>
  <c r="E12" i="9"/>
  <c r="E10" i="9"/>
  <c r="E14" i="9"/>
  <c r="E15" i="9"/>
  <c r="E17" i="9"/>
  <c r="E18" i="9"/>
  <c r="E6" i="9"/>
  <c r="E4" i="9"/>
  <c r="E7" i="9"/>
  <c r="E5" i="9"/>
  <c r="E22" i="9"/>
  <c r="E20" i="9"/>
  <c r="E21" i="9"/>
  <c r="T23" i="1"/>
  <c r="S22" i="1"/>
  <c r="V63" i="5" l="1"/>
  <c r="U66" i="5"/>
  <c r="U23" i="1"/>
  <c r="T22" i="1"/>
  <c r="W63" i="5" l="1"/>
  <c r="V66" i="5"/>
  <c r="U22" i="1"/>
  <c r="V23" i="1"/>
  <c r="V22" i="1" s="1"/>
  <c r="AC14" i="1"/>
  <c r="X63" i="5" l="1"/>
  <c r="W66" i="5"/>
  <c r="F25" i="5"/>
  <c r="AB18" i="1"/>
  <c r="AB16" i="1"/>
  <c r="AB14" i="1"/>
  <c r="AB12" i="1"/>
  <c r="J11" i="1"/>
  <c r="I11" i="1"/>
  <c r="H11" i="1"/>
  <c r="G11" i="1"/>
  <c r="F11" i="1"/>
  <c r="E11" i="1"/>
  <c r="D11" i="1"/>
  <c r="O14" i="1"/>
  <c r="P14" i="1" s="1"/>
  <c r="Q14" i="1" s="1"/>
  <c r="R14" i="1" s="1"/>
  <c r="S14" i="1" s="1"/>
  <c r="T14" i="1" s="1"/>
  <c r="U14" i="1" s="1"/>
  <c r="V14" i="1" s="1"/>
  <c r="X66" i="5" l="1"/>
  <c r="Y63" i="5"/>
  <c r="D28" i="8"/>
  <c r="C15" i="8" s="1"/>
  <c r="H20" i="8" s="1"/>
  <c r="D27" i="8"/>
  <c r="D26" i="8"/>
  <c r="L21" i="8"/>
  <c r="F17" i="8"/>
  <c r="G17" i="8" s="1"/>
  <c r="H17" i="8" s="1"/>
  <c r="C17" i="8"/>
  <c r="L16" i="8"/>
  <c r="C16" i="8"/>
  <c r="L15" i="8"/>
  <c r="D8" i="8"/>
  <c r="D7" i="8"/>
  <c r="P6" i="8"/>
  <c r="D6" i="8"/>
  <c r="C6" i="8"/>
  <c r="D5" i="8"/>
  <c r="E5" i="8" s="1"/>
  <c r="Z63" i="5" l="1"/>
  <c r="Y66" i="5"/>
  <c r="E7" i="8"/>
  <c r="F5" i="8"/>
  <c r="E9" i="8"/>
  <c r="I17" i="8"/>
  <c r="H18" i="8"/>
  <c r="D9" i="8"/>
  <c r="D18" i="8"/>
  <c r="D19" i="8"/>
  <c r="I18" i="8"/>
  <c r="E18" i="8"/>
  <c r="D20" i="8"/>
  <c r="F18" i="8"/>
  <c r="E20" i="8"/>
  <c r="G18" i="8"/>
  <c r="F20" i="8"/>
  <c r="G20" i="8"/>
  <c r="AA63" i="5" l="1"/>
  <c r="AA66" i="5" s="1"/>
  <c r="Z66" i="5"/>
  <c r="J17" i="8"/>
  <c r="I20" i="8"/>
  <c r="G5" i="8"/>
  <c r="F7" i="8"/>
  <c r="F9" i="8"/>
  <c r="H5" i="8" l="1"/>
  <c r="G9" i="8"/>
  <c r="G7" i="8"/>
  <c r="K17" i="8"/>
  <c r="L17" i="8"/>
  <c r="J18" i="8"/>
  <c r="J20" i="8"/>
  <c r="K20" i="8" l="1"/>
  <c r="L20" i="8" s="1"/>
  <c r="K18" i="8"/>
  <c r="H9" i="8"/>
  <c r="H7" i="8"/>
  <c r="I5" i="8"/>
  <c r="I9" i="8" l="1"/>
  <c r="J5" i="8"/>
  <c r="I7" i="8"/>
  <c r="K5" i="8" l="1"/>
  <c r="J9" i="8"/>
  <c r="J7" i="8"/>
  <c r="L5" i="8" l="1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J72" i="1" l="1"/>
  <c r="I72" i="1"/>
  <c r="H72" i="1"/>
  <c r="G72" i="1"/>
  <c r="F72" i="1"/>
  <c r="E72" i="1"/>
  <c r="D72" i="1"/>
  <c r="J58" i="1"/>
  <c r="E55" i="1"/>
  <c r="F55" i="1"/>
  <c r="G55" i="1"/>
  <c r="H55" i="1"/>
  <c r="I55" i="1"/>
  <c r="J55" i="1"/>
  <c r="J56" i="1" s="1"/>
  <c r="D55" i="1"/>
  <c r="AJ67" i="1"/>
  <c r="AI67" i="1"/>
  <c r="AH67" i="1"/>
  <c r="H76" i="1"/>
  <c r="I76" i="1"/>
  <c r="F15" i="7" s="1"/>
  <c r="J15" i="7" s="1"/>
  <c r="J13" i="7" s="1"/>
  <c r="E76" i="1"/>
  <c r="F76" i="1"/>
  <c r="G76" i="1"/>
  <c r="D76" i="1"/>
  <c r="J62" i="1" l="1"/>
  <c r="E70" i="5" s="1"/>
  <c r="J2" i="9" s="1"/>
  <c r="H15" i="7"/>
  <c r="H13" i="7" s="1"/>
  <c r="AI74" i="1" s="1"/>
  <c r="K15" i="7"/>
  <c r="K13" i="7" s="1"/>
  <c r="F13" i="7"/>
  <c r="G15" i="7"/>
  <c r="G13" i="7" s="1"/>
  <c r="AH74" i="1" s="1"/>
  <c r="I15" i="7"/>
  <c r="I13" i="7" s="1"/>
  <c r="AJ74" i="1" s="1"/>
  <c r="I62" i="1"/>
  <c r="N77" i="1"/>
  <c r="O77" i="1" s="1"/>
  <c r="P77" i="1" s="1"/>
  <c r="Q77" i="1" s="1"/>
  <c r="R77" i="1" s="1"/>
  <c r="S77" i="1" s="1"/>
  <c r="T77" i="1" s="1"/>
  <c r="U77" i="1" s="1"/>
  <c r="V77" i="1" s="1"/>
  <c r="T83" i="1"/>
  <c r="T81" i="1" s="1"/>
  <c r="U83" i="1"/>
  <c r="U81" i="1" l="1"/>
  <c r="V81" i="1" s="1"/>
  <c r="N74" i="1"/>
  <c r="O74" i="1" s="1"/>
  <c r="P74" i="1" s="1"/>
  <c r="Q74" i="1" s="1"/>
  <c r="R74" i="1" s="1"/>
  <c r="S74" i="1" s="1"/>
  <c r="T74" i="1" s="1"/>
  <c r="U74" i="1" s="1"/>
  <c r="V74" i="1" s="1"/>
  <c r="V67" i="1" s="1"/>
  <c r="L15" i="7"/>
  <c r="L13" i="7" s="1"/>
  <c r="AC74" i="1"/>
  <c r="D25" i="5"/>
  <c r="J69" i="1"/>
  <c r="E50" i="5" s="1"/>
  <c r="K86" i="1"/>
  <c r="M86" i="1" s="1"/>
  <c r="D85" i="1"/>
  <c r="D87" i="1" s="1"/>
  <c r="J86" i="1"/>
  <c r="D24" i="5" s="1"/>
  <c r="K38" i="1"/>
  <c r="J38" i="1"/>
  <c r="M38" i="1" l="1"/>
  <c r="K41" i="1"/>
  <c r="V86" i="1"/>
  <c r="N67" i="1"/>
  <c r="E24" i="5"/>
  <c r="K58" i="1"/>
  <c r="M58" i="1" s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D35" i="6"/>
  <c r="D32" i="6" s="1"/>
  <c r="G33" i="6"/>
  <c r="F33" i="6"/>
  <c r="E32" i="6"/>
  <c r="E34" i="6" s="1"/>
  <c r="K27" i="6"/>
  <c r="J27" i="6"/>
  <c r="I27" i="6"/>
  <c r="H27" i="6"/>
  <c r="G27" i="6"/>
  <c r="F27" i="6"/>
  <c r="E27" i="6"/>
  <c r="E24" i="6" s="1"/>
  <c r="E26" i="6" s="1"/>
  <c r="D27" i="6"/>
  <c r="D24" i="6"/>
  <c r="E63" i="5"/>
  <c r="N66" i="1"/>
  <c r="O66" i="1"/>
  <c r="P66" i="1"/>
  <c r="Q66" i="1"/>
  <c r="R66" i="1"/>
  <c r="S66" i="1"/>
  <c r="T66" i="1"/>
  <c r="U66" i="1"/>
  <c r="V66" i="1"/>
  <c r="K66" i="1"/>
  <c r="K56" i="1" s="1"/>
  <c r="M56" i="1" s="1"/>
  <c r="O38" i="1"/>
  <c r="P38" i="1"/>
  <c r="Q38" i="1"/>
  <c r="R38" i="1"/>
  <c r="N38" i="1"/>
  <c r="O67" i="1" l="1"/>
  <c r="AD74" i="1"/>
  <c r="N56" i="1"/>
  <c r="O56" i="1" s="1"/>
  <c r="E54" i="6"/>
  <c r="E56" i="6" s="1"/>
  <c r="F54" i="6"/>
  <c r="K62" i="1"/>
  <c r="P67" i="1"/>
  <c r="G54" i="6"/>
  <c r="F56" i="6"/>
  <c r="F58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F70" i="5" l="1"/>
  <c r="J3" i="9" s="1"/>
  <c r="M62" i="1"/>
  <c r="P56" i="1"/>
  <c r="Q67" i="1"/>
  <c r="G32" i="6"/>
  <c r="F34" i="6"/>
  <c r="F36" i="6" s="1"/>
  <c r="G50" i="6"/>
  <c r="H48" i="6"/>
  <c r="H62" i="6"/>
  <c r="G64" i="6"/>
  <c r="G66" i="6" s="1"/>
  <c r="G24" i="6"/>
  <c r="G76" i="6"/>
  <c r="G56" i="6"/>
  <c r="G58" i="6" s="1"/>
  <c r="H54" i="6"/>
  <c r="I41" i="6"/>
  <c r="H43" i="6"/>
  <c r="Q56" i="1" l="1"/>
  <c r="R67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H56" i="6"/>
  <c r="H58" i="6" s="1"/>
  <c r="I54" i="6"/>
  <c r="G34" i="6"/>
  <c r="G36" i="6" s="1"/>
  <c r="H32" i="6"/>
  <c r="R56" i="1" l="1"/>
  <c r="S56" i="1" s="1"/>
  <c r="S67" i="1"/>
  <c r="J43" i="6"/>
  <c r="K41" i="6"/>
  <c r="K43" i="6" s="1"/>
  <c r="J48" i="6"/>
  <c r="I50" i="6"/>
  <c r="I64" i="6"/>
  <c r="I66" i="6" s="1"/>
  <c r="J62" i="6"/>
  <c r="H34" i="6"/>
  <c r="H36" i="6" s="1"/>
  <c r="I32" i="6"/>
  <c r="I56" i="6"/>
  <c r="I58" i="6" s="1"/>
  <c r="J54" i="6"/>
  <c r="H80" i="6"/>
  <c r="H82" i="6" s="1"/>
  <c r="I76" i="6"/>
  <c r="H26" i="6"/>
  <c r="H28" i="6" s="1"/>
  <c r="I24" i="6"/>
  <c r="T56" i="1" l="1"/>
  <c r="S62" i="1"/>
  <c r="L70" i="5" s="1"/>
  <c r="L73" i="5" s="1"/>
  <c r="T67" i="1"/>
  <c r="U67" i="1"/>
  <c r="AE74" i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K54" i="6"/>
  <c r="K56" i="6" s="1"/>
  <c r="K58" i="6" s="1"/>
  <c r="J56" i="6"/>
  <c r="J58" i="6" s="1"/>
  <c r="U56" i="1" l="1"/>
  <c r="T62" i="1"/>
  <c r="M70" i="5" s="1"/>
  <c r="M73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V56" i="1" l="1"/>
  <c r="U62" i="1"/>
  <c r="N70" i="5" s="1"/>
  <c r="N73" i="5" s="1"/>
  <c r="N58" i="1"/>
  <c r="N62" i="1" s="1"/>
  <c r="O58" i="1"/>
  <c r="O62" i="1" s="1"/>
  <c r="P58" i="1"/>
  <c r="P62" i="1" s="1"/>
  <c r="Q58" i="1"/>
  <c r="Q62" i="1" s="1"/>
  <c r="R58" i="1"/>
  <c r="R62" i="1" s="1"/>
  <c r="N46" i="1"/>
  <c r="O46" i="1"/>
  <c r="P46" i="1"/>
  <c r="Q46" i="1"/>
  <c r="R46" i="1"/>
  <c r="E71" i="5"/>
  <c r="F71" i="5"/>
  <c r="F73" i="5" s="1"/>
  <c r="G71" i="5"/>
  <c r="H71" i="5"/>
  <c r="I71" i="5"/>
  <c r="J71" i="5"/>
  <c r="K71" i="5"/>
  <c r="D71" i="5"/>
  <c r="E64" i="5"/>
  <c r="F64" i="5"/>
  <c r="G64" i="5"/>
  <c r="H64" i="5"/>
  <c r="I64" i="5"/>
  <c r="J64" i="5"/>
  <c r="K64" i="5"/>
  <c r="D64" i="5"/>
  <c r="E58" i="5"/>
  <c r="F58" i="5"/>
  <c r="G58" i="5"/>
  <c r="H58" i="5"/>
  <c r="I58" i="5"/>
  <c r="J58" i="5"/>
  <c r="K58" i="5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G39" i="5"/>
  <c r="G40" i="5" s="1"/>
  <c r="H39" i="5"/>
  <c r="H40" i="5" s="1"/>
  <c r="I39" i="5"/>
  <c r="I40" i="5" s="1"/>
  <c r="J39" i="5"/>
  <c r="J40" i="5" s="1"/>
  <c r="K39" i="5"/>
  <c r="K40" i="5" s="1"/>
  <c r="D39" i="5"/>
  <c r="P32" i="1"/>
  <c r="O32" i="1"/>
  <c r="D2" i="9" l="1" a="1"/>
  <c r="D18" i="9" s="1"/>
  <c r="K52" i="5"/>
  <c r="L52" i="5"/>
  <c r="V62" i="1"/>
  <c r="O70" i="5" s="1"/>
  <c r="O73" i="5" s="1"/>
  <c r="W56" i="1"/>
  <c r="W62" i="1" s="1"/>
  <c r="P70" i="5" s="1"/>
  <c r="G63" i="5"/>
  <c r="G66" i="5" s="1"/>
  <c r="G70" i="6"/>
  <c r="G72" i="6" s="1"/>
  <c r="I70" i="6"/>
  <c r="I72" i="6" s="1"/>
  <c r="I63" i="5"/>
  <c r="I66" i="5" s="1"/>
  <c r="F63" i="5"/>
  <c r="F66" i="5" s="1"/>
  <c r="F70" i="6"/>
  <c r="F72" i="6" s="1"/>
  <c r="H70" i="6"/>
  <c r="H72" i="6" s="1"/>
  <c r="H63" i="5"/>
  <c r="H66" i="5" s="1"/>
  <c r="K70" i="6"/>
  <c r="K72" i="6" s="1"/>
  <c r="K63" i="5"/>
  <c r="K66" i="5" s="1"/>
  <c r="J63" i="5"/>
  <c r="J66" i="5" s="1"/>
  <c r="J70" i="6"/>
  <c r="J72" i="6" s="1"/>
  <c r="N54" i="1"/>
  <c r="D7" i="9" l="1"/>
  <c r="D14" i="9"/>
  <c r="D11" i="9"/>
  <c r="D19" i="9"/>
  <c r="D13" i="9"/>
  <c r="D20" i="9"/>
  <c r="D12" i="9"/>
  <c r="D4" i="9"/>
  <c r="D5" i="9"/>
  <c r="D8" i="9"/>
  <c r="D3" i="9"/>
  <c r="D21" i="9"/>
  <c r="D2" i="9"/>
  <c r="D15" i="9"/>
  <c r="D9" i="9"/>
  <c r="D16" i="9"/>
  <c r="D17" i="9"/>
  <c r="D10" i="9"/>
  <c r="D23" i="9"/>
  <c r="D6" i="9"/>
  <c r="D22" i="9"/>
  <c r="P73" i="5"/>
  <c r="Q70" i="5"/>
  <c r="H2" i="9" a="1"/>
  <c r="O54" i="1"/>
  <c r="Q73" i="5" l="1"/>
  <c r="R70" i="5"/>
  <c r="H2" i="9"/>
  <c r="H20" i="9"/>
  <c r="H6" i="9"/>
  <c r="H17" i="9"/>
  <c r="H19" i="9"/>
  <c r="H21" i="9"/>
  <c r="H18" i="9"/>
  <c r="H7" i="9"/>
  <c r="H11" i="9"/>
  <c r="H5" i="9"/>
  <c r="H16" i="9"/>
  <c r="H4" i="9"/>
  <c r="H3" i="9"/>
  <c r="H12" i="9"/>
  <c r="H9" i="9"/>
  <c r="H13" i="9"/>
  <c r="H15" i="9"/>
  <c r="H8" i="9"/>
  <c r="H10" i="9"/>
  <c r="H14" i="9"/>
  <c r="H23" i="9"/>
  <c r="H22" i="9"/>
  <c r="P54" i="1"/>
  <c r="S70" i="5" l="1"/>
  <c r="R73" i="5"/>
  <c r="R54" i="1"/>
  <c r="Q54" i="1"/>
  <c r="T70" i="5" l="1"/>
  <c r="S73" i="5"/>
  <c r="E85" i="1"/>
  <c r="E87" i="1" s="1"/>
  <c r="F85" i="1"/>
  <c r="F87" i="1" s="1"/>
  <c r="G85" i="1"/>
  <c r="G87" i="1" s="1"/>
  <c r="H85" i="1"/>
  <c r="H87" i="1" s="1"/>
  <c r="I85" i="1"/>
  <c r="I87" i="1" s="1"/>
  <c r="M8" i="4"/>
  <c r="U70" i="5" l="1"/>
  <c r="T73" i="5"/>
  <c r="AD38" i="1"/>
  <c r="AE38" i="1"/>
  <c r="X42" i="2"/>
  <c r="F47" i="2"/>
  <c r="X41" i="2"/>
  <c r="X40" i="2"/>
  <c r="X38" i="2"/>
  <c r="X37" i="2"/>
  <c r="X36" i="2"/>
  <c r="X35" i="2"/>
  <c r="X34" i="2"/>
  <c r="S35" i="1"/>
  <c r="T35" i="1"/>
  <c r="U35" i="1"/>
  <c r="J41" i="1"/>
  <c r="I41" i="1"/>
  <c r="H41" i="1"/>
  <c r="AC38" i="1"/>
  <c r="G48" i="2"/>
  <c r="AH38" i="1" s="1"/>
  <c r="AH43" i="1" s="1"/>
  <c r="AC32" i="1"/>
  <c r="S18" i="4"/>
  <c r="R37" i="1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/>
  <c r="F30" i="4"/>
  <c r="F32" i="4" s="1"/>
  <c r="F33" i="4" s="1"/>
  <c r="G30" i="4"/>
  <c r="H30" i="4"/>
  <c r="F31" i="4"/>
  <c r="G31" i="4"/>
  <c r="H31" i="4"/>
  <c r="H32" i="4"/>
  <c r="H33" i="4" s="1"/>
  <c r="K26" i="4"/>
  <c r="K34" i="4" s="1"/>
  <c r="L30" i="4"/>
  <c r="M12" i="4"/>
  <c r="M30" i="4" s="1"/>
  <c r="N30" i="4" s="1"/>
  <c r="N12" i="4" s="1"/>
  <c r="L29" i="4"/>
  <c r="M11" i="4"/>
  <c r="M29" i="4" s="1"/>
  <c r="N29" i="4" s="1"/>
  <c r="N11" i="4" s="1"/>
  <c r="L28" i="4"/>
  <c r="L37" i="4" s="1"/>
  <c r="L17" i="4" s="1"/>
  <c r="M10" i="4"/>
  <c r="O26" i="4" l="1"/>
  <c r="O37" i="4"/>
  <c r="O40" i="4" s="1"/>
  <c r="Q26" i="4"/>
  <c r="Q37" i="4"/>
  <c r="Q40" i="4" s="1"/>
  <c r="P26" i="4"/>
  <c r="P37" i="4"/>
  <c r="P40" i="4" s="1"/>
  <c r="R26" i="4"/>
  <c r="R37" i="4"/>
  <c r="R40" i="4" s="1"/>
  <c r="J42" i="1"/>
  <c r="H68" i="1"/>
  <c r="I68" i="1"/>
  <c r="D57" i="5" s="1"/>
  <c r="I42" i="1"/>
  <c r="V70" i="5"/>
  <c r="U73" i="5"/>
  <c r="G47" i="2"/>
  <c r="I44" i="1"/>
  <c r="H44" i="1"/>
  <c r="G32" i="4"/>
  <c r="G33" i="4" s="1"/>
  <c r="K38" i="4"/>
  <c r="K18" i="4" s="1"/>
  <c r="G49" i="2"/>
  <c r="G50" i="2" s="1"/>
  <c r="X43" i="2"/>
  <c r="AE37" i="1"/>
  <c r="Q17" i="4"/>
  <c r="P35" i="1" s="1"/>
  <c r="P34" i="1" s="1"/>
  <c r="Q18" i="4"/>
  <c r="P37" i="1" s="1"/>
  <c r="S17" i="4"/>
  <c r="R35" i="1" s="1"/>
  <c r="L26" i="4"/>
  <c r="M26" i="4"/>
  <c r="M28" i="4"/>
  <c r="R17" i="4" l="1"/>
  <c r="Q35" i="1" s="1"/>
  <c r="Q34" i="1" s="1"/>
  <c r="P17" i="4"/>
  <c r="O35" i="1" s="1"/>
  <c r="O34" i="1" s="1"/>
  <c r="O17" i="4"/>
  <c r="N35" i="1" s="1"/>
  <c r="N34" i="1" s="1"/>
  <c r="N41" i="1"/>
  <c r="O41" i="1" s="1"/>
  <c r="P41" i="1" s="1"/>
  <c r="Q41" i="1" s="1"/>
  <c r="R41" i="1" s="1"/>
  <c r="S41" i="1" s="1"/>
  <c r="T41" i="1" s="1"/>
  <c r="U41" i="1" s="1"/>
  <c r="M41" i="1"/>
  <c r="W70" i="5"/>
  <c r="V73" i="5"/>
  <c r="P33" i="1"/>
  <c r="R34" i="1"/>
  <c r="R33" i="1" s="1"/>
  <c r="AE33" i="1" s="1"/>
  <c r="AD35" i="1"/>
  <c r="N28" i="4"/>
  <c r="M33" i="4"/>
  <c r="M37" i="4" s="1"/>
  <c r="M17" i="4" s="1"/>
  <c r="J35" i="1" s="1"/>
  <c r="J34" i="1" s="1"/>
  <c r="AE35" i="1"/>
  <c r="L34" i="4"/>
  <c r="L38" i="4"/>
  <c r="L18" i="4" s="1"/>
  <c r="P18" i="4"/>
  <c r="O37" i="1" s="1"/>
  <c r="O33" i="1" s="1"/>
  <c r="O18" i="4"/>
  <c r="N37" i="1" s="1"/>
  <c r="N33" i="1" s="1"/>
  <c r="R18" i="4"/>
  <c r="Q37" i="1" s="1"/>
  <c r="Q33" i="1" s="1"/>
  <c r="M34" i="4" l="1"/>
  <c r="X70" i="5"/>
  <c r="W73" i="5"/>
  <c r="J68" i="1"/>
  <c r="E57" i="5" s="1"/>
  <c r="J44" i="1"/>
  <c r="N33" i="4"/>
  <c r="N17" i="4" s="1"/>
  <c r="K35" i="1" s="1"/>
  <c r="M35" i="1" s="1"/>
  <c r="N10" i="4"/>
  <c r="AD37" i="1"/>
  <c r="M38" i="4"/>
  <c r="M18" i="4" s="1"/>
  <c r="J37" i="1" s="1"/>
  <c r="N8" i="4"/>
  <c r="N18" i="4"/>
  <c r="K37" i="1" s="1"/>
  <c r="M37" i="1" s="1"/>
  <c r="K20" i="3"/>
  <c r="L20" i="3"/>
  <c r="M20" i="3"/>
  <c r="N20" i="3"/>
  <c r="O20" i="3"/>
  <c r="P20" i="3"/>
  <c r="Q20" i="3"/>
  <c r="R20" i="3"/>
  <c r="J20" i="3"/>
  <c r="I20" i="3"/>
  <c r="H20" i="3"/>
  <c r="AJ16" i="1" s="1"/>
  <c r="G20" i="3"/>
  <c r="AI16" i="1" s="1"/>
  <c r="F20" i="3"/>
  <c r="AH16" i="1" s="1"/>
  <c r="G21" i="3"/>
  <c r="AI18" i="1" s="1"/>
  <c r="H21" i="3"/>
  <c r="AJ18" i="1" s="1"/>
  <c r="I21" i="3"/>
  <c r="J21" i="3"/>
  <c r="K21" i="3"/>
  <c r="L21" i="3"/>
  <c r="M21" i="3"/>
  <c r="N21" i="3"/>
  <c r="O21" i="3"/>
  <c r="P21" i="3"/>
  <c r="Q21" i="3"/>
  <c r="R21" i="3"/>
  <c r="F21" i="3"/>
  <c r="AH18" i="1" s="1"/>
  <c r="K18" i="1" s="1"/>
  <c r="M18" i="1" s="1"/>
  <c r="G19" i="3"/>
  <c r="AI12" i="1" s="1"/>
  <c r="H19" i="3"/>
  <c r="AJ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H12" i="1" s="1"/>
  <c r="AC12" i="1" s="1"/>
  <c r="E41" i="1"/>
  <c r="F68" i="1"/>
  <c r="G41" i="1"/>
  <c r="D41" i="1"/>
  <c r="D68" i="1" s="1"/>
  <c r="AB33" i="1"/>
  <c r="I47" i="2"/>
  <c r="H47" i="2"/>
  <c r="F24" i="2"/>
  <c r="E68" i="1" l="1"/>
  <c r="E42" i="1"/>
  <c r="F42" i="1"/>
  <c r="G68" i="1"/>
  <c r="G42" i="1"/>
  <c r="H42" i="1"/>
  <c r="Y70" i="5"/>
  <c r="X73" i="5"/>
  <c r="O16" i="1"/>
  <c r="P16" i="1" s="1"/>
  <c r="Q16" i="1" s="1"/>
  <c r="R16" i="1" s="1"/>
  <c r="S16" i="1" s="1"/>
  <c r="T16" i="1" s="1"/>
  <c r="U16" i="1" s="1"/>
  <c r="V16" i="1" s="1"/>
  <c r="AC16" i="1"/>
  <c r="N34" i="4"/>
  <c r="N35" i="4" s="1"/>
  <c r="K34" i="1"/>
  <c r="D44" i="1"/>
  <c r="E44" i="1"/>
  <c r="F44" i="1"/>
  <c r="G44" i="1"/>
  <c r="AC37" i="1"/>
  <c r="J85" i="1"/>
  <c r="AD33" i="1"/>
  <c r="H49" i="2"/>
  <c r="H50" i="2" s="1"/>
  <c r="AC35" i="1"/>
  <c r="I49" i="2"/>
  <c r="I50" i="2" s="1"/>
  <c r="AC33" i="1" l="1"/>
  <c r="M34" i="1"/>
  <c r="Z70" i="5"/>
  <c r="Y73" i="5"/>
  <c r="J87" i="1"/>
  <c r="E31" i="5" s="1"/>
  <c r="AD14" i="1"/>
  <c r="AE16" i="1"/>
  <c r="AD16" i="1"/>
  <c r="AB54" i="1"/>
  <c r="AB67" i="1"/>
  <c r="AB46" i="1"/>
  <c r="AB31" i="1"/>
  <c r="AB30" i="1"/>
  <c r="AF18" i="1"/>
  <c r="AF16" i="1"/>
  <c r="AF14" i="1"/>
  <c r="AF12" i="1"/>
  <c r="AI28" i="1" l="1"/>
  <c r="AI29" i="1" s="1"/>
  <c r="AH28" i="1"/>
  <c r="AH29" i="1" s="1"/>
  <c r="AH30" i="1"/>
  <c r="AJ28" i="1"/>
  <c r="AA70" i="5"/>
  <c r="AA73" i="5" s="1"/>
  <c r="Z73" i="5"/>
  <c r="AI30" i="1"/>
  <c r="AI41" i="1" s="1"/>
  <c r="AJ30" i="1"/>
  <c r="AJ41" i="1" s="1"/>
  <c r="AE14" i="1"/>
  <c r="AC67" i="1"/>
  <c r="K69" i="1"/>
  <c r="F50" i="5" l="1"/>
  <c r="F53" i="5" s="1"/>
  <c r="M69" i="1"/>
  <c r="N18" i="1"/>
  <c r="AC18" i="1"/>
  <c r="AH41" i="1"/>
  <c r="K11" i="1"/>
  <c r="M11" i="1" s="1"/>
  <c r="AC31" i="1"/>
  <c r="AC43" i="1" s="1"/>
  <c r="V41" i="1"/>
  <c r="V69" i="1" l="1"/>
  <c r="AB41" i="1"/>
  <c r="AI44" i="1"/>
  <c r="O18" i="1"/>
  <c r="K68" i="1"/>
  <c r="K44" i="1"/>
  <c r="M44" i="1" s="1"/>
  <c r="AC41" i="1"/>
  <c r="AN41" i="1" s="1"/>
  <c r="AD31" i="1"/>
  <c r="F57" i="5" l="1"/>
  <c r="F59" i="5" s="1"/>
  <c r="M68" i="1"/>
  <c r="AM41" i="1"/>
  <c r="N44" i="1"/>
  <c r="N68" i="1"/>
  <c r="G57" i="5" s="1"/>
  <c r="G59" i="5" s="1"/>
  <c r="P18" i="1"/>
  <c r="O12" i="1"/>
  <c r="N30" i="1"/>
  <c r="AE31" i="1"/>
  <c r="Q18" i="1" l="1"/>
  <c r="AD18" i="1" s="1"/>
  <c r="P12" i="1"/>
  <c r="O11" i="1"/>
  <c r="O68" i="1"/>
  <c r="H57" i="5" s="1"/>
  <c r="H59" i="5" s="1"/>
  <c r="O44" i="1"/>
  <c r="P44" i="1"/>
  <c r="O30" i="1"/>
  <c r="R18" i="1" l="1"/>
  <c r="Q12" i="1"/>
  <c r="AD12" i="1" s="1"/>
  <c r="P11" i="1"/>
  <c r="P30" i="1"/>
  <c r="P68" i="1"/>
  <c r="I57" i="5" s="1"/>
  <c r="I59" i="5" s="1"/>
  <c r="Q44" i="1" l="1"/>
  <c r="R44" i="1"/>
  <c r="S18" i="1"/>
  <c r="R12" i="1"/>
  <c r="Q11" i="1"/>
  <c r="Q30" i="1"/>
  <c r="Q68" i="1"/>
  <c r="J57" i="5" s="1"/>
  <c r="J59" i="5" s="1"/>
  <c r="AD41" i="1"/>
  <c r="T18" i="1" l="1"/>
  <c r="S12" i="1"/>
  <c r="R11" i="1"/>
  <c r="R30" i="1"/>
  <c r="R68" i="1"/>
  <c r="K57" i="5" s="1"/>
  <c r="S44" i="1"/>
  <c r="K59" i="5" l="1"/>
  <c r="L57" i="5"/>
  <c r="M57" i="5" s="1"/>
  <c r="U18" i="1"/>
  <c r="T12" i="1"/>
  <c r="S11" i="1"/>
  <c r="S68" i="1"/>
  <c r="S30" i="1"/>
  <c r="T44" i="1"/>
  <c r="M59" i="5" l="1"/>
  <c r="N57" i="5"/>
  <c r="V18" i="1"/>
  <c r="AE18" i="1"/>
  <c r="U12" i="1"/>
  <c r="T11" i="1"/>
  <c r="T68" i="1"/>
  <c r="T30" i="1"/>
  <c r="N59" i="5" l="1"/>
  <c r="O57" i="5"/>
  <c r="U44" i="1"/>
  <c r="U11" i="1"/>
  <c r="V12" i="1"/>
  <c r="V11" i="1" s="1"/>
  <c r="AE12" i="1"/>
  <c r="U68" i="1"/>
  <c r="AE41" i="1"/>
  <c r="U30" i="1"/>
  <c r="O59" i="5" l="1"/>
  <c r="P57" i="5"/>
  <c r="V68" i="1"/>
  <c r="V44" i="1"/>
  <c r="G70" i="5"/>
  <c r="G73" i="5" s="1"/>
  <c r="N69" i="1"/>
  <c r="G50" i="5" s="1"/>
  <c r="G53" i="5" s="1"/>
  <c r="N86" i="1"/>
  <c r="F24" i="5" s="1"/>
  <c r="F27" i="5" s="1"/>
  <c r="Q57" i="5" l="1"/>
  <c r="P59" i="5"/>
  <c r="O86" i="1"/>
  <c r="G24" i="5" s="1"/>
  <c r="G27" i="5" s="1"/>
  <c r="H70" i="5"/>
  <c r="H73" i="5" s="1"/>
  <c r="O69" i="1"/>
  <c r="H50" i="5" s="1"/>
  <c r="H53" i="5" s="1"/>
  <c r="R57" i="5" l="1"/>
  <c r="Q59" i="5"/>
  <c r="I70" i="5"/>
  <c r="I73" i="5" s="1"/>
  <c r="P86" i="1"/>
  <c r="H24" i="5" s="1"/>
  <c r="H27" i="5" s="1"/>
  <c r="P69" i="1"/>
  <c r="I50" i="5" s="1"/>
  <c r="I53" i="5" s="1"/>
  <c r="S57" i="5" l="1"/>
  <c r="R59" i="5"/>
  <c r="J70" i="5"/>
  <c r="J73" i="5" s="1"/>
  <c r="AD67" i="1"/>
  <c r="Q86" i="1"/>
  <c r="I24" i="5" s="1"/>
  <c r="I27" i="5" s="1"/>
  <c r="Q69" i="1"/>
  <c r="J50" i="5" s="1"/>
  <c r="J53" i="5" l="1"/>
  <c r="K50" i="5"/>
  <c r="L50" i="5" s="1"/>
  <c r="M50" i="5" s="1"/>
  <c r="N50" i="5" s="1"/>
  <c r="O50" i="5" s="1"/>
  <c r="S59" i="5"/>
  <c r="T57" i="5"/>
  <c r="K70" i="5"/>
  <c r="K73" i="5" s="1"/>
  <c r="I2" i="9" s="1" a="1"/>
  <c r="R69" i="1"/>
  <c r="R86" i="1"/>
  <c r="J24" i="5" s="1"/>
  <c r="J27" i="5" s="1"/>
  <c r="K53" i="5" l="1"/>
  <c r="P50" i="5"/>
  <c r="O53" i="5"/>
  <c r="U57" i="5"/>
  <c r="T59" i="5"/>
  <c r="I2" i="9"/>
  <c r="I4" i="9"/>
  <c r="I22" i="9"/>
  <c r="I3" i="9"/>
  <c r="I20" i="9"/>
  <c r="I11" i="9"/>
  <c r="I13" i="9"/>
  <c r="I18" i="9"/>
  <c r="I21" i="9"/>
  <c r="I7" i="9"/>
  <c r="I8" i="9"/>
  <c r="I23" i="9"/>
  <c r="I14" i="9"/>
  <c r="I5" i="9"/>
  <c r="I9" i="9"/>
  <c r="I17" i="9"/>
  <c r="I16" i="9"/>
  <c r="I6" i="9"/>
  <c r="I19" i="9"/>
  <c r="I12" i="9"/>
  <c r="I10" i="9"/>
  <c r="I15" i="9"/>
  <c r="S86" i="1"/>
  <c r="K24" i="5" s="1"/>
  <c r="K27" i="5" s="1"/>
  <c r="S69" i="1"/>
  <c r="L53" i="5" s="1"/>
  <c r="Q50" i="5" l="1"/>
  <c r="P53" i="5"/>
  <c r="U59" i="5"/>
  <c r="V57" i="5"/>
  <c r="T86" i="1"/>
  <c r="L24" i="5" s="1"/>
  <c r="L27" i="5" s="1"/>
  <c r="T69" i="1"/>
  <c r="M53" i="5" s="1"/>
  <c r="R50" i="5" l="1"/>
  <c r="Q53" i="5"/>
  <c r="V59" i="5"/>
  <c r="W57" i="5"/>
  <c r="U69" i="1"/>
  <c r="N53" i="5" s="1"/>
  <c r="U86" i="1"/>
  <c r="M24" i="5" s="1"/>
  <c r="AE67" i="1"/>
  <c r="M27" i="5" l="1"/>
  <c r="N24" i="5"/>
  <c r="S50" i="5"/>
  <c r="R53" i="5"/>
  <c r="W59" i="5"/>
  <c r="X57" i="5"/>
  <c r="N72" i="1"/>
  <c r="O72" i="1" s="1"/>
  <c r="K85" i="1"/>
  <c r="M85" i="1" s="1"/>
  <c r="O24" i="5" l="1"/>
  <c r="N27" i="5"/>
  <c r="S53" i="5"/>
  <c r="T50" i="5"/>
  <c r="Y57" i="5"/>
  <c r="X59" i="5"/>
  <c r="N71" i="1"/>
  <c r="N85" i="1" s="1"/>
  <c r="K87" i="1"/>
  <c r="O71" i="1"/>
  <c r="O85" i="1" s="1"/>
  <c r="P72" i="1"/>
  <c r="M87" i="1" l="1"/>
  <c r="F31" i="5"/>
  <c r="F34" i="5" s="1"/>
  <c r="O27" i="5"/>
  <c r="P24" i="5"/>
  <c r="T53" i="5"/>
  <c r="U50" i="5"/>
  <c r="Z57" i="5"/>
  <c r="Y59" i="5"/>
  <c r="N87" i="1"/>
  <c r="G31" i="5" s="1"/>
  <c r="G34" i="5" s="1"/>
  <c r="Q72" i="1"/>
  <c r="P71" i="1"/>
  <c r="P85" i="1" s="1"/>
  <c r="O87" i="1"/>
  <c r="H31" i="5" s="1"/>
  <c r="H34" i="5" s="1"/>
  <c r="Q24" i="5" l="1"/>
  <c r="P27" i="5"/>
  <c r="U53" i="5"/>
  <c r="V50" i="5"/>
  <c r="AA57" i="5"/>
  <c r="AA59" i="5" s="1"/>
  <c r="Z59" i="5"/>
  <c r="P87" i="1"/>
  <c r="I31" i="5" s="1"/>
  <c r="I34" i="5" s="1"/>
  <c r="R72" i="1"/>
  <c r="Q71" i="1"/>
  <c r="Q85" i="1" s="1"/>
  <c r="R24" i="5" l="1"/>
  <c r="Q27" i="5"/>
  <c r="W50" i="5"/>
  <c r="V53" i="5"/>
  <c r="S72" i="1"/>
  <c r="R71" i="1"/>
  <c r="R85" i="1" s="1"/>
  <c r="Q87" i="1"/>
  <c r="J31" i="5" s="1"/>
  <c r="J34" i="5" s="1"/>
  <c r="R27" i="5" l="1"/>
  <c r="S24" i="5"/>
  <c r="X50" i="5"/>
  <c r="W53" i="5"/>
  <c r="R87" i="1"/>
  <c r="K31" i="5" s="1"/>
  <c r="K34" i="5"/>
  <c r="S71" i="1"/>
  <c r="S85" i="1" s="1"/>
  <c r="T72" i="1"/>
  <c r="S27" i="5" l="1"/>
  <c r="T24" i="5"/>
  <c r="Y50" i="5"/>
  <c r="X53" i="5"/>
  <c r="S87" i="1"/>
  <c r="L31" i="5" s="1"/>
  <c r="T71" i="1"/>
  <c r="T85" i="1" s="1"/>
  <c r="U72" i="1"/>
  <c r="U71" i="1" l="1"/>
  <c r="U85" i="1" s="1"/>
  <c r="U87" i="1" s="1"/>
  <c r="N31" i="5" s="1"/>
  <c r="V72" i="1"/>
  <c r="V71" i="1" s="1"/>
  <c r="V85" i="1" s="1"/>
  <c r="V87" i="1" s="1"/>
  <c r="O31" i="5" s="1"/>
  <c r="T27" i="5"/>
  <c r="U24" i="5"/>
  <c r="L34" i="5"/>
  <c r="Z50" i="5"/>
  <c r="Y53" i="5"/>
  <c r="T87" i="1"/>
  <c r="M31" i="5" s="1"/>
  <c r="U27" i="5" l="1"/>
  <c r="V24" i="5"/>
  <c r="N34" i="5"/>
  <c r="M34" i="5"/>
  <c r="O34" i="5"/>
  <c r="AA50" i="5"/>
  <c r="AA53" i="5" s="1"/>
  <c r="Z53" i="5"/>
  <c r="W24" i="5" l="1"/>
  <c r="V27" i="5"/>
  <c r="P34" i="5"/>
  <c r="F2" i="9" a="1"/>
  <c r="W27" i="5" l="1"/>
  <c r="X24" i="5"/>
  <c r="Q34" i="5"/>
  <c r="F3" i="9"/>
  <c r="F20" i="9"/>
  <c r="F11" i="9"/>
  <c r="F22" i="9"/>
  <c r="F12" i="9"/>
  <c r="F23" i="9"/>
  <c r="F8" i="9"/>
  <c r="F2" i="9"/>
  <c r="F15" i="9"/>
  <c r="F21" i="9"/>
  <c r="F14" i="9"/>
  <c r="F5" i="9"/>
  <c r="F19" i="9"/>
  <c r="F4" i="9"/>
  <c r="F17" i="9"/>
  <c r="F18" i="9"/>
  <c r="F7" i="9"/>
  <c r="F9" i="9"/>
  <c r="F10" i="9"/>
  <c r="F16" i="9"/>
  <c r="F6" i="9"/>
  <c r="F13" i="9"/>
  <c r="X27" i="5" l="1"/>
  <c r="Y24" i="5"/>
  <c r="R34" i="5"/>
  <c r="L59" i="5"/>
  <c r="G2" i="9" s="1" a="1"/>
  <c r="G9" i="9" s="1"/>
  <c r="Z24" i="5" l="1"/>
  <c r="Y27" i="5"/>
  <c r="S34" i="5"/>
  <c r="G14" i="9"/>
  <c r="G13" i="9"/>
  <c r="G12" i="9"/>
  <c r="G15" i="9"/>
  <c r="G20" i="9"/>
  <c r="G7" i="9"/>
  <c r="G10" i="9"/>
  <c r="G5" i="9"/>
  <c r="G11" i="9"/>
  <c r="G16" i="9"/>
  <c r="G3" i="9"/>
  <c r="G6" i="9"/>
  <c r="G8" i="9"/>
  <c r="G19" i="9"/>
  <c r="G17" i="9"/>
  <c r="G23" i="9"/>
  <c r="G22" i="9"/>
  <c r="G18" i="9"/>
  <c r="G21" i="9"/>
  <c r="G2" i="9"/>
  <c r="G4" i="9"/>
  <c r="AA24" i="5" l="1"/>
  <c r="AA27" i="5" s="1"/>
  <c r="Z27" i="5"/>
  <c r="T34" i="5"/>
  <c r="B2" i="9" l="1" a="1"/>
  <c r="B19" i="9" s="1"/>
  <c r="U34" i="5"/>
  <c r="B17" i="9" l="1"/>
  <c r="B7" i="9"/>
  <c r="B3" i="9"/>
  <c r="B5" i="9"/>
  <c r="B10" i="9"/>
  <c r="B12" i="9"/>
  <c r="B6" i="9"/>
  <c r="B11" i="9"/>
  <c r="B18" i="9"/>
  <c r="B15" i="9"/>
  <c r="B4" i="9"/>
  <c r="B9" i="9"/>
  <c r="B14" i="9"/>
  <c r="B8" i="9"/>
  <c r="B21" i="9"/>
  <c r="B20" i="9"/>
  <c r="B23" i="9"/>
  <c r="B13" i="9"/>
  <c r="B22" i="9"/>
  <c r="B2" i="9"/>
  <c r="B16" i="9"/>
  <c r="V34" i="5"/>
  <c r="W34" i="5" l="1"/>
  <c r="X34" i="5" l="1"/>
  <c r="Y34" i="5" l="1"/>
  <c r="AA34" i="5" l="1"/>
  <c r="Z34" i="5"/>
  <c r="C2" i="9" l="1" a="1"/>
  <c r="C22" i="9" s="1"/>
  <c r="C18" i="9" l="1"/>
  <c r="C10" i="9"/>
  <c r="C8" i="9"/>
  <c r="C9" i="9"/>
  <c r="C15" i="9"/>
  <c r="C20" i="9"/>
  <c r="C3" i="9"/>
  <c r="C21" i="9"/>
  <c r="C6" i="9"/>
  <c r="C16" i="9"/>
  <c r="C12" i="9"/>
  <c r="C4" i="9"/>
  <c r="C13" i="9"/>
  <c r="C14" i="9"/>
  <c r="C17" i="9"/>
  <c r="C19" i="9"/>
  <c r="C23" i="9"/>
  <c r="C11" i="9"/>
  <c r="C7" i="9"/>
  <c r="C2" i="9"/>
  <c r="C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tc={89A8CDBA-088C-407A-AF86-C52D67EAF64E}</author>
    <author>tc={BB3C9FFB-27AB-4187-8D8E-801A1DB57782}</author>
    <author>tc={1B105238-E1C8-4219-83F1-61E40A0FC553}</author>
    <author>tc={7314685E-335E-47AA-B478-1BA6ABF2BDA3}</author>
    <author>tc={8EC230A4-5D8F-44F9-8723-C06BBE1A66FC}</author>
    <author>tc={2D81BDF9-A0D8-4A1A-915B-91D32E8E61FF}</author>
    <author>tc={33EF6DF5-9556-47EC-86E1-A12FDBDC0AA8}</author>
    <author>tc={82CA3AE7-50FB-4F26-A21A-362FCDD169CB}</author>
    <author>tc={11731043-8530-4DAC-9476-3C98D0D836BB}</author>
    <author>tc={A2EEA12B-3EC3-4F40-A98C-7C6953D5CE7E}</author>
    <author>tc={DF0EC25E-9AE4-45F2-BCE9-95D46AA2D480}</author>
    <author>tc={55BAE892-7CB3-4E1D-8C31-C7FA6DC5B9F4}</author>
    <author>tc={5A5A9177-799E-4FBA-A407-831B591270CB}</author>
    <author>tc={6E4225DC-7AF1-4149-8AFD-DF5FEAFAE0CE}</author>
    <author>tc={E0AA59A4-D972-4354-844E-3B08443F6713}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K12" authorId="0" shapeId="0" xr:uid="{A821505C-AC23-4B5B-BBC2-12D64353A45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if we already have estimate for the FY total and 3 quarters worth of data, we can estimate the final quarter</t>
        </r>
      </text>
    </comment>
    <comment ref="L12" authorId="1" shapeId="0" xr:uid="{89A8CDBA-088C-407A-AF86-C52D67EAF64E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a formula using the FY estimate</t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6" authorId="0" shapeId="0" xr:uid="{FC202578-1747-4163-B35E-F3C0C598871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3.6U: sum of fed employer contributions + sum of fed employee contributions
</t>
        </r>
      </text>
    </comment>
    <comment ref="K16" authorId="0" shapeId="0" xr:uid="{5709E9C6-FE6E-456A-AEFE-07D54A9DC35E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if we use the formula from q3 personal taxes, we get 1199.3. why do we add 30? </t>
        </r>
      </text>
    </comment>
    <comment ref="L16" authorId="2" shapeId="0" xr:uid="{BB3C9FFB-27AB-4187-8D8E-801A1DB57782}">
      <text>
        <t>[Threaded comment]
Your version of Excel allows you to read this threaded comment; however, any edits to it will get removed if the file is opened in a newer version of Excel. Learn more: https://go.microsoft.com/fwlink/?linkid=870924
Comment:
    added 30 to previous</t>
      </text>
    </comment>
    <comment ref="K18" authorId="0" shapeId="0" xr:uid="{BAFD8D0A-791D-4FA7-8B41-E03C4AE04D0E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if we already have estimate for the FY total and 3 quarters worth of data, we can estimate the final quarter</t>
        </r>
      </text>
    </comment>
    <comment ref="L18" authorId="3" shapeId="0" xr:uid="{1B105238-E1C8-4219-83F1-61E40A0FC553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a formula using the FY estimate</t>
      </text>
    </comment>
    <comment ref="A23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5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6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0" authorId="0" shapeId="0" xr:uid="{1609F897-A756-40FA-960B-2F99129BE3A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3.2
</t>
        </r>
      </text>
    </comment>
    <comment ref="A31" authorId="0" shapeId="0" xr:uid="{C5874266-DAEE-4D89-A899-CF29CEDEE179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2.1
</t>
        </r>
      </text>
    </comment>
    <comment ref="A33" authorId="0" shapeId="0" xr:uid="{83124FE7-2DCD-4C2B-8989-795EF794C96F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2.1</t>
        </r>
      </text>
    </comment>
    <comment ref="K33" authorId="4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A46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L48" authorId="5" shapeId="0" xr:uid="{8EC230A4-5D8F-44F9-8723-C06BBE1A66FC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estimates from covid_quartely outlays document</t>
      </text>
    </comment>
    <comment ref="J56" authorId="6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J61" authorId="7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A67" authorId="0" shapeId="0" xr:uid="{BA08824F-AD84-4798-BBB7-EA418EA44348}">
      <text>
        <r>
          <rPr>
            <b/>
            <sz val="9"/>
            <color indexed="81"/>
            <rFont val="Tahoma"/>
            <family val="2"/>
          </rPr>
          <t>Kadija Yilla:
Table 3.24U</t>
        </r>
      </text>
    </comment>
    <comment ref="L67" authorId="8" shapeId="0" xr:uid="{82CA3AE7-50FB-4F26-A21A-362FCDD169CB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a formula using the FY estimate</t>
      </text>
    </comment>
    <comment ref="N72" authorId="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74" authorId="0" shapeId="0" xr:uid="{B3E091FA-BC7B-4A13-BB52-450D0FDAFA8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2.1</t>
        </r>
      </text>
    </comment>
    <comment ref="L74" authorId="10" shapeId="0" xr:uid="{A2EEA12B-3EC3-4F40-A98C-7C6953D5CE7E}">
      <text>
        <t>[Threaded comment]
Your version of Excel allows you to read this threaded comment; however, any edits to it will get removed if the file is opened in a newer version of Excel. Learn more: https://go.microsoft.com/fwlink/?linkid=870924
Comment:
    was a formula using the FY estimate</t>
      </text>
    </comment>
    <comment ref="N79" authorId="11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K83" authorId="12" shapeId="0" xr:uid="{55BAE892-7CB3-4E1D-8C31-C7FA6DC5B9F4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OVERRIDE IN THE FIM WITH -5%</t>
      </text>
    </comment>
    <comment ref="N83" authorId="13" shapeId="0" xr:uid="{5A5A9177-799E-4FBA-A407-831B591270C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O83" authorId="14" shapeId="0" xr:uid="{6E4225DC-7AF1-4149-8AFD-DF5FEAFAE0CE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83" authorId="15" shapeId="0" xr:uid="{E0AA59A4-D972-4354-844E-3B08443F6713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tc={1855A115-8570-465F-B05E-38BBA49F0533}</author>
    <author>tc={3C125DA7-4F05-46DF-A087-778AC4E0593F}</author>
  </authors>
  <commentList>
    <comment ref="O34" authorId="0" shapeId="0" xr:uid="{1855A115-8570-465F-B05E-38BBA49F0533}">
      <text>
        <t>[Threaded comment]
Your version of Excel allows you to read this threaded comment; however, any edits to it will get removed if the file is opened in a newer version of Excel. Learn more: https://go.microsoft.com/fwlink/?linkid=870924
Comment:
    where is this sourced?</t>
      </text>
    </comment>
    <comment ref="O37" authorId="1" shapeId="0" xr:uid="{3C125DA7-4F05-46DF-A087-778AC4E0593F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federal including total legislation *and* also PEUC?</t>
      </text>
    </comment>
  </commentList>
</comments>
</file>

<file path=xl/sharedStrings.xml><?xml version="1.0" encoding="utf-8"?>
<sst xmlns="http://schemas.openxmlformats.org/spreadsheetml/2006/main" count="734" uniqueCount="296">
  <si>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</si>
  <si>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</si>
  <si>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</si>
  <si>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</si>
  <si>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</si>
  <si>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</si>
  <si>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</si>
  <si>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</si>
  <si>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</si>
  <si>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</si>
  <si>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</si>
  <si>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</si>
  <si>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</si>
  <si>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</si>
  <si>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</si>
  <si>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</si>
  <si>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</si>
  <si>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</si>
  <si>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</si>
  <si>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</si>
  <si>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</si>
  <si>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</si>
  <si>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</si>
  <si>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</si>
  <si>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</si>
  <si>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</si>
  <si>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</si>
  <si>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</si>
  <si>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</si>
  <si>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</si>
  <si>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</si>
  <si>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</si>
  <si>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</si>
  <si>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</si>
  <si>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</si>
  <si>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</si>
  <si>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</si>
  <si>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</si>
  <si>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</si>
  <si>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</si>
  <si>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</si>
  <si>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</si>
  <si>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</si>
  <si>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</si>
  <si>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</si>
  <si>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</si>
  <si>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</si>
  <si>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</si>
  <si>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</si>
  <si>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</si>
  <si>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</si>
  <si>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</si>
  <si>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</si>
  <si>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</si>
  <si>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</si>
  <si>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</si>
  <si>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</si>
  <si>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</si>
  <si>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</si>
  <si>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</si>
  <si>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</si>
  <si>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</si>
  <si>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</si>
  <si>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</si>
  <si>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</si>
  <si>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</si>
  <si>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</si>
  <si>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</si>
  <si>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</si>
  <si>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</si>
  <si>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</si>
  <si>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</si>
  <si>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</si>
  <si>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</si>
  <si>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</si>
  <si>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</si>
  <si>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</si>
  <si>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</si>
  <si>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</si>
  <si>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</si>
  <si>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</si>
  <si>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</si>
  <si>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</si>
  <si>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</si>
  <si>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</si>
  <si>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</si>
  <si>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</si>
  <si>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</si>
  <si>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</si>
  <si>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</si>
  <si>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</si>
  <si>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</si>
  <si>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</si>
  <si>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</si>
  <si>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</si>
  <si>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</si>
  <si>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</si>
  <si>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</si>
  <si>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</si>
  <si>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</si>
  <si>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</si>
  <si>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</si>
  <si>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</si>
  <si>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</si>
  <si>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</si>
  <si>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</si>
  <si>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</si>
  <si>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</si>
  <si>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</si>
  <si>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</si>
  <si>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</si>
  <si>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</si>
  <si>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</si>
  <si>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</si>
  <si>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</si>
  <si>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</si>
  <si>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</si>
  <si>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</si>
  <si>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</si>
  <si>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</si>
  <si>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</si>
  <si>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</si>
  <si>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</si>
  <si>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</si>
  <si>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</si>
  <si>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</si>
  <si>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</si>
  <si>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</si>
  <si>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</si>
  <si>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</si>
  <si>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</si>
  <si>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</si>
  <si>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</si>
  <si>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</si>
  <si>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</si>
  <si>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</si>
  <si>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</si>
  <si>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</si>
  <si>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</si>
  <si>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</si>
  <si>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</si>
  <si>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</si>
  <si>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</si>
  <si>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</si>
  <si>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</si>
  <si>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</si>
  <si>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</si>
  <si>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</si>
  <si>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</si>
  <si>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</si>
  <si>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</si>
  <si>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</si>
  <si>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</si>
  <si>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</si>
  <si>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</si>
  <si>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</si>
  <si>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</si>
  <si>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</si>
  <si>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Fed Soc Benefit less Medicare and Less State UI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</si>
  <si>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</si>
  <si>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</si>
  <si>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</si>
  <si>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</si>
  <si>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</si>
  <si>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</si>
  <si>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</si>
  <si>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</si>
  <si>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</si>
  <si>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</si>
  <si>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</si>
  <si>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</si>
  <si>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</si>
  <si>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</si>
  <si>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</si>
  <si>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</si>
  <si>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</si>
  <si>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</si>
  <si>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</si>
  <si>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</si>
  <si>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</si>
  <si>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</si>
  <si>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</si>
  <si>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</si>
  <si>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</si>
  <si>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</si>
  <si>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</si>
  <si>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</si>
  <si>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</si>
  <si>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</si>
  <si>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</si>
  <si>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</si>
  <si>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</si>
  <si>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</si>
  <si>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</si>
  <si>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</si>
  <si>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</si>
  <si>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</si>
  <si>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</si>
  <si>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</si>
  <si>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</si>
  <si>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</si>
  <si>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</si>
  <si>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</si>
  <si>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</si>
  <si>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</si>
  <si>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</si>
  <si>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</si>
  <si>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</si>
  <si>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</si>
  <si>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</si>
  <si>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</si>
  <si>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</si>
  <si>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</si>
  <si>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</si>
  <si>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</si>
  <si>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</si>
  <si>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</si>
  <si>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</si>
  <si>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</si>
  <si>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</si>
  <si>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</si>
  <si>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</si>
  <si>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</si>
  <si>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</si>
  <si>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</si>
  <si>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</si>
  <si>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</si>
  <si>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</si>
  <si>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</si>
  <si>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</si>
  <si>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</si>
  <si>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</si>
  <si>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</si>
  <si>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</si>
  <si>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</si>
  <si>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</si>
  <si>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</si>
  <si>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</si>
  <si>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</si>
  <si>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</si>
  <si>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</si>
  <si>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</si>
  <si>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</si>
  <si>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New UI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</si>
  <si>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</si>
  <si>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</si>
  <si>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</si>
  <si>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</si>
  <si>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</si>
  <si>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</si>
  <si>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</si>
  <si>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</si>
  <si>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</si>
  <si>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</si>
  <si>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</si>
  <si>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</si>
  <si>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</si>
  <si>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</si>
  <si>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</si>
  <si>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</si>
  <si>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</si>
  <si>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</si>
  <si>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</si>
  <si>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</si>
  <si>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</si>
  <si>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Deflator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</si>
  <si>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</si>
  <si>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</si>
  <si>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</si>
  <si>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</si>
  <si>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</si>
  <si>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</si>
  <si>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</si>
  <si>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</si>
  <si>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</si>
  <si>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</si>
  <si>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PPP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</si>
  <si>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</si>
  <si>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</si>
  <si>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</si>
  <si>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</si>
  <si>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</si>
  <si>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</si>
  <si>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</si>
  <si>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</si>
  <si>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</si>
  <si>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actual</t>
  </si>
  <si>
    <t>Estimate</t>
  </si>
  <si>
    <t>x</t>
  </si>
  <si>
    <t>Difference</t>
  </si>
  <si>
    <t>aviation</t>
  </si>
  <si>
    <t>employee retention</t>
  </si>
  <si>
    <t>paid sick leave</t>
  </si>
  <si>
    <t>real growth rate</t>
  </si>
  <si>
    <t>cbo projected growth rate</t>
  </si>
  <si>
    <t>add_federal_cgrants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</si>
</sst>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/>
    <xf numFmtId="0" fontId="8" fillId="0" borderId="0"/>
    <xf numFmtId="0" fontId="8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</cellStyleXfs>
  <cellXfs count="3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4" fillId="0" borderId="0" xfId="0" applyFont="1"/>
    <xf numFmtId="0" fontId="7" fillId="0" borderId="0" xfId="3" applyNumberFormat="1" applyFont="1" applyAlignment="1"/>
    <xf numFmtId="0" fontId="7" fillId="0" borderId="0" xfId="4" applyFont="1"/>
    <xf numFmtId="0" fontId="9" fillId="0" borderId="0" xfId="2" applyFont="1" applyFill="1" applyAlignment="1">
      <alignment vertical="center"/>
    </xf>
    <xf numFmtId="0" fontId="10" fillId="0" borderId="0" xfId="2" applyFont="1" applyFill="1" applyAlignment="1">
      <alignment horizontal="left" vertical="center"/>
    </xf>
    <xf numFmtId="164" fontId="7" fillId="0" borderId="0" xfId="0" applyNumberFormat="1" applyFont="1" applyAlignment="1">
      <alignment horizontal="left"/>
    </xf>
    <xf numFmtId="0" fontId="7" fillId="0" borderId="0" xfId="0" applyFont="1"/>
    <xf numFmtId="1" fontId="7" fillId="0" borderId="0" xfId="0" applyNumberFormat="1" applyFont="1" applyAlignment="1">
      <alignment horizontal="fill"/>
    </xf>
    <xf numFmtId="1" fontId="13" fillId="0" borderId="0" xfId="0" applyNumberFormat="1" applyFont="1" applyAlignment="1">
      <alignment horizontal="fill"/>
    </xf>
    <xf numFmtId="0" fontId="13" fillId="0" borderId="0" xfId="0" applyFont="1"/>
    <xf numFmtId="1" fontId="7" fillId="0" borderId="0" xfId="0" applyNumberFormat="1" applyFont="1"/>
    <xf numFmtId="1" fontId="13" fillId="0" borderId="0" xfId="0" applyNumberFormat="1" applyFont="1" applyAlignment="1">
      <alignment horizontal="right"/>
    </xf>
    <xf numFmtId="1" fontId="13" fillId="0" borderId="0" xfId="0" applyNumberFormat="1" applyFont="1"/>
    <xf numFmtId="164" fontId="13" fillId="0" borderId="0" xfId="0" applyNumberFormat="1" applyFont="1"/>
    <xf numFmtId="1" fontId="7" fillId="0" borderId="0" xfId="5" applyNumberFormat="1" applyFont="1" applyAlignment="1">
      <alignment horizontal="right"/>
    </xf>
    <xf numFmtId="0" fontId="7" fillId="0" borderId="1" xfId="0" applyFont="1" applyBorder="1"/>
    <xf numFmtId="165" fontId="7" fillId="0" borderId="1" xfId="0" applyNumberFormat="1" applyFont="1" applyBorder="1"/>
    <xf numFmtId="1" fontId="13" fillId="0" borderId="1" xfId="0" applyNumberFormat="1" applyFont="1" applyBorder="1"/>
    <xf numFmtId="1" fontId="7" fillId="0" borderId="1" xfId="5" applyNumberFormat="1" applyFont="1" applyBorder="1"/>
    <xf numFmtId="3" fontId="14" fillId="0" borderId="0" xfId="0" applyNumberFormat="1" applyFont="1" applyProtection="1">
      <protection locked="0"/>
    </xf>
    <xf numFmtId="3" fontId="7" fillId="0" borderId="0" xfId="0" applyNumberFormat="1" applyFont="1"/>
    <xf numFmtId="3" fontId="14" fillId="0" borderId="0" xfId="0" applyNumberFormat="1" applyFont="1"/>
    <xf numFmtId="3" fontId="7" fillId="0" borderId="0" xfId="0" applyNumberFormat="1" applyFont="1" applyAlignment="1">
      <alignment horizontal="right"/>
    </xf>
    <xf numFmtId="166" fontId="7" fillId="0" borderId="0" xfId="0" applyNumberFormat="1" applyFont="1"/>
    <xf numFmtId="0" fontId="7" fillId="0" borderId="0" xfId="0" applyFont="1" applyAlignment="1">
      <alignment horizontal="left"/>
    </xf>
    <xf numFmtId="167" fontId="14" fillId="0" borderId="0" xfId="0" applyNumberFormat="1" applyFont="1"/>
    <xf numFmtId="0" fontId="11" fillId="0" borderId="0" xfId="0" applyFont="1"/>
    <xf numFmtId="164" fontId="7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7" fillId="0" borderId="0" xfId="3" applyFont="1"/>
    <xf numFmtId="0" fontId="7" fillId="0" borderId="0" xfId="5" applyFont="1" applyAlignment="1">
      <alignment horizontal="right"/>
    </xf>
    <xf numFmtId="0" fontId="7" fillId="0" borderId="0" xfId="5" applyFont="1"/>
    <xf numFmtId="0" fontId="7" fillId="0" borderId="1" xfId="3" applyFont="1" applyBorder="1"/>
    <xf numFmtId="165" fontId="7" fillId="0" borderId="1" xfId="3" applyNumberFormat="1" applyFont="1" applyBorder="1"/>
    <xf numFmtId="0" fontId="7" fillId="0" borderId="0" xfId="3" applyFont="1" applyAlignment="1">
      <alignment horizontal="center"/>
    </xf>
    <xf numFmtId="3" fontId="7" fillId="0" borderId="0" xfId="3" applyNumberFormat="1" applyFont="1"/>
    <xf numFmtId="3" fontId="7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2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7" fillId="0" borderId="1" xfId="0" applyNumberFormat="1" applyFont="1" applyFill="1" applyBorder="1" applyAlignment="1"/>
    <xf numFmtId="0" fontId="7" fillId="0" borderId="1" xfId="0" applyNumberFormat="1" applyFont="1" applyFill="1" applyBorder="1" applyAlignment="1">
      <alignment horizontal="right"/>
    </xf>
    <xf numFmtId="3" fontId="7" fillId="0" borderId="0" xfId="0" applyNumberFormat="1" applyFont="1" applyFill="1" applyAlignment="1"/>
    <xf numFmtId="3" fontId="7" fillId="0" borderId="22" xfId="0" applyNumberFormat="1" applyFont="1" applyFill="1" applyBorder="1" applyAlignment="1">
      <alignment horizontal="right"/>
    </xf>
    <xf numFmtId="0" fontId="7" fillId="0" borderId="0" xfId="0" applyNumberFormat="1" applyFont="1" applyFill="1" applyAlignment="1"/>
    <xf numFmtId="3" fontId="7" fillId="0" borderId="0" xfId="0" applyNumberFormat="1" applyFont="1" applyFill="1" applyBorder="1" applyAlignment="1">
      <alignment horizontal="right"/>
    </xf>
    <xf numFmtId="0" fontId="7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7" fillId="0" borderId="10" xfId="0" applyFont="1" applyBorder="1" applyAlignment="1">
      <alignment horizontal="left"/>
    </xf>
    <xf numFmtId="0" fontId="19" fillId="0" borderId="10" xfId="6" quotePrefix="1" applyFont="1" applyBorder="1" applyAlignment="1">
      <alignment horizontal="left"/>
    </xf>
    <xf numFmtId="0" fontId="19" fillId="5" borderId="10" xfId="6" quotePrefix="1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7" fillId="6" borderId="0" xfId="0" applyFont="1" applyFill="1"/>
    <xf numFmtId="3" fontId="14" fillId="6" borderId="0" xfId="0" applyNumberFormat="1" applyFont="1" applyFill="1"/>
    <xf numFmtId="0" fontId="7" fillId="6" borderId="0" xfId="4" applyFont="1" applyFill="1"/>
    <xf numFmtId="3" fontId="7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0" fillId="7" borderId="0" xfId="0" applyFill="1"/>
    <xf numFmtId="0" fontId="2" fillId="0" borderId="0" xfId="0" applyFont="1" applyAlignment="1">
      <alignment horizontal="left" indent="1"/>
    </xf>
    <xf numFmtId="2" fontId="1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2" fillId="0" borderId="0" xfId="0" applyNumberFormat="1" applyFont="1"/>
    <xf numFmtId="2" fontId="0" fillId="0" borderId="0" xfId="0" applyNumberFormat="1" applyBorder="1"/>
    <xf numFmtId="0" fontId="20" fillId="8" borderId="0" xfId="0" applyFont="1" applyFill="1"/>
    <xf numFmtId="0" fontId="20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0" fillId="10" borderId="0" xfId="0" applyFont="1" applyFill="1"/>
    <xf numFmtId="170" fontId="22" fillId="0" borderId="0" xfId="9" applyNumberFormat="1" applyFont="1" applyAlignment="1">
      <alignment horizontal="left" wrapText="1" indent="2"/>
    </xf>
    <xf numFmtId="170" fontId="22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1" fillId="0" borderId="26" xfId="8" applyNumberFormat="1" applyBorder="1" applyAlignment="1">
      <alignment horizontal="center"/>
    </xf>
    <xf numFmtId="2" fontId="0" fillId="0" borderId="26" xfId="0" applyNumberFormat="1" applyBorder="1"/>
    <xf numFmtId="2" fontId="2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7" fillId="0" borderId="0" xfId="0" applyFont="1"/>
    <xf numFmtId="0" fontId="13" fillId="0" borderId="0" xfId="0" applyFont="1"/>
    <xf numFmtId="0" fontId="2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2" fillId="0" borderId="0" xfId="0" applyFont="1" applyFill="1" applyAlignment="1">
      <alignment horizontal="left" indent="4"/>
    </xf>
    <xf numFmtId="0" fontId="22" fillId="0" borderId="0" xfId="0" applyFont="1" applyFill="1"/>
    <xf numFmtId="43" fontId="22" fillId="0" borderId="0" xfId="1" applyFont="1" applyFill="1"/>
    <xf numFmtId="1" fontId="22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2" fillId="0" borderId="31" xfId="0" applyNumberFormat="1" applyFont="1" applyBorder="1"/>
    <xf numFmtId="2" fontId="1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4" fillId="0" borderId="0" xfId="0" applyFont="1" applyFill="1" applyAlignment="1">
      <alignment horizontal="left" indent="2"/>
    </xf>
    <xf numFmtId="1" fontId="24" fillId="0" borderId="0" xfId="0" applyNumberFormat="1" applyFont="1" applyFill="1" applyAlignment="1">
      <alignment horizontal="left" indent="2"/>
    </xf>
    <xf numFmtId="3" fontId="24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1" fillId="0" borderId="0" xfId="9"/>
    <xf numFmtId="9" fontId="0" fillId="0" borderId="0" xfId="10" applyFont="1"/>
    <xf numFmtId="0" fontId="25" fillId="0" borderId="0" xfId="9" applyFont="1"/>
    <xf numFmtId="9" fontId="0" fillId="13" borderId="0" xfId="10" applyFont="1" applyFill="1"/>
    <xf numFmtId="0" fontId="21" fillId="13" borderId="0" xfId="9" applyFill="1"/>
    <xf numFmtId="10" fontId="0" fillId="0" borderId="0" xfId="10" applyNumberFormat="1" applyFont="1"/>
    <xf numFmtId="10" fontId="21" fillId="0" borderId="0" xfId="9" applyNumberFormat="1"/>
    <xf numFmtId="2" fontId="25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6" fillId="0" borderId="0" xfId="0" applyFont="1" applyFill="1" applyAlignment="1">
      <alignment horizontal="left" indent="1"/>
    </xf>
    <xf numFmtId="0" fontId="26" fillId="0" borderId="0" xfId="0" applyFont="1"/>
    <xf numFmtId="170" fontId="26" fillId="0" borderId="0" xfId="0" applyNumberFormat="1" applyFont="1"/>
    <xf numFmtId="170" fontId="26" fillId="0" borderId="0" xfId="0" applyNumberFormat="1" applyFont="1" applyFill="1"/>
    <xf numFmtId="1" fontId="26" fillId="0" borderId="0" xfId="0" applyNumberFormat="1" applyFont="1" applyFill="1"/>
    <xf numFmtId="1" fontId="26" fillId="0" borderId="0" xfId="0" applyNumberFormat="1" applyFont="1" applyFill="1" applyAlignment="1">
      <alignment horizontal="center"/>
    </xf>
    <xf numFmtId="1" fontId="26" fillId="0" borderId="0" xfId="0" applyNumberFormat="1" applyFont="1"/>
    <xf numFmtId="10" fontId="26" fillId="0" borderId="0" xfId="7" applyNumberFormat="1" applyFont="1" applyFill="1"/>
    <xf numFmtId="0" fontId="0" fillId="0" borderId="0" xfId="0" applyAlignment="1">
      <alignment horizontal="left" indent="1"/>
    </xf>
    <xf numFmtId="0" fontId="26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2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6" fillId="0" borderId="31" xfId="0" applyNumberFormat="1" applyFont="1" applyFill="1" applyBorder="1" applyAlignment="1">
      <alignment horizontal="center"/>
    </xf>
    <xf numFmtId="0" fontId="2" fillId="0" borderId="31" xfId="0" applyFont="1" applyBorder="1"/>
    <xf numFmtId="1" fontId="0" fillId="0" borderId="31" xfId="0" applyNumberFormat="1" applyBorder="1"/>
    <xf numFmtId="1" fontId="26" fillId="0" borderId="31" xfId="0" applyNumberFormat="1" applyFont="1" applyBorder="1"/>
    <xf numFmtId="10" fontId="26" fillId="0" borderId="0" xfId="7" applyNumberFormat="1" applyFont="1" applyFill="1" applyAlignment="1">
      <alignment horizontal="center"/>
    </xf>
    <xf numFmtId="0" fontId="24" fillId="0" borderId="0" xfId="0" applyFont="1" applyFill="1"/>
    <xf numFmtId="171" fontId="26" fillId="0" borderId="0" xfId="7" applyNumberFormat="1" applyFont="1" applyFill="1"/>
    <xf numFmtId="1" fontId="24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4" fillId="0" borderId="0" xfId="7" applyNumberFormat="1" applyFont="1" applyFill="1"/>
    <xf numFmtId="0" fontId="26" fillId="15" borderId="0" xfId="0" applyFont="1" applyFill="1" applyAlignment="1">
      <alignment horizontal="left" indent="1"/>
    </xf>
    <xf numFmtId="0" fontId="26" fillId="15" borderId="0" xfId="0" applyFont="1" applyFill="1"/>
    <xf numFmtId="10" fontId="26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6" fillId="16" borderId="33" xfId="0" applyNumberFormat="1" applyFont="1" applyFill="1" applyBorder="1"/>
    <xf numFmtId="10" fontId="26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2" fillId="16" borderId="33" xfId="0" applyFont="1" applyFill="1" applyBorder="1"/>
    <xf numFmtId="169" fontId="22" fillId="16" borderId="33" xfId="1" applyNumberFormat="1" applyFont="1" applyFill="1" applyBorder="1"/>
    <xf numFmtId="43" fontId="0" fillId="16" borderId="33" xfId="1" applyFont="1" applyFill="1" applyBorder="1"/>
    <xf numFmtId="0" fontId="24" fillId="16" borderId="33" xfId="0" applyFont="1" applyFill="1" applyBorder="1"/>
    <xf numFmtId="43" fontId="24" fillId="16" borderId="33" xfId="0" applyNumberFormat="1" applyFont="1" applyFill="1" applyBorder="1" applyAlignment="1">
      <alignment horizontal="left" indent="2"/>
    </xf>
    <xf numFmtId="0" fontId="24" fillId="16" borderId="33" xfId="0" applyFont="1" applyFill="1" applyBorder="1" applyAlignment="1">
      <alignment horizontal="left" indent="2"/>
    </xf>
    <xf numFmtId="10" fontId="24" fillId="16" borderId="33" xfId="7" applyNumberFormat="1" applyFont="1" applyFill="1" applyBorder="1"/>
    <xf numFmtId="0" fontId="26" fillId="0" borderId="0" xfId="0" applyFont="1" applyAlignment="1">
      <alignment horizontal="left" indent="1"/>
    </xf>
    <xf numFmtId="0" fontId="29" fillId="0" borderId="0" xfId="0" applyFont="1" applyAlignment="1">
      <alignment horizontal="left" indent="1"/>
    </xf>
    <xf numFmtId="0" fontId="29" fillId="0" borderId="31" xfId="0" applyFont="1" applyBorder="1" applyAlignment="1">
      <alignment horizontal="left" indent="1"/>
    </xf>
    <xf numFmtId="2" fontId="26" fillId="0" borderId="0" xfId="7" applyNumberFormat="1" applyFont="1"/>
    <xf numFmtId="2" fontId="26" fillId="16" borderId="33" xfId="0" applyNumberFormat="1" applyFont="1" applyFill="1" applyBorder="1" applyAlignment="1"/>
    <xf numFmtId="0" fontId="0" fillId="0" borderId="0" xfId="0" applyAlignment="1">
      <alignment horizontal="left" indent="2"/>
    </xf>
    <xf numFmtId="0" fontId="26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2" fontId="26" fillId="0" borderId="0" xfId="7" applyNumberFormat="1" applyFont="1" applyFill="1"/>
    <xf numFmtId="169" fontId="0" fillId="0" borderId="0" xfId="0" applyNumberFormat="1" applyFill="1"/>
    <xf numFmtId="3" fontId="7" fillId="0" borderId="0" xfId="0" applyNumberFormat="1" applyFont="1" applyFill="1" applyAlignment="1">
      <alignment wrapText="1"/>
    </xf>
    <xf numFmtId="2" fontId="2" fillId="0" borderId="0" xfId="0" applyNumberFormat="1" applyFont="1" applyBorder="1"/>
    <xf numFmtId="2" fontId="1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23" xfId="0" applyFont="1" applyBorder="1" applyAlignment="1"/>
    <xf numFmtId="2" fontId="0" fillId="2" borderId="0" xfId="0" applyNumberFormat="1" applyFill="1" applyBorder="1"/>
    <xf numFmtId="0" fontId="0" fillId="0" borderId="0" xfId="0" applyAlignment="1">
      <alignment horizontal="center"/>
    </xf>
    <xf numFmtId="171" fontId="24" fillId="0" borderId="0" xfId="7" applyNumberFormat="1" applyFont="1" applyFill="1"/>
    <xf numFmtId="0" fontId="26" fillId="16" borderId="33" xfId="0" applyFont="1" applyFill="1" applyBorder="1"/>
    <xf numFmtId="169" fontId="26" fillId="0" borderId="0" xfId="1" applyNumberFormat="1" applyFont="1"/>
    <xf numFmtId="169" fontId="26" fillId="0" borderId="0" xfId="0" applyNumberFormat="1" applyFont="1"/>
    <xf numFmtId="171" fontId="26" fillId="16" borderId="33" xfId="7" applyNumberFormat="1" applyFont="1" applyFill="1" applyBorder="1"/>
    <xf numFmtId="2" fontId="26" fillId="0" borderId="0" xfId="0" applyNumberFormat="1" applyFont="1"/>
    <xf numFmtId="2" fontId="26" fillId="0" borderId="31" xfId="0" applyNumberFormat="1" applyFont="1" applyBorder="1"/>
    <xf numFmtId="171" fontId="26" fillId="0" borderId="0" xfId="7" applyNumberFormat="1" applyFont="1" applyFill="1" applyBorder="1"/>
    <xf numFmtId="2" fontId="0" fillId="0" borderId="0" xfId="0" applyNumberFormat="1" applyFill="1" applyBorder="1"/>
    <xf numFmtId="0" fontId="26" fillId="0" borderId="31" xfId="0" applyFont="1" applyBorder="1"/>
    <xf numFmtId="0" fontId="26" fillId="0" borderId="31" xfId="0" applyFont="1" applyBorder="1" applyAlignment="1">
      <alignment horizontal="left" indent="1"/>
    </xf>
    <xf numFmtId="0" fontId="0" fillId="0" borderId="31" xfId="0" applyFill="1" applyBorder="1"/>
    <xf numFmtId="0" fontId="24" fillId="0" borderId="31" xfId="0" applyFont="1" applyFill="1" applyBorder="1"/>
    <xf numFmtId="1" fontId="0" fillId="0" borderId="31" xfId="0" applyNumberFormat="1" applyFill="1" applyBorder="1"/>
    <xf numFmtId="0" fontId="22" fillId="0" borderId="31" xfId="0" applyFont="1" applyFill="1" applyBorder="1"/>
    <xf numFmtId="1" fontId="24" fillId="0" borderId="31" xfId="0" applyNumberFormat="1" applyFont="1" applyFill="1" applyBorder="1"/>
    <xf numFmtId="0" fontId="24" fillId="0" borderId="31" xfId="0" applyFont="1" applyFill="1" applyBorder="1" applyAlignment="1">
      <alignment horizontal="left" indent="2"/>
    </xf>
    <xf numFmtId="2" fontId="2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6" fillId="0" borderId="0" xfId="0" applyNumberFormat="1" applyFont="1" applyBorder="1"/>
    <xf numFmtId="0" fontId="26" fillId="0" borderId="0" xfId="0" applyFont="1" applyBorder="1"/>
    <xf numFmtId="0" fontId="2" fillId="0" borderId="0" xfId="0" applyFont="1" applyBorder="1"/>
    <xf numFmtId="2" fontId="1" fillId="2" borderId="0" xfId="8" applyNumberFormat="1" applyFill="1" applyBorder="1" applyAlignment="1">
      <alignment horizontal="center"/>
    </xf>
    <xf numFmtId="171" fontId="26" fillId="0" borderId="31" xfId="7" applyNumberFormat="1" applyFont="1" applyFill="1" applyBorder="1"/>
    <xf numFmtId="2" fontId="0" fillId="0" borderId="31" xfId="0" applyNumberFormat="1" applyFill="1" applyBorder="1"/>
    <xf numFmtId="2" fontId="1" fillId="0" borderId="0" xfId="8" applyNumberFormat="1" applyFill="1" applyBorder="1" applyAlignment="1">
      <alignment horizontal="center"/>
    </xf>
    <xf numFmtId="2" fontId="1" fillId="0" borderId="31" xfId="8" applyNumberFormat="1" applyFill="1" applyBorder="1" applyAlignment="1">
      <alignment horizontal="center"/>
    </xf>
    <xf numFmtId="2" fontId="2" fillId="0" borderId="0" xfId="0" applyNumberFormat="1" applyFont="1" applyFill="1" applyBorder="1"/>
    <xf numFmtId="2" fontId="2" fillId="0" borderId="31" xfId="0" applyNumberFormat="1" applyFont="1" applyFill="1" applyBorder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170" fontId="0" fillId="9" borderId="0" xfId="0" applyNumberFormat="1" applyFill="1"/>
    <xf numFmtId="10" fontId="26" fillId="9" borderId="0" xfId="7" applyNumberFormat="1" applyFont="1" applyFill="1"/>
    <xf numFmtId="2" fontId="26" fillId="9" borderId="0" xfId="7" applyNumberFormat="1" applyFont="1" applyFill="1"/>
    <xf numFmtId="170" fontId="26" fillId="9" borderId="0" xfId="0" applyNumberFormat="1" applyFont="1" applyFill="1"/>
    <xf numFmtId="2" fontId="0" fillId="9" borderId="0" xfId="0" applyNumberFormat="1" applyFill="1"/>
    <xf numFmtId="10" fontId="24" fillId="9" borderId="0" xfId="7" applyNumberFormat="1" applyFont="1" applyFill="1"/>
    <xf numFmtId="1" fontId="0" fillId="9" borderId="0" xfId="0" applyNumberFormat="1" applyFill="1"/>
    <xf numFmtId="169" fontId="0" fillId="9" borderId="0" xfId="1" applyNumberFormat="1" applyFont="1" applyFill="1"/>
    <xf numFmtId="169" fontId="26" fillId="9" borderId="0" xfId="1" applyNumberFormat="1" applyFont="1" applyFill="1"/>
    <xf numFmtId="169" fontId="0" fillId="9" borderId="0" xfId="0" applyNumberFormat="1" applyFill="1"/>
    <xf numFmtId="43" fontId="0" fillId="9" borderId="0" xfId="1" applyFont="1" applyFill="1"/>
    <xf numFmtId="43" fontId="22" fillId="9" borderId="0" xfId="1" applyFont="1" applyFill="1"/>
    <xf numFmtId="43" fontId="0" fillId="9" borderId="0" xfId="0" applyNumberFormat="1" applyFill="1"/>
    <xf numFmtId="171" fontId="26" fillId="9" borderId="0" xfId="7" applyNumberFormat="1" applyFont="1" applyFill="1"/>
    <xf numFmtId="0" fontId="24" fillId="9" borderId="0" xfId="0" applyFont="1" applyFill="1" applyAlignment="1">
      <alignment horizontal="left" indent="2"/>
    </xf>
    <xf numFmtId="10" fontId="0" fillId="0" borderId="0" xfId="7" applyNumberFormat="1" applyFont="1"/>
    <xf numFmtId="0" fontId="24" fillId="0" borderId="0" xfId="0" applyFont="1" applyFill="1" applyAlignment="1">
      <alignment horizontal="left" indent="3"/>
    </xf>
    <xf numFmtId="0" fontId="2" fillId="17" borderId="0" xfId="0" applyFont="1" applyFill="1" applyAlignment="1">
      <alignment horizontal="center"/>
    </xf>
    <xf numFmtId="0" fontId="0" fillId="17" borderId="0" xfId="0" applyFill="1"/>
    <xf numFmtId="170" fontId="0" fillId="17" borderId="0" xfId="0" applyNumberFormat="1" applyFill="1"/>
    <xf numFmtId="2" fontId="26" fillId="17" borderId="0" xfId="7" applyNumberFormat="1" applyFont="1" applyFill="1"/>
    <xf numFmtId="2" fontId="0" fillId="17" borderId="0" xfId="0" applyNumberFormat="1" applyFill="1"/>
    <xf numFmtId="43" fontId="0" fillId="17" borderId="0" xfId="0" applyNumberFormat="1" applyFill="1"/>
    <xf numFmtId="169" fontId="24" fillId="16" borderId="33" xfId="1" applyNumberFormat="1" applyFont="1" applyFill="1" applyBorder="1"/>
    <xf numFmtId="43" fontId="24" fillId="0" borderId="0" xfId="1" applyFont="1" applyFill="1"/>
    <xf numFmtId="43" fontId="24" fillId="9" borderId="0" xfId="1" applyFont="1" applyFill="1"/>
    <xf numFmtId="170" fontId="24" fillId="17" borderId="0" xfId="0" applyNumberFormat="1" applyFont="1" applyFill="1"/>
    <xf numFmtId="0" fontId="26" fillId="0" borderId="0" xfId="0" applyFont="1" applyFill="1" applyAlignment="1">
      <alignment horizontal="left"/>
    </xf>
    <xf numFmtId="169" fontId="0" fillId="0" borderId="33" xfId="0" applyNumberFormat="1" applyFill="1" applyBorder="1"/>
    <xf numFmtId="43" fontId="0" fillId="12" borderId="33" xfId="0" applyNumberFormat="1" applyFill="1" applyBorder="1"/>
    <xf numFmtId="170" fontId="0" fillId="12" borderId="0" xfId="0" applyNumberFormat="1" applyFill="1"/>
    <xf numFmtId="0" fontId="0" fillId="12" borderId="31" xfId="0" applyFill="1" applyBorder="1"/>
    <xf numFmtId="0" fontId="23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3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3" fillId="11" borderId="23" xfId="0" applyFont="1" applyFill="1" applyBorder="1" applyAlignment="1">
      <alignment horizontal="center"/>
    </xf>
    <xf numFmtId="0" fontId="23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1" fillId="0" borderId="0" xfId="0" applyNumberFormat="1" applyFont="1" applyAlignment="1">
      <alignment horizontal="left" wrapText="1"/>
    </xf>
    <xf numFmtId="0" fontId="12" fillId="0" borderId="0" xfId="0" applyFont="1" applyAlignment="1">
      <alignment horizontal="left"/>
    </xf>
    <xf numFmtId="164" fontId="7" fillId="0" borderId="1" xfId="0" applyNumberFormat="1" applyFont="1" applyBorder="1" applyAlignment="1">
      <alignment horizontal="left"/>
    </xf>
    <xf numFmtId="164" fontId="13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0" xfId="3" applyFont="1"/>
    <xf numFmtId="0" fontId="7" fillId="0" borderId="0" xfId="3" applyFont="1" applyAlignment="1">
      <alignment horizontal="center"/>
    </xf>
    <xf numFmtId="3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0" applyFont="1"/>
    <xf numFmtId="0" fontId="13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 refreshError="1"/>
      <sheetData sheetId="1">
        <row r="13">
          <cell r="C13">
            <v>880.5564324324323</v>
          </cell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2" dT="2020-10-29T13:51:40.74" personId="{2D35AFA9-F227-4AE7-B9A7-D673D9D18C70}" id="{89A8CDBA-088C-407A-AF86-C52D67EAF64E}">
    <text>was a formula using the FY estimate</text>
  </threadedComment>
  <threadedComment ref="L16" dT="2020-10-29T13:52:01.49" personId="{2D35AFA9-F227-4AE7-B9A7-D673D9D18C70}" id="{BB3C9FFB-27AB-4187-8D8E-801A1DB57782}">
    <text>added 30 to previous</text>
  </threadedComment>
  <threadedComment ref="L18" dT="2020-10-29T13:51:31.61" personId="{2D35AFA9-F227-4AE7-B9A7-D673D9D18C70}" id="{1B105238-E1C8-4219-83F1-61E40A0FC553}">
    <text>was a formula using the FY estimate</text>
  </threadedComment>
  <threadedComment ref="K33" dT="2020-10-29T15:30:32.00" personId="{2D35AFA9-F227-4AE7-B9A7-D673D9D18C70}" id="{7314685E-335E-47AA-B478-1BA6ABF2BDA3}">
    <text>BEA has 771k for total UI but not including Trump UI. Add trump UI for the real total</text>
  </threadedComment>
  <threadedComment ref="L48" dT="2020-10-29T14:36:46.07" personId="{2D35AFA9-F227-4AE7-B9A7-D673D9D18C70}" id="{8EC230A4-5D8F-44F9-8723-C06BBE1A66FC}">
    <text>estimates from covid_quartely outlays document</text>
  </threadedComment>
  <threadedComment ref="J56" dT="2020-09-10T19:09:05.64" personId="{2D35AFA9-F227-4AE7-B9A7-D673D9D18C70}" id="{2D81BDF9-A0D8-4A1A-915B-91D32E8E61FF}">
    <text>grow with nom purchases</text>
  </threadedComment>
  <threadedComment ref="J61" dT="2020-10-27T15:26:37.39" personId="{2D35AFA9-F227-4AE7-B9A7-D673D9D18C70}" id="{33EF6DF5-9556-47EC-86E1-A12FDBDC0AA8}">
    <text>CBO indicated 17 for q2? why do we split the quarter 3 payments into q2?</text>
  </threadedComment>
  <threadedComment ref="J61" dT="2020-10-28T16:31:53.35" personId="{2D35AFA9-F227-4AE7-B9A7-D673D9D18C70}" id="{1079BF34-6E2F-4888-8715-72B28B28D9AA}" parentId="{33EF6DF5-9556-47EC-86E1-A12FDBDC0AA8}">
    <text>we're comfortable leaving this as is</text>
  </threadedComment>
  <threadedComment ref="L67" dT="2020-10-29T13:45:12.38" personId="{2D35AFA9-F227-4AE7-B9A7-D673D9D18C70}" id="{82CA3AE7-50FB-4F26-A21A-362FCDD169CB}">
    <text>was a formula using the FY estimate</text>
  </threadedComment>
  <threadedComment ref="N72" dT="2020-09-11T20:43:00.49" personId="{2D35AFA9-F227-4AE7-B9A7-D673D9D18C70}" id="{11731043-8530-4DAC-9476-3C98D0D836BB}">
    <text>grow with S&amp;L nom purchases</text>
  </threadedComment>
  <threadedComment ref="L74" dT="2020-10-29T13:51:24.61" personId="{2D35AFA9-F227-4AE7-B9A7-D673D9D18C70}" id="{A2EEA12B-3EC3-4F40-A98C-7C6953D5CE7E}">
    <text>was a formula using the FY estimate</text>
  </threadedComment>
  <threadedComment ref="N79" dT="2020-10-29T17:11:18.12" personId="{2D35AFA9-F227-4AE7-B9A7-D673D9D18C70}" id="{DF0EC25E-9AE4-45F2-BCE9-95D46AA2D480}">
    <text>CBO projected is 1.96%</text>
  </threadedComment>
  <threadedComment ref="K83" dT="2020-09-30T15:34:05.87" personId="{2D35AFA9-F227-4AE7-B9A7-D673D9D18C70}" id="{55BAE892-7CB3-4E1D-8C31-C7FA6DC5B9F4}">
    <text>OVERRIDE IN THE FIM WITH -5%</text>
  </threadedComment>
  <threadedComment ref="N83" dT="2020-09-30T15:34:25.90" personId="{2D35AFA9-F227-4AE7-B9A7-D673D9D18C70}" id="{5A5A9177-799E-4FBA-A407-831B591270CB}">
    <text>overide in the fim with 4%</text>
  </threadedComment>
  <threadedComment ref="N83" dT="2020-10-29T16:57:45.80" personId="{2D35AFA9-F227-4AE7-B9A7-D673D9D18C70}" id="{FBDD8523-7A3F-4DF7-81A8-0924F76BD4BF}" parentId="{5A5A9177-799E-4FBA-A407-831B591270CB}">
    <text>cbo proected it will be 2.3%. should we still ovverride with 4%?</text>
  </threadedComment>
  <threadedComment ref="O83" dT="2020-09-30T15:34:25.90" personId="{2D35AFA9-F227-4AE7-B9A7-D673D9D18C70}" id="{6E4225DC-7AF1-4149-8AFD-DF5FEAFAE0CE}">
    <text>overide in the fim with 4%</text>
  </threadedComment>
  <threadedComment ref="O83" dT="2020-10-29T16:57:45.80" personId="{2D35AFA9-F227-4AE7-B9A7-D673D9D18C70}" id="{FE20A6AA-02B6-46E8-9806-7C5144E7A7ED}" parentId="{6E4225DC-7AF1-4149-8AFD-DF5FEAFAE0CE}">
    <text>cbo proected it will be 2.3%. should we still ovverride with 4%?</text>
  </threadedComment>
  <threadedComment ref="P83" dT="2020-09-30T15:34:25.90" personId="{2D35AFA9-F227-4AE7-B9A7-D673D9D18C70}" id="{E0AA59A4-D972-4354-844E-3B08443F6713}">
    <text>overide in the fim with 4%</text>
  </threadedComment>
  <threadedComment ref="P83" dT="2020-10-29T16:57:45.80" personId="{2D35AFA9-F227-4AE7-B9A7-D673D9D18C70}" id="{C3D0F2C7-665C-439A-9621-55D3B2C5FDA6}" parentId="{E0AA59A4-D972-4354-844E-3B08443F6713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O34" dT="2020-10-19T15:00:30.46" personId="{2D35AFA9-F227-4AE7-B9A7-D673D9D18C70}" id="{1855A115-8570-465F-B05E-38BBA49F0533}">
    <text>where is this sourced?</text>
  </threadedComment>
  <threadedComment ref="O37" dT="2020-10-19T15:28:22.85" personId="{2D35AFA9-F227-4AE7-B9A7-D673D9D18C70}" id="{3C125DA7-4F05-46DF-A087-778AC4E0593F}">
    <text>why is federal including total legislation *and* also PEUC?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2.x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P95"/>
  <sheetViews>
    <sheetView zoomScale="110" zoomScaleNormal="110" workbookViewId="0">
      <pane xSplit="2" ySplit="3" topLeftCell="S81" activePane="bottomRight" state="frozen"/>
      <selection pane="topRight" activeCell="C1" sqref="C1"/>
      <selection pane="bottomLeft" activeCell="A4" sqref="A4"/>
      <selection pane="bottomRight" activeCell="U87" sqref="U87"/>
    </sheetView>
  </sheetViews>
  <sheetFormatPr baseColWidth="10" defaultColWidth="8.83203125" defaultRowHeight="15" x14ac:dyDescent="0.2"/>
  <cols>
    <col min="1" max="1" width="22.5" customWidth="1"/>
    <col min="2" max="2" width="10.83203125" customWidth="1"/>
    <col min="4" max="11" width="16.1640625" bestFit="1" customWidth="1"/>
    <col min="12" max="12" width="13.1640625" hidden="1" customWidth="1"/>
    <col min="13" max="13" width="9.83203125" style="286" hidden="1" customWidth="1"/>
    <col min="14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31" width="8.83203125" customWidth="1"/>
    <col min="32" max="32" width="15.5" hidden="1" customWidth="1"/>
    <col min="33" max="33" width="10.5" hidden="1" customWidth="1"/>
    <col min="38" max="38" width="8.6640625" style="146"/>
  </cols>
  <sheetData>
    <row r="1" spans="1:42" ht="19" x14ac:dyDescent="0.25">
      <c r="A1" s="302" t="s">
        <v>164</v>
      </c>
      <c r="B1" s="302"/>
      <c r="C1" s="35"/>
      <c r="K1" s="266" t="s">
        <v>286</v>
      </c>
      <c r="L1" s="267" t="s">
        <v>287</v>
      </c>
      <c r="M1" s="285" t="s">
        <v>289</v>
      </c>
      <c r="AB1" s="180" t="s">
        <v>251</v>
      </c>
      <c r="AC1" s="304" t="s">
        <v>249</v>
      </c>
      <c r="AD1" s="304"/>
      <c r="AE1" s="304"/>
      <c r="AF1" t="s">
        <v>28</v>
      </c>
      <c r="AH1" s="305" t="s">
        <v>284</v>
      </c>
      <c r="AI1" s="305"/>
      <c r="AJ1" s="305"/>
      <c r="AK1" s="305"/>
      <c r="AL1" s="303" t="s">
        <v>282</v>
      </c>
      <c r="AM1" s="303"/>
      <c r="AN1" s="303"/>
      <c r="AO1" s="303"/>
    </row>
    <row r="2" spans="1:42" x14ac:dyDescent="0.2">
      <c r="D2" s="301" t="s">
        <v>21</v>
      </c>
      <c r="E2" s="301"/>
      <c r="F2" s="301"/>
      <c r="G2" s="301"/>
      <c r="H2" s="301" t="s">
        <v>9</v>
      </c>
      <c r="I2" s="301"/>
      <c r="J2" s="301"/>
      <c r="K2" s="301"/>
      <c r="L2" s="234"/>
      <c r="M2" s="265"/>
      <c r="N2" s="301" t="s">
        <v>10</v>
      </c>
      <c r="O2" s="301"/>
      <c r="P2" s="301"/>
      <c r="Q2" s="301"/>
      <c r="R2" s="301" t="s">
        <v>11</v>
      </c>
      <c r="S2" s="301"/>
      <c r="T2" s="301"/>
      <c r="U2" s="301"/>
      <c r="V2" s="301" t="s">
        <v>270</v>
      </c>
      <c r="W2" s="301"/>
      <c r="X2" s="301"/>
      <c r="Y2" s="301"/>
      <c r="Z2" s="230"/>
      <c r="AA2" s="230"/>
      <c r="AB2" s="156"/>
      <c r="AC2" s="301" t="s">
        <v>102</v>
      </c>
      <c r="AD2" s="301"/>
      <c r="AE2" s="301"/>
      <c r="AF2" s="156"/>
      <c r="AG2" s="156" t="s">
        <v>21</v>
      </c>
      <c r="AH2" s="301" t="s">
        <v>102</v>
      </c>
      <c r="AI2" s="301"/>
      <c r="AJ2" s="301"/>
      <c r="AK2" s="231"/>
    </row>
    <row r="3" spans="1:42" x14ac:dyDescent="0.2">
      <c r="D3" s="200" t="s">
        <v>5</v>
      </c>
      <c r="E3" s="200" t="s">
        <v>6</v>
      </c>
      <c r="F3" s="200" t="s">
        <v>7</v>
      </c>
      <c r="G3" s="200" t="s">
        <v>8</v>
      </c>
      <c r="H3" s="200" t="s">
        <v>5</v>
      </c>
      <c r="I3" s="200" t="s">
        <v>6</v>
      </c>
      <c r="J3" s="200" t="s">
        <v>7</v>
      </c>
      <c r="K3" t="s">
        <v>8</v>
      </c>
      <c r="L3" s="107"/>
      <c r="N3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AB3" s="157" t="s">
        <v>21</v>
      </c>
      <c r="AC3" s="181" t="s">
        <v>9</v>
      </c>
      <c r="AD3" s="132" t="s">
        <v>12</v>
      </c>
      <c r="AE3" s="132" t="s">
        <v>11</v>
      </c>
      <c r="AF3" s="2" t="s">
        <v>250</v>
      </c>
      <c r="AG3" s="2" t="s">
        <v>160</v>
      </c>
      <c r="AH3" s="184" t="s">
        <v>9</v>
      </c>
      <c r="AI3" s="97" t="s">
        <v>12</v>
      </c>
      <c r="AJ3" s="97" t="s">
        <v>11</v>
      </c>
      <c r="AK3" s="97" t="s">
        <v>270</v>
      </c>
      <c r="AM3" s="97" t="s">
        <v>12</v>
      </c>
      <c r="AN3" s="97" t="s">
        <v>11</v>
      </c>
      <c r="AO3" s="97" t="s">
        <v>270</v>
      </c>
    </row>
    <row r="4" spans="1:42" ht="19" x14ac:dyDescent="0.25">
      <c r="A4" s="300" t="s">
        <v>266</v>
      </c>
      <c r="B4" s="300"/>
      <c r="D4" s="200"/>
      <c r="E4" s="200"/>
      <c r="F4" s="200"/>
      <c r="G4" s="200"/>
      <c r="H4" s="200"/>
      <c r="I4" s="200"/>
      <c r="J4" s="200"/>
      <c r="L4" s="107"/>
      <c r="AB4" s="193"/>
      <c r="AC4" s="181"/>
      <c r="AD4" s="193"/>
      <c r="AE4" s="193"/>
      <c r="AF4" s="192"/>
      <c r="AG4" s="192"/>
      <c r="AH4" s="184"/>
      <c r="AI4" s="97"/>
      <c r="AJ4" s="97"/>
      <c r="AK4" s="97"/>
    </row>
    <row r="5" spans="1:42" x14ac:dyDescent="0.2">
      <c r="A5" t="s">
        <v>263</v>
      </c>
      <c r="B5" t="s">
        <v>288</v>
      </c>
      <c r="D5" s="201">
        <v>20909.900000000001</v>
      </c>
      <c r="E5" s="201">
        <v>21115.3</v>
      </c>
      <c r="F5" s="201">
        <v>21329.9</v>
      </c>
      <c r="G5" s="201">
        <v>21540.3</v>
      </c>
      <c r="H5" s="201">
        <v>21747.4</v>
      </c>
      <c r="I5" s="201">
        <v>21561.1</v>
      </c>
      <c r="J5" s="201">
        <v>19520.099999999999</v>
      </c>
      <c r="K5" s="168">
        <v>21157.599999999999</v>
      </c>
      <c r="L5" s="268">
        <v>20368.623608267801</v>
      </c>
      <c r="M5" s="287">
        <f>K5-L5</f>
        <v>788.97639173219795</v>
      </c>
      <c r="N5">
        <v>21585.442357487202</v>
      </c>
      <c r="O5">
        <v>21943.435051587501</v>
      </c>
      <c r="P5">
        <v>22292.3673066964</v>
      </c>
      <c r="Q5">
        <v>22665.320260526601</v>
      </c>
      <c r="R5">
        <v>22915.1144564395</v>
      </c>
      <c r="S5">
        <v>23143.732510058599</v>
      </c>
      <c r="T5">
        <v>23370.032776958898</v>
      </c>
      <c r="U5">
        <v>23606.657730151801</v>
      </c>
      <c r="V5">
        <v>23846.759363422701</v>
      </c>
      <c r="W5">
        <v>24088.125243994698</v>
      </c>
      <c r="X5">
        <v>24319.482500099599</v>
      </c>
      <c r="Y5">
        <v>24567.380325060702</v>
      </c>
      <c r="AB5" s="193"/>
      <c r="AC5" s="181"/>
      <c r="AD5" s="193"/>
      <c r="AE5" s="193"/>
      <c r="AF5" s="192"/>
      <c r="AG5" s="192"/>
      <c r="AH5" s="184"/>
      <c r="AI5" s="97"/>
      <c r="AJ5" s="97"/>
      <c r="AK5" s="97"/>
    </row>
    <row r="6" spans="1:42" s="171" customFormat="1" x14ac:dyDescent="0.2">
      <c r="A6" s="170" t="s">
        <v>217</v>
      </c>
      <c r="D6" s="202"/>
      <c r="E6" s="203">
        <f>E5/D5-1</f>
        <v>9.8230981496802983E-3</v>
      </c>
      <c r="F6" s="203">
        <f t="shared" ref="F6:V6" si="0">F5/E5-1</f>
        <v>1.016324655581502E-2</v>
      </c>
      <c r="G6" s="203">
        <f t="shared" si="0"/>
        <v>9.864087501582075E-3</v>
      </c>
      <c r="H6" s="203">
        <f t="shared" si="0"/>
        <v>9.6145364734938621E-3</v>
      </c>
      <c r="I6" s="203">
        <f t="shared" si="0"/>
        <v>-8.5665412876942959E-3</v>
      </c>
      <c r="J6" s="203">
        <f t="shared" si="0"/>
        <v>-9.4661218583467432E-2</v>
      </c>
      <c r="K6" s="199">
        <f t="shared" si="0"/>
        <v>8.3887889918596636E-2</v>
      </c>
      <c r="L6" s="269">
        <v>4.3469224454167898E-2</v>
      </c>
      <c r="M6" s="287"/>
      <c r="N6" s="199">
        <f>N5/K5-1</f>
        <v>2.0221686651000326E-2</v>
      </c>
      <c r="O6" s="199">
        <f t="shared" si="0"/>
        <v>1.6584913488053799E-2</v>
      </c>
      <c r="P6" s="199">
        <f t="shared" si="0"/>
        <v>1.5901441788333637E-2</v>
      </c>
      <c r="Q6" s="199">
        <f t="shared" si="0"/>
        <v>1.6730073962049286E-2</v>
      </c>
      <c r="R6" s="199">
        <f t="shared" si="0"/>
        <v>1.1020986822230627E-2</v>
      </c>
      <c r="S6" s="199">
        <f t="shared" si="0"/>
        <v>9.9767362739422438E-3</v>
      </c>
      <c r="T6" s="199">
        <f t="shared" si="0"/>
        <v>9.7780367450215344E-3</v>
      </c>
      <c r="U6" s="199">
        <f t="shared" si="0"/>
        <v>1.0125144258513741E-2</v>
      </c>
      <c r="V6" s="199">
        <f t="shared" si="0"/>
        <v>1.0170928727628814E-2</v>
      </c>
      <c r="W6" s="177"/>
      <c r="X6" s="174"/>
      <c r="Y6" s="174"/>
      <c r="Z6" s="174"/>
      <c r="AA6" s="174"/>
      <c r="AB6" s="174"/>
      <c r="AC6" s="175"/>
      <c r="AD6" s="175"/>
      <c r="AE6" s="175"/>
      <c r="AF6" s="176"/>
      <c r="AH6" s="176"/>
      <c r="AI6" s="176"/>
      <c r="AJ6" s="176"/>
      <c r="AK6" s="176"/>
      <c r="AL6" s="244"/>
    </row>
    <row r="7" spans="1:42" x14ac:dyDescent="0.2">
      <c r="A7" t="s">
        <v>264</v>
      </c>
      <c r="B7" t="s">
        <v>288</v>
      </c>
      <c r="D7" s="201">
        <v>18813.900000000001</v>
      </c>
      <c r="E7" s="201">
        <v>18950.3</v>
      </c>
      <c r="F7" s="201">
        <v>19020.599999999999</v>
      </c>
      <c r="G7" s="201">
        <v>19141.7</v>
      </c>
      <c r="H7" s="201">
        <v>19254</v>
      </c>
      <c r="I7" s="201">
        <v>19010.8</v>
      </c>
      <c r="J7" s="201">
        <v>17302.5</v>
      </c>
      <c r="K7" s="168">
        <v>18584</v>
      </c>
      <c r="L7" s="268">
        <v>17994.287671353301</v>
      </c>
      <c r="M7" s="287">
        <f t="shared" ref="M7" si="1">K7-L7</f>
        <v>589.71232864669946</v>
      </c>
      <c r="N7">
        <v>18942.381551882499</v>
      </c>
      <c r="O7">
        <v>19219.912560792101</v>
      </c>
      <c r="P7">
        <v>19461.207445519602</v>
      </c>
      <c r="Q7">
        <v>19712.765741142499</v>
      </c>
      <c r="R7">
        <v>19856.558222362499</v>
      </c>
      <c r="S7">
        <v>19971.655044547999</v>
      </c>
      <c r="T7">
        <v>20075.545897694501</v>
      </c>
      <c r="U7">
        <v>20183.311712097599</v>
      </c>
      <c r="V7">
        <v>20293.486286200499</v>
      </c>
      <c r="W7">
        <v>20403.870317668701</v>
      </c>
      <c r="X7">
        <v>20500.639620398</v>
      </c>
      <c r="Y7">
        <v>20608.1959774358</v>
      </c>
      <c r="AB7" s="193"/>
      <c r="AC7" s="181"/>
      <c r="AD7" s="193"/>
      <c r="AE7" s="193"/>
      <c r="AF7" s="192"/>
      <c r="AG7" s="192"/>
      <c r="AH7" s="184"/>
      <c r="AI7" s="97"/>
      <c r="AJ7" s="97"/>
      <c r="AK7" s="97"/>
    </row>
    <row r="8" spans="1:42" s="214" customFormat="1" ht="12" x14ac:dyDescent="0.15">
      <c r="A8" s="214" t="s">
        <v>265</v>
      </c>
      <c r="D8" s="218"/>
      <c r="E8" s="218"/>
      <c r="F8" s="218"/>
      <c r="G8" s="218"/>
      <c r="H8" s="218"/>
      <c r="I8" s="218"/>
      <c r="J8" s="218"/>
      <c r="K8" s="217"/>
      <c r="L8" s="270"/>
      <c r="M8" s="288"/>
      <c r="N8" s="217"/>
      <c r="O8" s="217"/>
      <c r="P8" s="217"/>
      <c r="Q8" s="217"/>
      <c r="R8" s="217"/>
      <c r="S8" s="217"/>
      <c r="T8" s="217"/>
      <c r="U8" s="217"/>
      <c r="V8" s="217"/>
      <c r="W8" s="223"/>
      <c r="AB8" s="215"/>
      <c r="AC8" s="216"/>
      <c r="AD8" s="215"/>
      <c r="AE8" s="215"/>
      <c r="AH8" s="216"/>
      <c r="AI8" s="215"/>
      <c r="AJ8" s="215"/>
      <c r="AK8" s="215"/>
      <c r="AL8" s="245"/>
    </row>
    <row r="9" spans="1:42" x14ac:dyDescent="0.2">
      <c r="D9" s="200"/>
      <c r="E9" s="200"/>
      <c r="F9" s="200"/>
      <c r="G9" s="200"/>
      <c r="H9" s="200"/>
      <c r="I9" s="200"/>
      <c r="J9" s="200"/>
      <c r="L9" s="107"/>
      <c r="AB9" s="193"/>
      <c r="AC9" s="181"/>
      <c r="AD9" s="193"/>
      <c r="AE9" s="193"/>
      <c r="AF9" s="192"/>
      <c r="AG9" s="192"/>
      <c r="AH9" s="184"/>
      <c r="AI9" s="97"/>
      <c r="AJ9" s="97"/>
      <c r="AK9" s="97"/>
    </row>
    <row r="10" spans="1:42" x14ac:dyDescent="0.2">
      <c r="A10" t="s">
        <v>1</v>
      </c>
      <c r="D10" s="200"/>
      <c r="E10" s="200"/>
      <c r="F10" s="200"/>
      <c r="G10" s="200"/>
      <c r="H10" s="200"/>
      <c r="I10" s="200"/>
      <c r="J10" s="200"/>
      <c r="L10" s="107"/>
      <c r="AC10" s="146"/>
      <c r="AH10" s="146"/>
    </row>
    <row r="11" spans="1:42" x14ac:dyDescent="0.2">
      <c r="A11" s="178" t="s">
        <v>260</v>
      </c>
      <c r="D11" s="201">
        <f>D12+D14+D16</f>
        <v>3178</v>
      </c>
      <c r="E11" s="201">
        <f t="shared" ref="E11:V11" si="2">E12+E14+E16</f>
        <v>3259.5</v>
      </c>
      <c r="F11" s="201">
        <f t="shared" si="2"/>
        <v>3269.2</v>
      </c>
      <c r="G11" s="201">
        <f t="shared" si="2"/>
        <v>3290.6</v>
      </c>
      <c r="H11" s="201">
        <f t="shared" si="2"/>
        <v>3336.3</v>
      </c>
      <c r="I11" s="201">
        <f t="shared" si="2"/>
        <v>3376.8</v>
      </c>
      <c r="J11" s="201">
        <f t="shared" si="2"/>
        <v>3091.4840000000004</v>
      </c>
      <c r="K11" s="168">
        <f t="shared" si="2"/>
        <v>3245.1670000000004</v>
      </c>
      <c r="L11" s="268">
        <v>3037.5306077211312</v>
      </c>
      <c r="M11" s="287">
        <f t="shared" ref="M11:M77" si="3">K11-L11</f>
        <v>207.63639227886915</v>
      </c>
      <c r="N11" s="168">
        <f t="shared" si="2"/>
        <v>3370.5186359999998</v>
      </c>
      <c r="O11" s="168">
        <f t="shared" si="2"/>
        <v>3504.7666971280005</v>
      </c>
      <c r="P11" s="168">
        <f t="shared" si="2"/>
        <v>3538.0019229981444</v>
      </c>
      <c r="Q11" s="168">
        <f t="shared" si="2"/>
        <v>3571.7109143669741</v>
      </c>
      <c r="R11" s="168">
        <f t="shared" si="2"/>
        <v>3634.7057643927146</v>
      </c>
      <c r="S11" s="168">
        <f t="shared" si="2"/>
        <v>3676.5334676852744</v>
      </c>
      <c r="T11" s="168">
        <f t="shared" si="2"/>
        <v>3718.9986738367047</v>
      </c>
      <c r="U11" s="168">
        <f t="shared" si="2"/>
        <v>3762.1165269086332</v>
      </c>
      <c r="V11" s="168">
        <f t="shared" si="2"/>
        <v>3837.3588574468058</v>
      </c>
      <c r="W11" s="169"/>
      <c r="AC11" s="146"/>
      <c r="AH11" s="146"/>
    </row>
    <row r="12" spans="1:42" x14ac:dyDescent="0.2">
      <c r="A12" s="219" t="s">
        <v>25</v>
      </c>
      <c r="B12" t="s">
        <v>288</v>
      </c>
      <c r="D12" s="201">
        <v>1634.2</v>
      </c>
      <c r="E12" s="201">
        <v>1695.5</v>
      </c>
      <c r="F12" s="201">
        <v>1703.1</v>
      </c>
      <c r="G12" s="201">
        <v>1713.2</v>
      </c>
      <c r="H12" s="201">
        <v>1740.2</v>
      </c>
      <c r="I12" s="201">
        <v>1756.6</v>
      </c>
      <c r="J12" s="201">
        <v>1599.3</v>
      </c>
      <c r="K12" s="168">
        <v>1686.3530000000001</v>
      </c>
      <c r="L12" s="268">
        <v>1501.7466077211311</v>
      </c>
      <c r="M12" s="287">
        <f t="shared" si="3"/>
        <v>184.60639227886895</v>
      </c>
      <c r="N12" s="169">
        <f>K12*(1+N13)</f>
        <v>1787.5341800000001</v>
      </c>
      <c r="O12" s="169">
        <f t="shared" ref="O12:U12" si="4">N12*(1+O13)</f>
        <v>1898.3612991600003</v>
      </c>
      <c r="P12" s="169">
        <f t="shared" si="4"/>
        <v>1913.5481895532803</v>
      </c>
      <c r="Q12" s="169">
        <f t="shared" si="4"/>
        <v>1928.8565750697064</v>
      </c>
      <c r="R12" s="169">
        <f t="shared" si="4"/>
        <v>1948.1451408204034</v>
      </c>
      <c r="S12" s="169">
        <f t="shared" si="4"/>
        <v>1967.6265922286075</v>
      </c>
      <c r="T12" s="169">
        <f t="shared" si="4"/>
        <v>1987.3028581508936</v>
      </c>
      <c r="U12" s="169">
        <f t="shared" si="4"/>
        <v>2007.1758867324027</v>
      </c>
      <c r="V12" s="169">
        <f t="shared" ref="O12:V14" si="5">U12*(1+V13)</f>
        <v>2047.3194044670508</v>
      </c>
      <c r="W12" s="169"/>
      <c r="X12" s="44"/>
      <c r="Y12" s="44"/>
      <c r="Z12" s="44"/>
      <c r="AA12" s="44"/>
      <c r="AB12" s="44">
        <f>AVERAGE(D12:G12)</f>
        <v>1686.4999999999998</v>
      </c>
      <c r="AC12" s="182">
        <f>AVERAGE(H12,I12,J12,K12)</f>
        <v>1695.6132500000001</v>
      </c>
      <c r="AD12" s="45">
        <f>AVERAGE(N12:Q12)</f>
        <v>1882.0750609457466</v>
      </c>
      <c r="AE12" s="45">
        <f>AVERAGE(R12:U12)</f>
        <v>1977.5626194830768</v>
      </c>
      <c r="AF12" s="3">
        <f>AVERAGE(D12:G12)</f>
        <v>1686.4999999999998</v>
      </c>
      <c r="AG12">
        <v>1653</v>
      </c>
      <c r="AH12" s="185">
        <f>$AB12/'figuring NIPA tax changes'!$E19*'figuring NIPA tax changes'!F19</f>
        <v>1649.4616519302829</v>
      </c>
      <c r="AI12" s="3">
        <f>$AB12/'figuring NIPA tax changes'!$E19*'figuring NIPA tax changes'!G19</f>
        <v>1678.1639909491882</v>
      </c>
      <c r="AJ12" s="3">
        <f>$AB12/'figuring NIPA tax changes'!$E19*'figuring NIPA tax changes'!H19</f>
        <v>1762.3300952873258</v>
      </c>
      <c r="AK12" s="3"/>
    </row>
    <row r="13" spans="1:42" s="171" customFormat="1" x14ac:dyDescent="0.2">
      <c r="A13" s="220" t="s">
        <v>217</v>
      </c>
      <c r="D13" s="202"/>
      <c r="E13" s="202"/>
      <c r="F13" s="202"/>
      <c r="G13" s="202"/>
      <c r="H13" s="202"/>
      <c r="I13" s="202"/>
      <c r="J13" s="202"/>
      <c r="K13" s="172"/>
      <c r="L13" s="271"/>
      <c r="M13" s="287"/>
      <c r="N13" s="177">
        <v>0.06</v>
      </c>
      <c r="O13" s="177">
        <v>6.2E-2</v>
      </c>
      <c r="P13" s="177">
        <v>8.0000000000000002E-3</v>
      </c>
      <c r="Q13" s="177">
        <v>8.0000000000000002E-3</v>
      </c>
      <c r="R13" s="177">
        <v>0.01</v>
      </c>
      <c r="S13" s="177">
        <v>0.01</v>
      </c>
      <c r="T13" s="177">
        <v>0.01</v>
      </c>
      <c r="U13" s="177">
        <v>0.01</v>
      </c>
      <c r="V13" s="177">
        <v>0.02</v>
      </c>
      <c r="W13" s="177"/>
      <c r="X13" s="174"/>
      <c r="Y13" s="174"/>
      <c r="Z13" s="174"/>
      <c r="AA13" s="174"/>
      <c r="AB13" s="174"/>
      <c r="AC13" s="183"/>
      <c r="AD13" s="175"/>
      <c r="AE13" s="175"/>
      <c r="AF13" s="176"/>
      <c r="AH13" s="186"/>
      <c r="AI13" s="176"/>
      <c r="AJ13" s="176"/>
      <c r="AK13" s="176"/>
      <c r="AL13" s="244"/>
    </row>
    <row r="14" spans="1:42" x14ac:dyDescent="0.2">
      <c r="A14" s="219" t="s">
        <v>26</v>
      </c>
      <c r="B14" t="s">
        <v>288</v>
      </c>
      <c r="D14" s="201">
        <v>183.5</v>
      </c>
      <c r="E14" s="201">
        <v>172.1</v>
      </c>
      <c r="F14" s="201">
        <v>168.3</v>
      </c>
      <c r="G14" s="201">
        <v>175.1</v>
      </c>
      <c r="H14" s="201">
        <v>179.2</v>
      </c>
      <c r="I14" s="201">
        <v>183.8</v>
      </c>
      <c r="J14" s="201">
        <v>131.4</v>
      </c>
      <c r="K14" s="169">
        <v>144.66200000000001</v>
      </c>
      <c r="L14" s="268">
        <v>145</v>
      </c>
      <c r="M14" s="287">
        <f t="shared" si="3"/>
        <v>-0.33799999999999386</v>
      </c>
      <c r="N14" s="169">
        <f>K14*(1+N15)</f>
        <v>150.44848000000002</v>
      </c>
      <c r="O14" s="169">
        <f t="shared" si="5"/>
        <v>162.40913416000001</v>
      </c>
      <c r="P14" s="169">
        <f t="shared" si="5"/>
        <v>168.90549952640001</v>
      </c>
      <c r="Q14" s="169">
        <f t="shared" si="5"/>
        <v>175.66171950745601</v>
      </c>
      <c r="R14" s="169">
        <f t="shared" si="5"/>
        <v>182.68818828775426</v>
      </c>
      <c r="S14" s="169">
        <f t="shared" si="5"/>
        <v>189.99571581926443</v>
      </c>
      <c r="T14" s="169">
        <f t="shared" si="5"/>
        <v>197.59554445203503</v>
      </c>
      <c r="U14" s="169">
        <f t="shared" si="5"/>
        <v>205.49936623011644</v>
      </c>
      <c r="V14" s="169">
        <f t="shared" si="5"/>
        <v>209.60935355471878</v>
      </c>
      <c r="W14" s="169"/>
      <c r="X14" s="44"/>
      <c r="Y14" s="44"/>
      <c r="Z14" s="44"/>
      <c r="AA14" s="44"/>
      <c r="AB14" s="44">
        <f>AVERAGE(D14:G14)</f>
        <v>174.75000000000003</v>
      </c>
      <c r="AC14" s="182">
        <f>AVERAGE(H14,I14,J14,K14)</f>
        <v>159.7655</v>
      </c>
      <c r="AD14" s="45">
        <f>AVERAGE(N14:Q14)</f>
        <v>164.35620829846403</v>
      </c>
      <c r="AE14" s="45">
        <f>AVERAGE(R14:U14)</f>
        <v>193.94470369729254</v>
      </c>
      <c r="AF14" s="3">
        <f>AVERAGE(D14:G14)</f>
        <v>174.75000000000003</v>
      </c>
      <c r="AG14">
        <v>173</v>
      </c>
      <c r="AH14" s="185"/>
      <c r="AI14" s="3"/>
      <c r="AJ14" s="3"/>
      <c r="AK14" s="3"/>
      <c r="AL14" s="246"/>
      <c r="AM14" s="35"/>
      <c r="AN14" s="35"/>
      <c r="AO14" s="35"/>
      <c r="AP14" s="35"/>
    </row>
    <row r="15" spans="1:42" s="171" customFormat="1" x14ac:dyDescent="0.2">
      <c r="A15" s="220" t="s">
        <v>217</v>
      </c>
      <c r="D15" s="202"/>
      <c r="E15" s="202"/>
      <c r="F15" s="202"/>
      <c r="G15" s="202"/>
      <c r="H15" s="202"/>
      <c r="I15" s="202"/>
      <c r="J15" s="202"/>
      <c r="K15" s="172"/>
      <c r="L15" s="271"/>
      <c r="M15" s="287"/>
      <c r="N15" s="177">
        <v>0.04</v>
      </c>
      <c r="O15" s="177">
        <v>7.9500000000000001E-2</v>
      </c>
      <c r="P15" s="177">
        <v>0.04</v>
      </c>
      <c r="Q15" s="177">
        <v>0.04</v>
      </c>
      <c r="R15" s="177">
        <v>0.04</v>
      </c>
      <c r="S15" s="177">
        <v>0.04</v>
      </c>
      <c r="T15" s="177">
        <v>0.04</v>
      </c>
      <c r="U15" s="177">
        <v>0.04</v>
      </c>
      <c r="V15" s="177">
        <v>0.02</v>
      </c>
      <c r="W15" s="177"/>
      <c r="X15" s="174"/>
      <c r="Y15" s="174"/>
      <c r="Z15" s="174"/>
      <c r="AA15" s="174"/>
      <c r="AB15" s="174"/>
      <c r="AC15" s="183"/>
      <c r="AD15" s="187"/>
      <c r="AE15" s="187"/>
      <c r="AF15" s="176"/>
      <c r="AH15" s="185"/>
      <c r="AI15" s="187"/>
      <c r="AJ15" s="187"/>
      <c r="AK15" s="187"/>
      <c r="AL15" s="244"/>
    </row>
    <row r="16" spans="1:42" x14ac:dyDescent="0.2">
      <c r="A16" s="219" t="s">
        <v>27</v>
      </c>
      <c r="B16" t="s">
        <v>288</v>
      </c>
      <c r="D16" s="201">
        <v>1360.3</v>
      </c>
      <c r="E16" s="201">
        <v>1391.9</v>
      </c>
      <c r="F16" s="201">
        <v>1397.8</v>
      </c>
      <c r="G16" s="201">
        <v>1402.3</v>
      </c>
      <c r="H16" s="201">
        <v>1416.9</v>
      </c>
      <c r="I16" s="201">
        <v>1436.4</v>
      </c>
      <c r="J16" s="201">
        <v>1360.7840000000001</v>
      </c>
      <c r="K16" s="168">
        <v>1414.152</v>
      </c>
      <c r="L16" s="268">
        <v>1390.7840000000001</v>
      </c>
      <c r="M16" s="287">
        <f t="shared" si="3"/>
        <v>23.367999999999938</v>
      </c>
      <c r="N16" s="169">
        <f>K16*(1+N17)</f>
        <v>1432.5359759999999</v>
      </c>
      <c r="O16" s="169">
        <f t="shared" ref="O16:V16" si="6">N16*(1+O17)</f>
        <v>1443.9962638079999</v>
      </c>
      <c r="P16" s="169">
        <f t="shared" si="6"/>
        <v>1455.5482339184639</v>
      </c>
      <c r="Q16" s="169">
        <f t="shared" si="6"/>
        <v>1467.1926197898117</v>
      </c>
      <c r="R16" s="169">
        <f t="shared" si="6"/>
        <v>1503.8724352845568</v>
      </c>
      <c r="S16" s="169">
        <f t="shared" si="6"/>
        <v>1518.9111596374023</v>
      </c>
      <c r="T16" s="169">
        <f t="shared" si="6"/>
        <v>1534.1002712337763</v>
      </c>
      <c r="U16" s="169">
        <f t="shared" si="6"/>
        <v>1549.4412739461141</v>
      </c>
      <c r="V16" s="169">
        <f t="shared" si="6"/>
        <v>1580.4300994250364</v>
      </c>
      <c r="W16" s="169"/>
      <c r="X16" s="44"/>
      <c r="Y16" s="44"/>
      <c r="Z16" s="44"/>
      <c r="AA16" s="44"/>
      <c r="AB16" s="44">
        <f>AVERAGE(D16:G16)</f>
        <v>1388.075</v>
      </c>
      <c r="AC16" s="182">
        <f>AVERAGE(H16,I16,J16,K16)</f>
        <v>1407.0590000000002</v>
      </c>
      <c r="AD16" s="45">
        <f>AVERAGE(N16:Q16)</f>
        <v>1449.8182733790688</v>
      </c>
      <c r="AE16" s="45">
        <f>AVERAGE(R16:U16)</f>
        <v>1526.5812850254622</v>
      </c>
      <c r="AF16" s="3">
        <f>AVERAGE(D16:G16)</f>
        <v>1388.075</v>
      </c>
      <c r="AG16">
        <v>1395</v>
      </c>
      <c r="AH16" s="185">
        <f>$AB16/'figuring NIPA tax changes'!$E20*'figuring NIPA tax changes'!F20</f>
        <v>1354.69413685124</v>
      </c>
      <c r="AI16" s="3">
        <f>$AB16/'figuring NIPA tax changes'!$E20*'figuring NIPA tax changes'!G20</f>
        <v>1429.6567868867883</v>
      </c>
      <c r="AJ16" s="3">
        <f>$AB16/'figuring NIPA tax changes'!$E20*'figuring NIPA tax changes'!H20</f>
        <v>1517.5549260800469</v>
      </c>
      <c r="AK16" s="3"/>
    </row>
    <row r="17" spans="1:38" s="171" customFormat="1" x14ac:dyDescent="0.2">
      <c r="A17" s="220" t="s">
        <v>217</v>
      </c>
      <c r="D17" s="202"/>
      <c r="E17" s="202"/>
      <c r="F17" s="202"/>
      <c r="G17" s="202"/>
      <c r="H17" s="202"/>
      <c r="I17" s="202"/>
      <c r="J17" s="202"/>
      <c r="K17" s="168"/>
      <c r="L17" s="268"/>
      <c r="M17" s="287"/>
      <c r="N17" s="177">
        <v>1.2999999999999999E-2</v>
      </c>
      <c r="O17" s="177">
        <v>8.0000000000000002E-3</v>
      </c>
      <c r="P17" s="177">
        <v>8.0000000000000002E-3</v>
      </c>
      <c r="Q17" s="177">
        <v>8.0000000000000002E-3</v>
      </c>
      <c r="R17" s="177">
        <v>2.5000000000000001E-2</v>
      </c>
      <c r="S17" s="177">
        <v>0.01</v>
      </c>
      <c r="T17" s="177">
        <v>0.01</v>
      </c>
      <c r="U17" s="177">
        <v>0.01</v>
      </c>
      <c r="V17" s="177">
        <v>0.02</v>
      </c>
      <c r="W17" s="177"/>
      <c r="X17" s="174"/>
      <c r="Y17" s="174"/>
      <c r="Z17" s="174"/>
      <c r="AA17" s="174"/>
      <c r="AB17" s="174"/>
      <c r="AC17" s="183"/>
      <c r="AD17" s="175"/>
      <c r="AE17" s="175"/>
      <c r="AF17" s="176"/>
      <c r="AH17" s="186"/>
      <c r="AI17" s="176"/>
      <c r="AJ17" s="176"/>
      <c r="AK17" s="176"/>
      <c r="AL17" s="244"/>
    </row>
    <row r="18" spans="1:38" x14ac:dyDescent="0.2">
      <c r="A18" s="178" t="s">
        <v>0</v>
      </c>
      <c r="B18" t="s">
        <v>288</v>
      </c>
      <c r="D18" s="201">
        <v>234.7</v>
      </c>
      <c r="E18" s="201">
        <v>213.8</v>
      </c>
      <c r="F18" s="201">
        <v>224.2</v>
      </c>
      <c r="G18" s="201">
        <v>201.6</v>
      </c>
      <c r="H18" s="201">
        <v>229.7</v>
      </c>
      <c r="I18" s="201">
        <v>180.5</v>
      </c>
      <c r="J18" s="201">
        <v>171.5</v>
      </c>
      <c r="K18" s="168">
        <f>(4*AH18-SUM(H18:J18))</f>
        <v>191.99161110990462</v>
      </c>
      <c r="L18" s="268">
        <v>190.09161110990465</v>
      </c>
      <c r="M18" s="287">
        <f t="shared" si="3"/>
        <v>1.8999999999999773</v>
      </c>
      <c r="N18" s="169">
        <f t="shared" ref="N18" si="7">K18*(1+N19)</f>
        <v>196.79140138765223</v>
      </c>
      <c r="O18" s="169">
        <f t="shared" ref="O18" si="8">N18*(1+O19)</f>
        <v>199.74327240846699</v>
      </c>
      <c r="P18" s="169">
        <f t="shared" ref="P18" si="9">O18*(1+P19)</f>
        <v>202.73942149459398</v>
      </c>
      <c r="Q18" s="169">
        <f t="shared" ref="Q18" si="10">P18*(1+Q19)</f>
        <v>205.78051281701286</v>
      </c>
      <c r="R18" s="169">
        <f t="shared" ref="R18" si="11">Q18*(1+R19)</f>
        <v>218.12734358603365</v>
      </c>
      <c r="S18" s="169">
        <f t="shared" ref="S18" si="12">R18*(1+S19)</f>
        <v>231.21498420119568</v>
      </c>
      <c r="T18" s="169">
        <f t="shared" ref="T18" si="13">S18*(1+T19)</f>
        <v>245.08788325326742</v>
      </c>
      <c r="U18" s="169">
        <f t="shared" ref="U18:V18" si="14">T18*(1+U19)</f>
        <v>259.7931562484635</v>
      </c>
      <c r="V18" s="169">
        <f t="shared" si="14"/>
        <v>275.38074562337135</v>
      </c>
      <c r="W18" s="169"/>
      <c r="X18" s="44"/>
      <c r="Y18" s="44"/>
      <c r="Z18" s="44"/>
      <c r="AA18" s="44"/>
      <c r="AB18" s="44">
        <f>AVERAGE(D18:G18)</f>
        <v>218.57500000000002</v>
      </c>
      <c r="AC18" s="182">
        <f>AVERAGE(H18,I18,J18,K18)</f>
        <v>193.42290277747617</v>
      </c>
      <c r="AD18" s="45">
        <f>AVERAGE(N18:Q18)</f>
        <v>201.26365202693154</v>
      </c>
      <c r="AE18" s="45">
        <f>AVERAGE(R18:U18)</f>
        <v>238.55584182224004</v>
      </c>
      <c r="AF18" s="33">
        <f>AVERAGE(D18:G18)</f>
        <v>218.57500000000002</v>
      </c>
      <c r="AG18" s="34">
        <v>166</v>
      </c>
      <c r="AH18" s="146">
        <f>AB18/'figuring NIPA tax changes'!E10*'figuring NIPA tax changes'!F21</f>
        <v>193.42290277747617</v>
      </c>
      <c r="AI18">
        <f>AB18/'figuring NIPA tax changes'!E21*'figuring NIPA tax changes'!G21</f>
        <v>200.10987665313039</v>
      </c>
      <c r="AJ18">
        <f>AB18/'figuring NIPA tax changes'!E21*'figuring NIPA tax changes'!H21</f>
        <v>237.052464440053</v>
      </c>
    </row>
    <row r="19" spans="1:38" s="171" customFormat="1" x14ac:dyDescent="0.2">
      <c r="A19" s="179" t="s">
        <v>217</v>
      </c>
      <c r="D19" s="202"/>
      <c r="E19" s="202"/>
      <c r="F19" s="202"/>
      <c r="G19" s="202"/>
      <c r="H19" s="202"/>
      <c r="I19" s="202"/>
      <c r="J19" s="202"/>
      <c r="K19" s="172"/>
      <c r="L19" s="271"/>
      <c r="M19" s="287"/>
      <c r="N19" s="177">
        <v>2.5000000000000001E-2</v>
      </c>
      <c r="O19" s="177">
        <v>1.4999999999999999E-2</v>
      </c>
      <c r="P19" s="177">
        <v>1.4999999999999999E-2</v>
      </c>
      <c r="Q19" s="177">
        <v>1.4999999999999999E-2</v>
      </c>
      <c r="R19" s="177">
        <v>0.06</v>
      </c>
      <c r="S19" s="177">
        <v>0.06</v>
      </c>
      <c r="T19" s="177">
        <v>0.06</v>
      </c>
      <c r="U19" s="177">
        <v>0.06</v>
      </c>
      <c r="V19" s="177">
        <v>0.06</v>
      </c>
      <c r="W19" s="173"/>
      <c r="X19" s="174"/>
      <c r="Y19" s="174"/>
      <c r="Z19" s="174"/>
      <c r="AA19" s="174"/>
      <c r="AB19" s="174"/>
      <c r="AC19" s="175"/>
      <c r="AD19" s="175"/>
      <c r="AE19" s="175"/>
      <c r="AF19" s="176"/>
      <c r="AH19" s="176"/>
      <c r="AI19" s="176"/>
      <c r="AJ19" s="176"/>
      <c r="AK19" s="176"/>
      <c r="AL19" s="244"/>
    </row>
    <row r="20" spans="1:38" s="171" customFormat="1" x14ac:dyDescent="0.2">
      <c r="A20" s="170"/>
      <c r="D20" s="202"/>
      <c r="E20" s="202"/>
      <c r="F20" s="202"/>
      <c r="G20" s="202"/>
      <c r="H20" s="202"/>
      <c r="I20" s="202"/>
      <c r="J20" s="202"/>
      <c r="K20" s="172"/>
      <c r="L20" s="271"/>
      <c r="M20" s="287"/>
      <c r="N20" s="177"/>
      <c r="O20" s="177"/>
      <c r="P20" s="177"/>
      <c r="Q20" s="177"/>
      <c r="R20" s="177"/>
      <c r="S20" s="177"/>
      <c r="T20" s="177"/>
      <c r="U20" s="177"/>
      <c r="V20" s="173"/>
      <c r="W20" s="173"/>
      <c r="X20" s="174"/>
      <c r="Y20" s="174"/>
      <c r="Z20" s="174"/>
      <c r="AA20" s="174"/>
      <c r="AB20" s="174"/>
      <c r="AC20" s="175"/>
      <c r="AD20" s="175"/>
      <c r="AE20" s="175"/>
      <c r="AF20" s="176"/>
      <c r="AH20" s="176"/>
      <c r="AI20" s="176"/>
      <c r="AJ20" s="176"/>
      <c r="AK20" s="176"/>
      <c r="AL20" s="244"/>
    </row>
    <row r="21" spans="1:38" s="171" customFormat="1" x14ac:dyDescent="0.2">
      <c r="A21" t="s">
        <v>267</v>
      </c>
      <c r="D21" s="202"/>
      <c r="E21" s="202"/>
      <c r="F21" s="202"/>
      <c r="G21" s="202"/>
      <c r="H21" s="202"/>
      <c r="I21" s="202"/>
      <c r="J21" s="202"/>
      <c r="K21" s="172"/>
      <c r="L21" s="271"/>
      <c r="M21" s="287"/>
      <c r="N21" s="177"/>
      <c r="O21" s="177"/>
      <c r="P21" s="177"/>
      <c r="Q21" s="177"/>
      <c r="R21" s="177"/>
      <c r="S21" s="177"/>
      <c r="T21" s="177"/>
      <c r="U21" s="177"/>
      <c r="V21" s="173"/>
      <c r="W21" s="173"/>
      <c r="X21" s="174"/>
      <c r="Y21" s="174"/>
      <c r="Z21" s="174"/>
      <c r="AA21" s="174"/>
      <c r="AB21" s="174"/>
      <c r="AC21" s="175"/>
      <c r="AD21" s="175"/>
      <c r="AE21" s="175"/>
      <c r="AF21" s="176"/>
      <c r="AH21" s="176"/>
      <c r="AI21" s="176"/>
      <c r="AJ21" s="176"/>
      <c r="AK21" s="176"/>
      <c r="AL21" s="244"/>
    </row>
    <row r="22" spans="1:38" x14ac:dyDescent="0.2">
      <c r="A22" s="178" t="s">
        <v>268</v>
      </c>
      <c r="D22" s="206">
        <f>SUM(D23:D25)</f>
        <v>1773.6</v>
      </c>
      <c r="E22" s="206">
        <f t="shared" ref="E22:U22" si="15">SUM(E23:E25)</f>
        <v>1798.8</v>
      </c>
      <c r="F22" s="206">
        <f t="shared" si="15"/>
        <v>1853.9</v>
      </c>
      <c r="G22" s="206">
        <f t="shared" si="15"/>
        <v>1832.2</v>
      </c>
      <c r="H22" s="206">
        <f t="shared" si="15"/>
        <v>1832.4</v>
      </c>
      <c r="I22" s="206">
        <f t="shared" si="15"/>
        <v>1862.4</v>
      </c>
      <c r="J22" s="206">
        <f t="shared" si="15"/>
        <v>1779.8019999999999</v>
      </c>
      <c r="K22" s="102">
        <f t="shared" si="15"/>
        <v>1840.777</v>
      </c>
      <c r="L22" s="272">
        <v>1857.168612621977</v>
      </c>
      <c r="M22" s="287">
        <f t="shared" si="3"/>
        <v>-16.391612621976947</v>
      </c>
      <c r="N22" s="102">
        <f t="shared" si="15"/>
        <v>1878.0006156883685</v>
      </c>
      <c r="O22" s="102">
        <f t="shared" si="15"/>
        <v>1909.1470934300717</v>
      </c>
      <c r="P22" s="102">
        <f t="shared" si="15"/>
        <v>1939.5052848016164</v>
      </c>
      <c r="Q22" s="102">
        <f t="shared" si="15"/>
        <v>1971.9533516661329</v>
      </c>
      <c r="R22" s="102">
        <f t="shared" si="15"/>
        <v>1993.6862235688991</v>
      </c>
      <c r="S22" s="102">
        <f t="shared" si="15"/>
        <v>2013.5767052344379</v>
      </c>
      <c r="T22" s="102">
        <f t="shared" si="15"/>
        <v>2033.2655322471396</v>
      </c>
      <c r="U22" s="102">
        <f t="shared" si="15"/>
        <v>2053.8526390770057</v>
      </c>
      <c r="V22" s="102">
        <f t="shared" ref="V22" si="16">SUM(V23:V25)</f>
        <v>2074.74222788611</v>
      </c>
    </row>
    <row r="23" spans="1:38" x14ac:dyDescent="0.2">
      <c r="A23" s="219" t="s">
        <v>22</v>
      </c>
      <c r="D23" s="200">
        <v>456.5</v>
      </c>
      <c r="E23" s="200">
        <v>475.2</v>
      </c>
      <c r="F23" s="200">
        <v>519.4</v>
      </c>
      <c r="G23" s="200">
        <v>483.9</v>
      </c>
      <c r="H23" s="200">
        <v>480.9</v>
      </c>
      <c r="I23" s="200">
        <v>495.8</v>
      </c>
      <c r="J23" s="201">
        <v>496.37400000000002</v>
      </c>
      <c r="K23" s="102">
        <v>505.42700000000002</v>
      </c>
      <c r="L23" s="272">
        <v>517.95099281921318</v>
      </c>
      <c r="M23" s="287">
        <f t="shared" si="3"/>
        <v>-12.523992819213163</v>
      </c>
      <c r="N23" s="102">
        <f>K23*(1+N$6)</f>
        <v>515.64758641895514</v>
      </c>
      <c r="O23" s="102">
        <f t="shared" ref="O23:V23" si="17">N23*(1+O$6)</f>
        <v>524.19955703003723</v>
      </c>
      <c r="P23" s="102">
        <f t="shared" si="17"/>
        <v>532.53508577162063</v>
      </c>
      <c r="Q23" s="102">
        <f t="shared" si="17"/>
        <v>541.44443714396607</v>
      </c>
      <c r="R23" s="102">
        <f t="shared" si="17"/>
        <v>547.41168915069977</v>
      </c>
      <c r="S23" s="102">
        <f t="shared" si="17"/>
        <v>552.87307120662956</v>
      </c>
      <c r="T23" s="102">
        <f t="shared" si="17"/>
        <v>558.27908441222087</v>
      </c>
      <c r="U23" s="102">
        <f t="shared" si="17"/>
        <v>563.93174067840562</v>
      </c>
      <c r="V23" s="102">
        <f t="shared" si="17"/>
        <v>569.66745022009331</v>
      </c>
    </row>
    <row r="24" spans="1:38" x14ac:dyDescent="0.2">
      <c r="A24" s="219" t="s">
        <v>23</v>
      </c>
      <c r="D24" s="200">
        <v>1295.5</v>
      </c>
      <c r="E24" s="200">
        <v>1301.5999999999999</v>
      </c>
      <c r="F24" s="200">
        <v>1312.4</v>
      </c>
      <c r="G24" s="200">
        <v>1326.5</v>
      </c>
      <c r="H24" s="200">
        <v>1330.4</v>
      </c>
      <c r="I24" s="200">
        <v>1346.2</v>
      </c>
      <c r="J24" s="201">
        <v>1264.3219999999999</v>
      </c>
      <c r="K24" s="102">
        <v>1315.133</v>
      </c>
      <c r="L24" s="272">
        <v>1319.2810968003423</v>
      </c>
      <c r="M24" s="287">
        <f t="shared" si="3"/>
        <v>-4.1480968003422731</v>
      </c>
      <c r="N24" s="102">
        <f>K24*(1+N$6)</f>
        <v>1341.7272074303901</v>
      </c>
      <c r="O24" s="102">
        <f t="shared" ref="O24:V24" si="18">N24*(1+O$6)</f>
        <v>1363.9796370901911</v>
      </c>
      <c r="P24" s="102">
        <f t="shared" si="18"/>
        <v>1385.6688798898533</v>
      </c>
      <c r="Q24" s="102">
        <f t="shared" si="18"/>
        <v>1408.8512227373205</v>
      </c>
      <c r="R24" s="102">
        <f t="shared" si="18"/>
        <v>1424.3781534975922</v>
      </c>
      <c r="S24" s="102">
        <f t="shared" si="18"/>
        <v>1438.5887986894024</v>
      </c>
      <c r="T24" s="102">
        <f t="shared" si="18"/>
        <v>1452.6553728239637</v>
      </c>
      <c r="U24" s="102">
        <f t="shared" si="18"/>
        <v>1467.3637180317114</v>
      </c>
      <c r="V24" s="102">
        <f t="shared" si="18"/>
        <v>1482.2881698253204</v>
      </c>
    </row>
    <row r="25" spans="1:38" x14ac:dyDescent="0.2">
      <c r="A25" s="219" t="s">
        <v>24</v>
      </c>
      <c r="D25" s="200">
        <v>21.6</v>
      </c>
      <c r="E25" s="200">
        <v>22</v>
      </c>
      <c r="F25" s="200">
        <v>22.1</v>
      </c>
      <c r="G25" s="200">
        <v>21.8</v>
      </c>
      <c r="H25" s="200">
        <v>21.1</v>
      </c>
      <c r="I25" s="200">
        <v>20.399999999999999</v>
      </c>
      <c r="J25" s="201">
        <v>19.106000000000002</v>
      </c>
      <c r="K25" s="102">
        <v>20.216999999999999</v>
      </c>
      <c r="L25" s="272">
        <v>19.936523002421335</v>
      </c>
      <c r="M25" s="287">
        <f t="shared" si="3"/>
        <v>0.2804769975786634</v>
      </c>
      <c r="N25" s="102">
        <f>K25*(1+N$6)</f>
        <v>20.625821839023271</v>
      </c>
      <c r="O25" s="102">
        <f t="shared" ref="O25:V25" si="19">N25*(1+O$6)</f>
        <v>20.967899309843482</v>
      </c>
      <c r="P25" s="102">
        <f t="shared" si="19"/>
        <v>21.301319140142599</v>
      </c>
      <c r="Q25" s="102">
        <f t="shared" si="19"/>
        <v>21.657691784846399</v>
      </c>
      <c r="R25" s="102">
        <f t="shared" si="19"/>
        <v>21.896380920607125</v>
      </c>
      <c r="S25" s="102">
        <f t="shared" si="19"/>
        <v>22.114835338405804</v>
      </c>
      <c r="T25" s="102">
        <f t="shared" si="19"/>
        <v>22.331075010954837</v>
      </c>
      <c r="U25" s="102">
        <f t="shared" si="19"/>
        <v>22.557180366888446</v>
      </c>
      <c r="V25" s="102">
        <f t="shared" si="19"/>
        <v>22.786607840696337</v>
      </c>
    </row>
    <row r="26" spans="1:38" x14ac:dyDescent="0.2">
      <c r="A26" s="178" t="s">
        <v>0</v>
      </c>
      <c r="D26" s="200">
        <v>63.5</v>
      </c>
      <c r="E26" s="200">
        <v>68.5</v>
      </c>
      <c r="F26" s="200">
        <v>68.7</v>
      </c>
      <c r="G26" s="200">
        <v>69.8</v>
      </c>
      <c r="H26" s="200">
        <v>71</v>
      </c>
      <c r="I26" s="200">
        <v>62.7</v>
      </c>
      <c r="J26" s="200">
        <v>54.2</v>
      </c>
      <c r="K26" s="102">
        <f>J26*(1+K6)</f>
        <v>58.746723633587941</v>
      </c>
      <c r="L26" s="272">
        <v>56.556031965415904</v>
      </c>
      <c r="M26" s="287">
        <f t="shared" si="3"/>
        <v>2.1906916681720361</v>
      </c>
      <c r="N26" s="102">
        <f>K26*(1+N6)</f>
        <v>59.934681470679273</v>
      </c>
      <c r="O26" s="102">
        <f t="shared" ref="O26:V26" si="20">N26*(1+O6)</f>
        <v>60.928692977804552</v>
      </c>
      <c r="P26" s="102">
        <f t="shared" si="20"/>
        <v>61.897547042430361</v>
      </c>
      <c r="Q26" s="102">
        <f t="shared" si="20"/>
        <v>62.933097582519643</v>
      </c>
      <c r="R26" s="102">
        <f t="shared" si="20"/>
        <v>63.626682421658749</v>
      </c>
      <c r="S26" s="102">
        <f t="shared" si="20"/>
        <v>64.261469052165509</v>
      </c>
      <c r="T26" s="102">
        <f t="shared" si="20"/>
        <v>64.889820057846649</v>
      </c>
      <c r="U26" s="102">
        <f t="shared" si="20"/>
        <v>65.546838846841339</v>
      </c>
      <c r="V26" s="102">
        <f t="shared" si="20"/>
        <v>66.213511073073931</v>
      </c>
    </row>
    <row r="27" spans="1:38" s="188" customFormat="1" x14ac:dyDescent="0.2">
      <c r="A27" s="179" t="s">
        <v>269</v>
      </c>
      <c r="D27" s="213">
        <f t="shared" ref="D27:J27" si="21">D26/D18</f>
        <v>0.27055815935236471</v>
      </c>
      <c r="E27" s="213">
        <f t="shared" si="21"/>
        <v>0.32039289055191766</v>
      </c>
      <c r="F27" s="213">
        <f t="shared" si="21"/>
        <v>0.30642283675289922</v>
      </c>
      <c r="G27" s="213">
        <f t="shared" si="21"/>
        <v>0.34623015873015872</v>
      </c>
      <c r="H27" s="213">
        <f t="shared" si="21"/>
        <v>0.30909882455376581</v>
      </c>
      <c r="I27" s="213">
        <f t="shared" si="21"/>
        <v>0.3473684210526316</v>
      </c>
      <c r="J27" s="213">
        <f t="shared" si="21"/>
        <v>0.31603498542274056</v>
      </c>
      <c r="K27" s="196"/>
      <c r="L27" s="273"/>
      <c r="M27" s="287"/>
      <c r="N27" s="196"/>
      <c r="O27" s="196"/>
      <c r="P27" s="196"/>
      <c r="Q27" s="196"/>
      <c r="R27" s="196"/>
      <c r="S27" s="196"/>
      <c r="T27" s="196"/>
      <c r="U27" s="196"/>
      <c r="AL27" s="247"/>
    </row>
    <row r="28" spans="1:38" s="171" customFormat="1" x14ac:dyDescent="0.2">
      <c r="A28" s="197"/>
      <c r="B28" s="198"/>
      <c r="D28" s="202"/>
      <c r="E28" s="202"/>
      <c r="F28" s="202"/>
      <c r="G28" s="202"/>
      <c r="H28" s="202"/>
      <c r="I28" s="202"/>
      <c r="J28" s="202"/>
      <c r="K28" s="172"/>
      <c r="L28" s="271"/>
      <c r="M28" s="287"/>
      <c r="N28" s="177"/>
      <c r="O28" s="177"/>
      <c r="P28" s="177"/>
      <c r="Q28" s="177"/>
      <c r="R28" s="177"/>
      <c r="S28" s="177"/>
      <c r="T28" s="177"/>
      <c r="U28" s="177"/>
      <c r="V28" s="173"/>
      <c r="W28" s="173"/>
      <c r="X28" s="174"/>
      <c r="Y28" s="174"/>
      <c r="Z28" s="174"/>
      <c r="AA28" s="174"/>
      <c r="AB28" s="174"/>
      <c r="AC28" s="175"/>
      <c r="AD28" s="175"/>
      <c r="AE28" s="175"/>
      <c r="AF28" s="176"/>
      <c r="AH28" s="176">
        <f>$AB$30*('figuring out social benefits'!G47/'figuring out social benefits'!$F$47)</f>
        <v>3428.146799249083</v>
      </c>
      <c r="AI28" s="176">
        <f>$AB$30*('figuring out social benefits'!H47/'figuring out social benefits'!$F$47)</f>
        <v>2649.6527204036238</v>
      </c>
      <c r="AJ28" s="176">
        <f>$AB$30*('figuring out social benefits'!I47/'figuring out social benefits'!$F$47)</f>
        <v>2766.2949511126526</v>
      </c>
      <c r="AK28" s="176"/>
      <c r="AL28" s="244"/>
    </row>
    <row r="29" spans="1:38" x14ac:dyDescent="0.2">
      <c r="D29" s="200"/>
      <c r="E29" s="200"/>
      <c r="F29" s="200"/>
      <c r="G29" s="200"/>
      <c r="H29" s="200"/>
      <c r="I29" s="200"/>
      <c r="J29" s="204"/>
      <c r="K29" s="3"/>
      <c r="L29" s="274"/>
      <c r="M29" s="287"/>
      <c r="N29" s="88"/>
      <c r="O29" s="88"/>
      <c r="P29" s="88"/>
      <c r="Q29" s="88"/>
      <c r="AF29" s="3"/>
      <c r="AH29" s="3">
        <f>AH28-47</f>
        <v>3381.146799249083</v>
      </c>
      <c r="AI29" s="3">
        <f>AI28+47</f>
        <v>2696.6527204036238</v>
      </c>
    </row>
    <row r="30" spans="1:38" ht="32" x14ac:dyDescent="0.2">
      <c r="A30" s="86" t="s">
        <v>14</v>
      </c>
      <c r="B30" t="s">
        <v>288</v>
      </c>
      <c r="D30" s="205">
        <v>2220523</v>
      </c>
      <c r="E30" s="205">
        <v>2298792</v>
      </c>
      <c r="F30" s="205">
        <v>2315842</v>
      </c>
      <c r="G30" s="205">
        <v>2331428</v>
      </c>
      <c r="H30" s="205">
        <v>2347737</v>
      </c>
      <c r="I30" s="205">
        <v>2422546</v>
      </c>
      <c r="J30" s="205">
        <v>4815254</v>
      </c>
      <c r="K30" s="87">
        <v>3513776</v>
      </c>
      <c r="L30" s="275">
        <v>3697551.5288670976</v>
      </c>
      <c r="M30" s="287">
        <f t="shared" si="3"/>
        <v>-183775.52886709757</v>
      </c>
      <c r="N30" s="44">
        <f t="shared" ref="N30:U30" si="22">N31+N33+N41</f>
        <v>2872187.886998829</v>
      </c>
      <c r="O30" s="44">
        <f t="shared" si="22"/>
        <v>2776224.4457211783</v>
      </c>
      <c r="P30" s="44">
        <f t="shared" si="22"/>
        <v>2682283.5091793705</v>
      </c>
      <c r="Q30" s="44">
        <f t="shared" si="22"/>
        <v>2572565.934698876</v>
      </c>
      <c r="R30" s="44">
        <f t="shared" si="22"/>
        <v>2626154.5995660136</v>
      </c>
      <c r="S30" s="44">
        <f t="shared" si="22"/>
        <v>2681059.175091214</v>
      </c>
      <c r="T30" s="44">
        <f t="shared" si="22"/>
        <v>2737316.1447417233</v>
      </c>
      <c r="U30" s="44">
        <f t="shared" si="22"/>
        <v>2794963.086784442</v>
      </c>
      <c r="V30" s="3"/>
      <c r="W30" s="44"/>
      <c r="X30" s="3"/>
      <c r="Y30" s="3"/>
      <c r="Z30" s="3"/>
      <c r="AA30" s="3"/>
      <c r="AB30" s="3">
        <f>AVERAGE(D30:G30)/1000</f>
        <v>2291.6462499999998</v>
      </c>
      <c r="AC30" s="45"/>
      <c r="AD30" s="45"/>
      <c r="AE30" s="45"/>
      <c r="AG30">
        <v>2286.6999999999998</v>
      </c>
      <c r="AH30" s="32">
        <f>$AB30/'figuring out social benefits'!$F47*'figuring out social benefits'!G49+'figuring out social benefits'!G50-47</f>
        <v>3320.7721322167745</v>
      </c>
      <c r="AI30" s="32">
        <f>$AB30/'figuring out social benefits'!$F47*'figuring out social benefits'!H49+'figuring out social benefits'!H50+46</f>
        <v>2675.6800557811207</v>
      </c>
      <c r="AJ30" s="32">
        <f>$AB30/'figuring out social benefits'!$F47*'figuring out social benefits'!I49+'figuring out social benefits'!I50*0.9</f>
        <v>2725.1688956203648</v>
      </c>
      <c r="AK30" s="32"/>
      <c r="AL30" s="146" t="s">
        <v>29</v>
      </c>
    </row>
    <row r="31" spans="1:38" ht="16" x14ac:dyDescent="0.2">
      <c r="A31" s="86" t="s">
        <v>3</v>
      </c>
      <c r="B31" t="s">
        <v>288</v>
      </c>
      <c r="D31" s="205">
        <v>753311</v>
      </c>
      <c r="E31" s="205">
        <v>767353</v>
      </c>
      <c r="F31" s="205">
        <v>779707</v>
      </c>
      <c r="G31" s="205">
        <v>789893</v>
      </c>
      <c r="H31" s="205">
        <v>797912</v>
      </c>
      <c r="I31" s="205">
        <v>804655</v>
      </c>
      <c r="J31" s="205">
        <v>824058</v>
      </c>
      <c r="K31" s="87">
        <v>842733</v>
      </c>
      <c r="L31" s="275">
        <v>833646.99999999988</v>
      </c>
      <c r="M31" s="287">
        <f t="shared" si="3"/>
        <v>9086.0000000001164</v>
      </c>
      <c r="N31" s="87">
        <f>K31*((($AI$31/$AH$31)^0.25))</f>
        <v>853053.18699882878</v>
      </c>
      <c r="O31" s="87">
        <f>N31*((($AI$31/$AH$31)^0.25))</f>
        <v>863499.75597117806</v>
      </c>
      <c r="P31" s="87">
        <f t="shared" ref="P31:Q31" si="23">O31*((($AI$31/$AH$31)^0.25))</f>
        <v>874074.254602495</v>
      </c>
      <c r="Q31" s="87">
        <f t="shared" si="23"/>
        <v>884778.24953132728</v>
      </c>
      <c r="R31" s="87">
        <f>Q31*((($AJ$31/$AI$31)^0.25))</f>
        <v>913710.09912095172</v>
      </c>
      <c r="S31" s="87">
        <f t="shared" ref="S31:U31" si="24">R31*((($AJ$31/$AI$31)^0.25))</f>
        <v>943588.00713947637</v>
      </c>
      <c r="T31" s="87">
        <f t="shared" si="24"/>
        <v>974442.9092707095</v>
      </c>
      <c r="U31" s="87">
        <f t="shared" si="24"/>
        <v>1006306.7527813631</v>
      </c>
      <c r="V31" s="87">
        <f>U31*((($AK$31/$AJ$31)^0.25))</f>
        <v>1016447.3981375673</v>
      </c>
      <c r="W31" s="87">
        <f t="shared" ref="W31:Y31" si="25">V31*((($AK$31/$AJ$31)^0.25))</f>
        <v>1026690.2317062188</v>
      </c>
      <c r="X31" s="87">
        <f t="shared" si="25"/>
        <v>1037036.2832472979</v>
      </c>
      <c r="Y31" s="87">
        <f t="shared" si="25"/>
        <v>1047486.5928977706</v>
      </c>
      <c r="Z31" s="3"/>
      <c r="AA31" s="3"/>
      <c r="AB31" s="3">
        <f>AVERAGE(D31:G31)/1000</f>
        <v>772.56600000000003</v>
      </c>
      <c r="AC31" s="45">
        <f>AVERAGE(H31:K31)/1000</f>
        <v>817.33950000000004</v>
      </c>
      <c r="AD31" s="45">
        <f>AVERAGE(N31:Q31)/1000</f>
        <v>868.85136177595723</v>
      </c>
      <c r="AE31" s="45">
        <f>AVERAGE(R31:U31)/1000</f>
        <v>959.51194207812523</v>
      </c>
      <c r="AG31">
        <v>775.4</v>
      </c>
      <c r="AH31" s="3">
        <f>'figuring out social benefits'!G18-47</f>
        <v>815.06799999999998</v>
      </c>
      <c r="AI31" s="3">
        <f>'figuring out social benefits'!H18+46</f>
        <v>855.73299999999995</v>
      </c>
      <c r="AJ31" s="3">
        <f>'figuring out social benefits'!I18</f>
        <v>973.27200000000005</v>
      </c>
      <c r="AK31" s="3">
        <f>'figuring out social benefits'!J18</f>
        <v>1013.1</v>
      </c>
      <c r="AL31" s="146" t="s">
        <v>19</v>
      </c>
    </row>
    <row r="32" spans="1:38" ht="16" x14ac:dyDescent="0.2">
      <c r="A32" s="93" t="s">
        <v>20</v>
      </c>
      <c r="D32" s="205"/>
      <c r="E32" s="205"/>
      <c r="F32" s="205"/>
      <c r="G32" s="205"/>
      <c r="H32" s="205">
        <v>0</v>
      </c>
      <c r="I32" s="205">
        <v>0</v>
      </c>
      <c r="J32" s="205">
        <v>1078000</v>
      </c>
      <c r="K32" s="87">
        <v>15600</v>
      </c>
      <c r="L32" s="275">
        <v>54600</v>
      </c>
      <c r="M32" s="287">
        <f t="shared" si="3"/>
        <v>-39000</v>
      </c>
      <c r="N32" s="87">
        <v>0</v>
      </c>
      <c r="O32" s="87">
        <f>16*1000</f>
        <v>16000</v>
      </c>
      <c r="P32" s="87">
        <f>16*1000</f>
        <v>16000</v>
      </c>
      <c r="Q32" s="87">
        <v>0</v>
      </c>
      <c r="R32" s="87">
        <v>0</v>
      </c>
      <c r="S32" s="87"/>
      <c r="T32" s="87"/>
      <c r="U32" s="87"/>
      <c r="AC32" s="45">
        <f>AVERAGE(H32:K32)/1000</f>
        <v>273.39999999999998</v>
      </c>
      <c r="AD32" s="45">
        <v>0</v>
      </c>
      <c r="AE32" s="45">
        <v>0</v>
      </c>
      <c r="AF32" s="3"/>
      <c r="AH32" s="3">
        <v>272</v>
      </c>
      <c r="AI32" s="3">
        <v>9</v>
      </c>
      <c r="AJ32" s="3">
        <v>0</v>
      </c>
      <c r="AK32" s="3"/>
      <c r="AL32" s="185"/>
    </row>
    <row r="33" spans="1:40" ht="16" x14ac:dyDescent="0.2">
      <c r="A33" s="86" t="s">
        <v>141</v>
      </c>
      <c r="B33" t="s">
        <v>288</v>
      </c>
      <c r="D33" s="205">
        <v>27025</v>
      </c>
      <c r="E33" s="205">
        <v>28029</v>
      </c>
      <c r="F33" s="205">
        <v>27483</v>
      </c>
      <c r="G33" s="205">
        <v>27578</v>
      </c>
      <c r="H33" s="205">
        <v>27884</v>
      </c>
      <c r="I33" s="205">
        <v>43429</v>
      </c>
      <c r="J33" s="205">
        <v>1112564</v>
      </c>
      <c r="K33" s="87">
        <f>771503+K36</f>
        <v>877703</v>
      </c>
      <c r="L33" s="275">
        <f>776000+(M36)</f>
        <v>838200</v>
      </c>
      <c r="M33" s="287">
        <f t="shared" si="3"/>
        <v>39503</v>
      </c>
      <c r="N33" s="87">
        <f>N34+N37</f>
        <v>337800</v>
      </c>
      <c r="O33" s="87">
        <f t="shared" ref="O33:V33" si="26">O34+O37</f>
        <v>244000</v>
      </c>
      <c r="P33" s="87">
        <f t="shared" si="26"/>
        <v>152000</v>
      </c>
      <c r="Q33" s="87">
        <f t="shared" si="26"/>
        <v>44000</v>
      </c>
      <c r="R33" s="87">
        <f t="shared" si="26"/>
        <v>44000</v>
      </c>
      <c r="S33" s="87">
        <f t="shared" si="26"/>
        <v>44000</v>
      </c>
      <c r="T33" s="87">
        <f t="shared" si="26"/>
        <v>44000</v>
      </c>
      <c r="U33" s="87">
        <f t="shared" si="26"/>
        <v>44000</v>
      </c>
      <c r="V33" s="87">
        <f t="shared" si="26"/>
        <v>44000</v>
      </c>
      <c r="W33" s="44"/>
      <c r="X33" s="3"/>
      <c r="Y33" s="3"/>
      <c r="Z33" s="3"/>
      <c r="AA33" s="3"/>
      <c r="AB33" s="3">
        <f>AVERAGE(D33:G33)/1000</f>
        <v>27.528749999999999</v>
      </c>
      <c r="AC33" s="45">
        <f>AVERAGE(H33:K33)/1000</f>
        <v>515.39499999999998</v>
      </c>
      <c r="AD33" s="45">
        <f t="shared" ref="AD33:AD41" si="27">AVERAGE(N33:Q33)/1000</f>
        <v>194.45</v>
      </c>
      <c r="AE33" s="45">
        <f t="shared" ref="AE33:AE41" si="28">AVERAGE(R33:U33)/1000</f>
        <v>44</v>
      </c>
      <c r="AG33">
        <v>27.6</v>
      </c>
      <c r="AH33" s="3">
        <v>557</v>
      </c>
      <c r="AI33" s="3">
        <v>166</v>
      </c>
      <c r="AJ33" s="3">
        <v>67</v>
      </c>
      <c r="AK33" s="3"/>
      <c r="AL33" s="185"/>
    </row>
    <row r="34" spans="1:40" ht="16" x14ac:dyDescent="0.2">
      <c r="A34" s="115" t="s">
        <v>214</v>
      </c>
      <c r="D34" s="205"/>
      <c r="E34" s="205"/>
      <c r="F34" s="205"/>
      <c r="G34" s="205"/>
      <c r="H34" s="205"/>
      <c r="I34" s="205"/>
      <c r="J34" s="205">
        <f>J35+J36</f>
        <v>834933.33333333326</v>
      </c>
      <c r="K34" s="87">
        <f t="shared" ref="K34:R34" si="29">K35+K36</f>
        <v>738200</v>
      </c>
      <c r="L34" s="275">
        <v>636000</v>
      </c>
      <c r="M34" s="287">
        <f t="shared" si="3"/>
        <v>102200</v>
      </c>
      <c r="N34" s="87">
        <f t="shared" si="29"/>
        <v>257800</v>
      </c>
      <c r="O34" s="87">
        <f t="shared" si="29"/>
        <v>184000</v>
      </c>
      <c r="P34" s="87">
        <f t="shared" si="29"/>
        <v>108000</v>
      </c>
      <c r="Q34" s="87">
        <f t="shared" si="29"/>
        <v>0</v>
      </c>
      <c r="R34" s="87">
        <f t="shared" si="29"/>
        <v>0</v>
      </c>
      <c r="S34" s="87"/>
      <c r="T34" s="87"/>
      <c r="U34" s="87"/>
      <c r="V34" s="3"/>
      <c r="W34" s="44"/>
      <c r="X34" s="3"/>
      <c r="Y34" s="3"/>
      <c r="Z34" s="3"/>
      <c r="AA34" s="3"/>
      <c r="AB34" s="3"/>
      <c r="AC34" s="45"/>
      <c r="AD34" s="45"/>
      <c r="AE34" s="45"/>
      <c r="AF34" s="3"/>
      <c r="AH34" s="3"/>
      <c r="AI34" s="3"/>
      <c r="AJ34" s="3"/>
      <c r="AK34" s="3"/>
      <c r="AL34" s="185"/>
    </row>
    <row r="35" spans="1:40" ht="16" x14ac:dyDescent="0.2">
      <c r="A35" s="117" t="s">
        <v>138</v>
      </c>
      <c r="D35" s="205"/>
      <c r="E35" s="205"/>
      <c r="F35" s="205"/>
      <c r="G35" s="205"/>
      <c r="H35" s="205">
        <v>0</v>
      </c>
      <c r="I35" s="205">
        <v>0</v>
      </c>
      <c r="J35" s="205">
        <f>'figuring out UI'!M17*1000</f>
        <v>834933.33333333326</v>
      </c>
      <c r="K35" s="87">
        <f>1000*'figuring out UI'!N17</f>
        <v>632000</v>
      </c>
      <c r="L35" s="275">
        <v>592000</v>
      </c>
      <c r="M35" s="287">
        <f t="shared" si="3"/>
        <v>40000</v>
      </c>
      <c r="N35" s="87">
        <f>1000*'figuring out UI'!O17</f>
        <v>188000</v>
      </c>
      <c r="O35" s="87">
        <f>1000*'figuring out UI'!P17</f>
        <v>184000</v>
      </c>
      <c r="P35" s="87">
        <f>1000*'figuring out UI'!Q17</f>
        <v>108000</v>
      </c>
      <c r="Q35" s="87">
        <f>1000*'figuring out UI'!R17</f>
        <v>0</v>
      </c>
      <c r="R35" s="87">
        <f>1000*'figuring out UI'!S17</f>
        <v>0</v>
      </c>
      <c r="S35" s="87">
        <f>1000*'figuring out UI'!T17</f>
        <v>0</v>
      </c>
      <c r="T35" s="87">
        <f>1000*'figuring out UI'!U17</f>
        <v>0</v>
      </c>
      <c r="U35" s="87">
        <f>1000*'figuring out UI'!V17</f>
        <v>0</v>
      </c>
      <c r="V35" s="3"/>
      <c r="W35" s="44"/>
      <c r="X35" s="3"/>
      <c r="Y35" s="3"/>
      <c r="Z35" s="3"/>
      <c r="AA35" s="3"/>
      <c r="AB35" s="3"/>
      <c r="AC35" s="45">
        <f>AVERAGE(H35:K35)/1000</f>
        <v>366.73333333333329</v>
      </c>
      <c r="AD35" s="45">
        <f t="shared" si="27"/>
        <v>120</v>
      </c>
      <c r="AE35" s="45">
        <f t="shared" si="28"/>
        <v>0</v>
      </c>
      <c r="AF35" s="3"/>
      <c r="AH35" s="3"/>
      <c r="AI35" s="3"/>
      <c r="AJ35" s="3"/>
      <c r="AK35" s="3"/>
      <c r="AL35" s="185"/>
    </row>
    <row r="36" spans="1:40" ht="16" x14ac:dyDescent="0.2">
      <c r="A36" s="117" t="s">
        <v>163</v>
      </c>
      <c r="D36" s="205"/>
      <c r="E36" s="205"/>
      <c r="F36" s="205"/>
      <c r="G36" s="205"/>
      <c r="H36" s="205"/>
      <c r="I36" s="205"/>
      <c r="J36" s="205"/>
      <c r="K36" s="87">
        <v>106200</v>
      </c>
      <c r="L36" s="275">
        <v>44000</v>
      </c>
      <c r="M36" s="287">
        <f t="shared" si="3"/>
        <v>62200</v>
      </c>
      <c r="N36" s="87">
        <f>(44000*4)-K36</f>
        <v>69800</v>
      </c>
      <c r="O36" s="87"/>
      <c r="P36" s="87"/>
      <c r="Q36" s="87"/>
      <c r="R36" s="87"/>
      <c r="S36" s="87"/>
      <c r="T36" s="87"/>
      <c r="U36" s="87"/>
      <c r="V36" s="3"/>
      <c r="W36" s="44"/>
      <c r="X36" s="3"/>
      <c r="Y36" s="3"/>
      <c r="Z36" s="3"/>
      <c r="AA36" s="3"/>
      <c r="AB36" s="3"/>
      <c r="AC36" s="45"/>
      <c r="AD36" s="45"/>
      <c r="AE36" s="45"/>
      <c r="AF36" s="3"/>
      <c r="AH36" s="3"/>
      <c r="AI36" s="3"/>
      <c r="AJ36" s="3"/>
      <c r="AK36" s="3"/>
      <c r="AL36" s="185"/>
    </row>
    <row r="37" spans="1:40" ht="16" x14ac:dyDescent="0.2">
      <c r="A37" s="115" t="s">
        <v>139</v>
      </c>
      <c r="D37" s="205"/>
      <c r="E37" s="205"/>
      <c r="F37" s="205"/>
      <c r="G37" s="205"/>
      <c r="H37" s="205">
        <v>0</v>
      </c>
      <c r="I37" s="205">
        <v>0</v>
      </c>
      <c r="J37" s="205">
        <f>'figuring out UI'!M18*1000</f>
        <v>277600</v>
      </c>
      <c r="K37" s="87">
        <f>1000*'figuring out UI'!N18</f>
        <v>140000</v>
      </c>
      <c r="L37" s="275">
        <v>140000</v>
      </c>
      <c r="M37" s="287">
        <f t="shared" si="3"/>
        <v>0</v>
      </c>
      <c r="N37" s="87">
        <f>1000*'figuring out UI'!O18</f>
        <v>80000</v>
      </c>
      <c r="O37" s="87">
        <f>1000*'figuring out UI'!P18</f>
        <v>60000</v>
      </c>
      <c r="P37" s="87">
        <f>1000*'figuring out UI'!Q18</f>
        <v>44000</v>
      </c>
      <c r="Q37" s="87">
        <f>1000*'figuring out UI'!R18</f>
        <v>44000</v>
      </c>
      <c r="R37" s="87">
        <f>1000*'figuring out UI'!S18</f>
        <v>44000</v>
      </c>
      <c r="S37" s="87">
        <f>1000*'figuring out UI'!T18</f>
        <v>44000</v>
      </c>
      <c r="T37" s="87">
        <f>1000*'figuring out UI'!U18</f>
        <v>44000</v>
      </c>
      <c r="U37" s="87">
        <f>1000*'figuring out UI'!V18</f>
        <v>44000</v>
      </c>
      <c r="V37" s="87">
        <f>1000*'figuring out UI'!W18</f>
        <v>44000</v>
      </c>
      <c r="W37" s="44"/>
      <c r="X37" s="3"/>
      <c r="Y37" s="3"/>
      <c r="Z37" s="3"/>
      <c r="AA37" s="3"/>
      <c r="AB37" s="3"/>
      <c r="AC37" s="45">
        <f>AVERAGE(H37:K37)/1000</f>
        <v>104.4</v>
      </c>
      <c r="AD37" s="45">
        <f t="shared" si="27"/>
        <v>57</v>
      </c>
      <c r="AE37" s="45">
        <f t="shared" si="28"/>
        <v>44</v>
      </c>
      <c r="AF37" s="3"/>
      <c r="AH37" s="3"/>
      <c r="AI37" s="3"/>
      <c r="AJ37" s="3"/>
      <c r="AK37" s="3"/>
      <c r="AL37" s="185"/>
    </row>
    <row r="38" spans="1:40" ht="32" x14ac:dyDescent="0.2">
      <c r="A38" s="86" t="s">
        <v>147</v>
      </c>
      <c r="D38" s="205"/>
      <c r="E38" s="205"/>
      <c r="F38" s="205"/>
      <c r="G38" s="205"/>
      <c r="H38" s="205">
        <v>0</v>
      </c>
      <c r="I38" s="205">
        <v>0</v>
      </c>
      <c r="J38" s="205">
        <f>SUM(J39:J40)</f>
        <v>179900</v>
      </c>
      <c r="K38" s="87">
        <f>SUM(K39:K40)</f>
        <v>83700</v>
      </c>
      <c r="L38" s="275">
        <v>162000</v>
      </c>
      <c r="M38" s="287">
        <f t="shared" si="3"/>
        <v>-78300</v>
      </c>
      <c r="N38" s="87">
        <f>SUM(N39:N40)</f>
        <v>51804.841653418123</v>
      </c>
      <c r="O38" s="87">
        <f t="shared" ref="O38:R38" si="30">SUM(O39:O40)</f>
        <v>43377.595548489669</v>
      </c>
      <c r="P38" s="87">
        <f t="shared" si="30"/>
        <v>43000</v>
      </c>
      <c r="Q38" s="87">
        <f t="shared" si="30"/>
        <v>43000</v>
      </c>
      <c r="R38" s="87">
        <f t="shared" si="30"/>
        <v>15000</v>
      </c>
      <c r="S38" s="87"/>
      <c r="T38" s="87"/>
      <c r="U38" s="87"/>
      <c r="V38" s="3"/>
      <c r="W38" s="44"/>
      <c r="X38" s="3"/>
      <c r="Y38" s="3"/>
      <c r="Z38" s="3"/>
      <c r="AA38" s="3"/>
      <c r="AB38" s="3"/>
      <c r="AC38" s="45">
        <f>AVERAGE(H38:K38)/1000</f>
        <v>65.900000000000006</v>
      </c>
      <c r="AD38" s="45">
        <f t="shared" si="27"/>
        <v>45.295609300476947</v>
      </c>
      <c r="AE38" s="45">
        <f t="shared" ref="AE38" si="31">AVERAGE(R38:U38)/1000</f>
        <v>15</v>
      </c>
      <c r="AF38" s="3"/>
      <c r="AH38" s="3">
        <f>'figuring out social benefits'!G48</f>
        <v>105</v>
      </c>
      <c r="AI38" s="3"/>
      <c r="AJ38" s="3"/>
      <c r="AK38" s="3"/>
      <c r="AL38" s="185"/>
    </row>
    <row r="39" spans="1:40" ht="16" x14ac:dyDescent="0.2">
      <c r="A39" s="117" t="s">
        <v>207</v>
      </c>
      <c r="D39" s="205"/>
      <c r="E39" s="205"/>
      <c r="F39" s="205"/>
      <c r="G39" s="205"/>
      <c r="H39" s="205"/>
      <c r="I39" s="205"/>
      <c r="J39" s="205">
        <v>19000</v>
      </c>
      <c r="K39" s="87">
        <v>27000</v>
      </c>
      <c r="L39" s="275">
        <v>27000</v>
      </c>
      <c r="M39" s="287">
        <f t="shared" si="3"/>
        <v>0</v>
      </c>
      <c r="N39" s="87">
        <v>8804.8416534181251</v>
      </c>
      <c r="O39" s="87">
        <v>377.5955484896661</v>
      </c>
      <c r="P39" s="87">
        <v>0</v>
      </c>
      <c r="Q39" s="87">
        <v>0</v>
      </c>
      <c r="R39" s="87">
        <v>0</v>
      </c>
      <c r="S39" s="87"/>
      <c r="T39" s="87"/>
      <c r="U39" s="87"/>
      <c r="V39" s="87"/>
      <c r="W39" s="133"/>
      <c r="X39" s="87"/>
      <c r="Y39" s="87"/>
      <c r="Z39" s="87"/>
      <c r="AA39" s="87"/>
      <c r="AB39" s="87"/>
      <c r="AC39" s="87"/>
      <c r="AD39" s="87"/>
      <c r="AE39" s="87"/>
      <c r="AF39" s="87"/>
      <c r="AH39" s="3"/>
      <c r="AI39" s="3"/>
      <c r="AJ39" s="3"/>
      <c r="AK39" s="3"/>
      <c r="AL39" s="185"/>
    </row>
    <row r="40" spans="1:40" ht="16" x14ac:dyDescent="0.2">
      <c r="A40" s="117" t="s">
        <v>208</v>
      </c>
      <c r="D40" s="205"/>
      <c r="E40" s="205"/>
      <c r="F40" s="205"/>
      <c r="G40" s="205"/>
      <c r="H40" s="205"/>
      <c r="I40" s="205"/>
      <c r="J40" s="205">
        <v>160900</v>
      </c>
      <c r="K40" s="87">
        <v>56700</v>
      </c>
      <c r="L40" s="275">
        <v>135000</v>
      </c>
      <c r="M40" s="287">
        <f t="shared" si="3"/>
        <v>-78300</v>
      </c>
      <c r="N40" s="87">
        <v>43000</v>
      </c>
      <c r="O40" s="87">
        <v>43000</v>
      </c>
      <c r="P40" s="87">
        <v>43000</v>
      </c>
      <c r="Q40" s="87">
        <v>43000</v>
      </c>
      <c r="R40" s="87">
        <v>15000</v>
      </c>
      <c r="S40" s="87"/>
      <c r="T40" s="87"/>
      <c r="U40" s="87"/>
      <c r="V40" s="87"/>
      <c r="W40" s="133"/>
      <c r="X40" s="87"/>
      <c r="Y40" s="87"/>
      <c r="Z40" s="87"/>
      <c r="AA40" s="87"/>
      <c r="AB40" s="87"/>
      <c r="AC40" s="87"/>
      <c r="AD40" s="87"/>
      <c r="AE40" s="87"/>
      <c r="AF40" s="87"/>
      <c r="AH40" s="3"/>
      <c r="AI40" s="3"/>
      <c r="AJ40" s="3"/>
      <c r="AK40" s="3"/>
      <c r="AL40" s="185"/>
    </row>
    <row r="41" spans="1:40" ht="48" x14ac:dyDescent="0.2">
      <c r="A41" s="86" t="s">
        <v>149</v>
      </c>
      <c r="D41" s="200">
        <f>D30-D32-D33-D31</f>
        <v>1440187</v>
      </c>
      <c r="E41" s="200">
        <f>E30-E32-E33-E31</f>
        <v>1503410</v>
      </c>
      <c r="F41" s="204">
        <f>F30-F32-F33-F31</f>
        <v>1508652</v>
      </c>
      <c r="G41" s="200">
        <f>G30-G32-G33-G31</f>
        <v>1513957</v>
      </c>
      <c r="H41" s="204">
        <f>H30-H32-H33-H31-H38</f>
        <v>1521941</v>
      </c>
      <c r="I41" s="204">
        <f>I30-I32-I33-I31-I38</f>
        <v>1574462</v>
      </c>
      <c r="J41" s="204">
        <f>J30-J32-J33-J31-J38</f>
        <v>1620732</v>
      </c>
      <c r="K41" s="204">
        <f>K30-K32-K33-K31-K38</f>
        <v>1694040</v>
      </c>
      <c r="L41" s="275">
        <v>1722110.1197894898</v>
      </c>
      <c r="M41" s="287">
        <f t="shared" si="3"/>
        <v>-28070.119789489778</v>
      </c>
      <c r="N41" s="88">
        <f>K41*(1+N43)</f>
        <v>1681334.7000000002</v>
      </c>
      <c r="O41" s="88">
        <f t="shared" ref="O41:Q41" si="32">N41*(1+O43)</f>
        <v>1668724.6897500004</v>
      </c>
      <c r="P41" s="88">
        <f t="shared" si="32"/>
        <v>1656209.2545768754</v>
      </c>
      <c r="Q41" s="88">
        <f t="shared" si="32"/>
        <v>1643787.6851675489</v>
      </c>
      <c r="R41" s="88">
        <f>Q41*(1+R43)</f>
        <v>1668444.5004450621</v>
      </c>
      <c r="S41" s="88">
        <f t="shared" ref="S41:U41" si="33">R41*(1+S43)</f>
        <v>1693471.1679517378</v>
      </c>
      <c r="T41" s="88">
        <f t="shared" si="33"/>
        <v>1718873.2354710137</v>
      </c>
      <c r="U41" s="88">
        <f t="shared" si="33"/>
        <v>1744656.3340030788</v>
      </c>
      <c r="V41" s="88">
        <f>U41*(1+V43)</f>
        <v>1762102.8973431096</v>
      </c>
      <c r="W41" s="44"/>
      <c r="X41" s="3"/>
      <c r="Y41" s="3"/>
      <c r="Z41" s="3"/>
      <c r="AA41" s="3"/>
      <c r="AB41" s="3">
        <f>AC30-AC32-AC33-AC31-AC38</f>
        <v>-1672.0345000000002</v>
      </c>
      <c r="AC41" s="45">
        <f>AVERAGE(H41:K41)/1000</f>
        <v>1602.79375</v>
      </c>
      <c r="AD41" s="45">
        <f t="shared" si="27"/>
        <v>1662.5140823736062</v>
      </c>
      <c r="AE41" s="45">
        <f t="shared" si="28"/>
        <v>1706.3613094677232</v>
      </c>
      <c r="AF41" s="3"/>
      <c r="AH41" s="3">
        <f>AH30-AH32-AH33-AH31-AH38</f>
        <v>1571.7041322167745</v>
      </c>
      <c r="AI41" s="3">
        <f>AI30-AI32-AI33-AI31</f>
        <v>1644.9470557811208</v>
      </c>
      <c r="AJ41" s="3">
        <f>AJ30-AJ32-AJ33-AJ31</f>
        <v>1684.8968956203648</v>
      </c>
      <c r="AK41" s="3"/>
      <c r="AL41" s="185"/>
      <c r="AM41">
        <f>AI41/AH41*AC41</f>
        <v>1677.4854796419443</v>
      </c>
      <c r="AN41">
        <f>AJ41/AH41*AC41</f>
        <v>1718.2255606122285</v>
      </c>
    </row>
    <row r="42" spans="1:40" s="171" customFormat="1" x14ac:dyDescent="0.2">
      <c r="A42" s="170" t="s">
        <v>217</v>
      </c>
      <c r="D42" s="236"/>
      <c r="E42" s="239">
        <f>E41/D41-1</f>
        <v>4.3899160317375507E-2</v>
      </c>
      <c r="F42" s="239">
        <f t="shared" ref="F42:J42" si="34">F41/E41-1</f>
        <v>3.4867401440725754E-3</v>
      </c>
      <c r="G42" s="239">
        <f t="shared" si="34"/>
        <v>3.5163841628156334E-3</v>
      </c>
      <c r="H42" s="239">
        <f t="shared" si="34"/>
        <v>5.2735975988749129E-3</v>
      </c>
      <c r="I42" s="239">
        <f t="shared" si="34"/>
        <v>3.4509222105193249E-2</v>
      </c>
      <c r="J42" s="239">
        <f t="shared" si="34"/>
        <v>2.938781628264131E-2</v>
      </c>
      <c r="K42" s="237"/>
      <c r="L42" s="276"/>
      <c r="M42" s="287">
        <f t="shared" si="3"/>
        <v>0</v>
      </c>
      <c r="N42" s="238"/>
      <c r="O42" s="238"/>
      <c r="P42" s="238"/>
      <c r="Q42" s="238"/>
      <c r="R42" s="238"/>
      <c r="S42" s="238"/>
      <c r="T42" s="238"/>
      <c r="U42" s="238"/>
      <c r="V42" s="238"/>
      <c r="W42" s="174"/>
      <c r="X42" s="176"/>
      <c r="Y42" s="176"/>
      <c r="Z42" s="176"/>
      <c r="AA42" s="176"/>
      <c r="AB42" s="176"/>
      <c r="AC42" s="175"/>
      <c r="AD42" s="175"/>
      <c r="AE42" s="175"/>
      <c r="AF42" s="176"/>
      <c r="AH42" s="176"/>
      <c r="AI42" s="176"/>
      <c r="AJ42" s="176"/>
      <c r="AK42" s="176"/>
      <c r="AL42" s="186"/>
    </row>
    <row r="43" spans="1:40" s="188" customFormat="1" x14ac:dyDescent="0.2">
      <c r="A43" s="170" t="s">
        <v>273</v>
      </c>
      <c r="D43" s="210"/>
      <c r="E43" s="210"/>
      <c r="F43" s="210"/>
      <c r="G43" s="210"/>
      <c r="H43" s="203"/>
      <c r="I43" s="203"/>
      <c r="J43" s="203"/>
      <c r="K43" s="177"/>
      <c r="L43" s="269"/>
      <c r="M43" s="287">
        <f t="shared" si="3"/>
        <v>0</v>
      </c>
      <c r="N43" s="177">
        <v>-7.4999999999999997E-3</v>
      </c>
      <c r="O43" s="177">
        <v>-7.4999999999999997E-3</v>
      </c>
      <c r="P43" s="177">
        <v>-7.4999999999999997E-3</v>
      </c>
      <c r="Q43" s="177">
        <v>-7.4999999999999997E-3</v>
      </c>
      <c r="R43" s="177">
        <v>1.4999999999999999E-2</v>
      </c>
      <c r="S43" s="177">
        <v>1.4999999999999999E-2</v>
      </c>
      <c r="T43" s="177">
        <v>1.4999999999999999E-2</v>
      </c>
      <c r="U43" s="177">
        <v>1.4999999999999999E-2</v>
      </c>
      <c r="V43" s="177">
        <v>0.01</v>
      </c>
      <c r="W43" s="177"/>
      <c r="AC43" s="190">
        <f>AC31+AC32+AC33+AC38</f>
        <v>1672.0345000000002</v>
      </c>
      <c r="AH43" s="190">
        <f>AH31+AH32+AH33+AH38</f>
        <v>1749.068</v>
      </c>
      <c r="AL43" s="247"/>
      <c r="AM43" s="235">
        <v>-7.4999999999999997E-3</v>
      </c>
      <c r="AN43" s="235">
        <v>1.4999999999999999E-2</v>
      </c>
    </row>
    <row r="44" spans="1:40" s="35" customFormat="1" ht="32" x14ac:dyDescent="0.2">
      <c r="A44" s="86" t="s">
        <v>158</v>
      </c>
      <c r="B44"/>
      <c r="C44"/>
      <c r="D44" s="204">
        <f t="shared" ref="D44:I44" si="35">D41+D32+D35</f>
        <v>1440187</v>
      </c>
      <c r="E44" s="204">
        <f t="shared" si="35"/>
        <v>1503410</v>
      </c>
      <c r="F44" s="204">
        <f t="shared" si="35"/>
        <v>1508652</v>
      </c>
      <c r="G44" s="204">
        <f t="shared" si="35"/>
        <v>1513957</v>
      </c>
      <c r="H44" s="204">
        <f t="shared" si="35"/>
        <v>1521941</v>
      </c>
      <c r="I44" s="204">
        <f t="shared" si="35"/>
        <v>1574462</v>
      </c>
      <c r="J44" s="204">
        <f>J41+J32+J34</f>
        <v>3533665.333333333</v>
      </c>
      <c r="K44" s="88">
        <f t="shared" ref="K44:U44" si="36">K41+K32+K34</f>
        <v>2447840</v>
      </c>
      <c r="L44" s="277">
        <v>2412710.1197894895</v>
      </c>
      <c r="M44" s="287">
        <f t="shared" si="3"/>
        <v>35129.880210510455</v>
      </c>
      <c r="N44" s="88">
        <f t="shared" si="36"/>
        <v>1939134.7000000002</v>
      </c>
      <c r="O44" s="88">
        <f t="shared" si="36"/>
        <v>1868724.6897500004</v>
      </c>
      <c r="P44" s="88">
        <f t="shared" si="36"/>
        <v>1780209.2545768754</v>
      </c>
      <c r="Q44" s="88">
        <f t="shared" si="36"/>
        <v>1643787.6851675489</v>
      </c>
      <c r="R44" s="88">
        <f t="shared" si="36"/>
        <v>1668444.5004450621</v>
      </c>
      <c r="S44" s="88">
        <f t="shared" si="36"/>
        <v>1693471.1679517378</v>
      </c>
      <c r="T44" s="88">
        <f t="shared" si="36"/>
        <v>1718873.2354710137</v>
      </c>
      <c r="U44" s="88">
        <f t="shared" si="36"/>
        <v>1744656.3340030788</v>
      </c>
      <c r="V44" s="88">
        <f>V41+V32+V35</f>
        <v>1762102.8973431096</v>
      </c>
      <c r="W44" s="224"/>
      <c r="X44" s="224"/>
      <c r="Y44" s="224"/>
      <c r="Z44" s="224"/>
      <c r="AA44" s="224"/>
      <c r="AB44" s="224"/>
      <c r="AI44" s="35">
        <f>AI41/AH41</f>
        <v>1.0466009613788076</v>
      </c>
      <c r="AL44" s="246"/>
    </row>
    <row r="45" spans="1:40" s="35" customFormat="1" ht="14" customHeight="1" x14ac:dyDescent="0.2">
      <c r="A45"/>
      <c r="B45"/>
      <c r="C45"/>
      <c r="D45" s="200"/>
      <c r="E45" s="200"/>
      <c r="F45" s="200"/>
      <c r="G45" s="200"/>
      <c r="H45" s="200"/>
      <c r="I45" s="200"/>
      <c r="J45" s="200"/>
      <c r="K45" s="3"/>
      <c r="L45" s="274"/>
      <c r="M45" s="287"/>
      <c r="N45" s="3"/>
      <c r="O45" s="3"/>
      <c r="P45" s="3"/>
      <c r="Q45" s="3"/>
      <c r="R45" s="3"/>
      <c r="S45" s="3"/>
      <c r="T45" s="3"/>
      <c r="U45" s="3"/>
      <c r="V45" s="3"/>
      <c r="W45" s="44"/>
      <c r="X45" s="44"/>
      <c r="Y45" s="44"/>
      <c r="Z45" s="44"/>
      <c r="AA45" s="44"/>
      <c r="AB45" s="44"/>
      <c r="AC45" s="45"/>
      <c r="AD45" s="45"/>
      <c r="AE45" s="45"/>
      <c r="AF45" s="44"/>
      <c r="AH45" s="44"/>
      <c r="AI45" s="44"/>
      <c r="AJ45" s="44"/>
      <c r="AK45" s="44"/>
      <c r="AL45" s="248"/>
    </row>
    <row r="46" spans="1:40" s="35" customFormat="1" x14ac:dyDescent="0.2">
      <c r="A46" s="141" t="s">
        <v>4</v>
      </c>
      <c r="B46" s="141" t="s">
        <v>288</v>
      </c>
      <c r="C46" s="141"/>
      <c r="D46" s="200">
        <v>79458</v>
      </c>
      <c r="E46" s="200">
        <v>71318</v>
      </c>
      <c r="F46" s="200">
        <v>61083</v>
      </c>
      <c r="G46" s="205">
        <v>81998</v>
      </c>
      <c r="H46" s="205">
        <v>81147</v>
      </c>
      <c r="I46" s="205">
        <v>75093</v>
      </c>
      <c r="J46" s="205">
        <v>1086548</v>
      </c>
      <c r="K46" s="144">
        <v>1212346</v>
      </c>
      <c r="L46" s="278">
        <v>1209786.6824324322</v>
      </c>
      <c r="M46" s="287">
        <f t="shared" si="3"/>
        <v>2559.3175675678067</v>
      </c>
      <c r="N46" s="144">
        <f t="shared" ref="N46:V46" si="37">N47+AVERAGE($F$46:$I$46)</f>
        <v>382932.00834658189</v>
      </c>
      <c r="O46" s="144">
        <f t="shared" si="37"/>
        <v>100250.25</v>
      </c>
      <c r="P46" s="144">
        <f t="shared" si="37"/>
        <v>100250.25</v>
      </c>
      <c r="Q46" s="144">
        <f t="shared" si="37"/>
        <v>100250.25</v>
      </c>
      <c r="R46" s="144">
        <f t="shared" si="37"/>
        <v>100250.25</v>
      </c>
      <c r="S46" s="144">
        <f t="shared" si="37"/>
        <v>74830.25</v>
      </c>
      <c r="T46" s="144">
        <f t="shared" si="37"/>
        <v>74830.25</v>
      </c>
      <c r="U46" s="144">
        <f t="shared" si="37"/>
        <v>74830.25</v>
      </c>
      <c r="V46" s="144">
        <f t="shared" si="37"/>
        <v>74830.25</v>
      </c>
      <c r="W46" s="44"/>
      <c r="X46" s="44"/>
      <c r="Y46" s="44"/>
      <c r="Z46" s="44"/>
      <c r="AA46" s="44"/>
      <c r="AB46" s="44">
        <f>AVERAGE(D46:G46)/1000</f>
        <v>73.464250000000007</v>
      </c>
      <c r="AC46" s="44"/>
      <c r="AD46" s="44"/>
      <c r="AE46" s="44"/>
      <c r="AL46" s="246"/>
    </row>
    <row r="47" spans="1:40" s="35" customFormat="1" ht="16" x14ac:dyDescent="0.2">
      <c r="A47" s="134" t="s">
        <v>202</v>
      </c>
      <c r="D47" s="200"/>
      <c r="E47" s="200"/>
      <c r="F47" s="200"/>
      <c r="G47" s="205"/>
      <c r="H47" s="205"/>
      <c r="I47" s="205"/>
      <c r="J47" s="205"/>
      <c r="K47" s="116">
        <f>K48+K49</f>
        <v>1093900</v>
      </c>
      <c r="L47" s="278">
        <v>1134956.4324324322</v>
      </c>
      <c r="M47" s="287">
        <f t="shared" si="3"/>
        <v>-41056.432432432193</v>
      </c>
      <c r="N47" s="116">
        <f t="shared" ref="N47:V47" si="38">N48+N49</f>
        <v>308101.75834658189</v>
      </c>
      <c r="O47" s="116">
        <f t="shared" si="38"/>
        <v>25420</v>
      </c>
      <c r="P47" s="116">
        <f t="shared" si="38"/>
        <v>25420</v>
      </c>
      <c r="Q47" s="116">
        <f t="shared" si="38"/>
        <v>25420</v>
      </c>
      <c r="R47" s="116">
        <f t="shared" si="38"/>
        <v>25420</v>
      </c>
      <c r="S47" s="116">
        <f t="shared" si="38"/>
        <v>0</v>
      </c>
      <c r="T47" s="116">
        <f t="shared" si="38"/>
        <v>0</v>
      </c>
      <c r="U47" s="116">
        <f t="shared" si="38"/>
        <v>0</v>
      </c>
      <c r="V47" s="116">
        <f t="shared" si="38"/>
        <v>0</v>
      </c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L47" s="246"/>
    </row>
    <row r="48" spans="1:40" s="35" customFormat="1" ht="16" x14ac:dyDescent="0.2">
      <c r="A48" s="228" t="s">
        <v>276</v>
      </c>
      <c r="D48" s="200"/>
      <c r="E48" s="200"/>
      <c r="F48" s="200"/>
      <c r="G48" s="205"/>
      <c r="H48" s="205"/>
      <c r="I48" s="205"/>
      <c r="J48" s="205">
        <v>609300</v>
      </c>
      <c r="K48" s="116">
        <v>865600</v>
      </c>
      <c r="L48" s="278">
        <v>880556.43243243231</v>
      </c>
      <c r="M48" s="287">
        <f t="shared" si="3"/>
        <v>-14956.43243243231</v>
      </c>
      <c r="N48" s="116">
        <f>'[1]Revised Add Factors'!D$13*1000</f>
        <v>282681.75834658189</v>
      </c>
      <c r="O48" s="116"/>
      <c r="P48" s="116">
        <f>'[1]Revised Add Factors'!F$13*1000</f>
        <v>0</v>
      </c>
      <c r="Q48" s="116">
        <f>'[1]Revised Add Factors'!G$13*1000</f>
        <v>0</v>
      </c>
      <c r="R48" s="116">
        <f>'[1]Revised Add Factors'!H$13*1000</f>
        <v>0</v>
      </c>
      <c r="S48" s="116"/>
      <c r="T48" s="116">
        <f>'[1]Revised Add Factors'!J$13*1000</f>
        <v>0</v>
      </c>
      <c r="U48" s="116">
        <f>'[1]Revised Add Factors'!K$13*1000</f>
        <v>0</v>
      </c>
      <c r="V48" s="116">
        <f>'[1]Revised Add Factors'!L$13*1000</f>
        <v>0</v>
      </c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L48" s="246"/>
    </row>
    <row r="49" spans="1:38" s="35" customFormat="1" ht="27.5" customHeight="1" x14ac:dyDescent="0.2">
      <c r="A49" s="229" t="s">
        <v>277</v>
      </c>
      <c r="D49" s="200"/>
      <c r="E49" s="200"/>
      <c r="F49" s="200"/>
      <c r="G49" s="205"/>
      <c r="H49" s="205"/>
      <c r="I49" s="205"/>
      <c r="J49" s="205">
        <f>SUM(J50:J52)</f>
        <v>277100</v>
      </c>
      <c r="K49" s="205">
        <f>SUM(K50:K52)</f>
        <v>228300</v>
      </c>
      <c r="L49" s="278">
        <v>254399.99999999997</v>
      </c>
      <c r="M49" s="287">
        <f t="shared" si="3"/>
        <v>-26099.999999999971</v>
      </c>
      <c r="N49" s="116">
        <v>25420</v>
      </c>
      <c r="O49" s="116">
        <v>25420</v>
      </c>
      <c r="P49" s="116">
        <v>25420</v>
      </c>
      <c r="Q49" s="116">
        <v>25420</v>
      </c>
      <c r="R49" s="116">
        <v>25420</v>
      </c>
      <c r="S49" s="116"/>
      <c r="T49" s="116">
        <f>'[1]Revised Add Factors'!J$14*1000</f>
        <v>0</v>
      </c>
      <c r="U49" s="116">
        <f>'[1]Revised Add Factors'!K$14*1000</f>
        <v>0</v>
      </c>
      <c r="V49" s="116">
        <f>'[1]Revised Add Factors'!L$14*1000</f>
        <v>0</v>
      </c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L49" s="246"/>
    </row>
    <row r="50" spans="1:38" s="188" customFormat="1" ht="12" x14ac:dyDescent="0.15">
      <c r="A50" s="284" t="s">
        <v>290</v>
      </c>
      <c r="D50" s="210"/>
      <c r="E50" s="210"/>
      <c r="F50" s="210"/>
      <c r="G50" s="291"/>
      <c r="H50" s="291"/>
      <c r="I50" s="291"/>
      <c r="J50" s="291">
        <v>63800</v>
      </c>
      <c r="K50" s="292">
        <v>15000</v>
      </c>
      <c r="L50" s="293"/>
      <c r="M50" s="294"/>
      <c r="N50" s="292"/>
      <c r="O50" s="292"/>
      <c r="P50" s="292"/>
      <c r="Q50" s="292"/>
      <c r="R50" s="292"/>
      <c r="S50" s="292"/>
      <c r="T50" s="292"/>
      <c r="U50" s="292"/>
      <c r="V50" s="292"/>
      <c r="W50" s="190"/>
      <c r="X50" s="190"/>
      <c r="Y50" s="190"/>
      <c r="Z50" s="190"/>
      <c r="AA50" s="190"/>
      <c r="AB50" s="190"/>
      <c r="AC50" s="190"/>
      <c r="AD50" s="190"/>
      <c r="AE50" s="190"/>
      <c r="AF50" s="190"/>
      <c r="AL50" s="247"/>
    </row>
    <row r="51" spans="1:38" s="188" customFormat="1" ht="12" x14ac:dyDescent="0.15">
      <c r="A51" s="284" t="s">
        <v>291</v>
      </c>
      <c r="D51" s="210"/>
      <c r="E51" s="210"/>
      <c r="F51" s="210"/>
      <c r="G51" s="291"/>
      <c r="H51" s="291"/>
      <c r="I51" s="291"/>
      <c r="J51" s="291">
        <v>73300</v>
      </c>
      <c r="K51" s="292">
        <v>73300</v>
      </c>
      <c r="L51" s="293"/>
      <c r="M51" s="294"/>
      <c r="N51" s="292"/>
      <c r="O51" s="292"/>
      <c r="P51" s="292"/>
      <c r="Q51" s="292"/>
      <c r="R51" s="292"/>
      <c r="S51" s="292"/>
      <c r="T51" s="292"/>
      <c r="U51" s="292"/>
      <c r="V51" s="292"/>
      <c r="W51" s="190"/>
      <c r="X51" s="190"/>
      <c r="Y51" s="190"/>
      <c r="Z51" s="190"/>
      <c r="AA51" s="190"/>
      <c r="AB51" s="190"/>
      <c r="AC51" s="190"/>
      <c r="AD51" s="190"/>
      <c r="AE51" s="190"/>
      <c r="AF51" s="190"/>
      <c r="AL51" s="247"/>
    </row>
    <row r="52" spans="1:38" s="188" customFormat="1" ht="12" x14ac:dyDescent="0.15">
      <c r="A52" s="284" t="s">
        <v>292</v>
      </c>
      <c r="D52" s="210"/>
      <c r="E52" s="210"/>
      <c r="F52" s="210"/>
      <c r="G52" s="291"/>
      <c r="H52" s="291"/>
      <c r="I52" s="291"/>
      <c r="J52" s="291">
        <v>140000</v>
      </c>
      <c r="K52" s="292">
        <v>140000</v>
      </c>
      <c r="L52" s="293"/>
      <c r="M52" s="294"/>
      <c r="N52" s="292"/>
      <c r="O52" s="292"/>
      <c r="P52" s="292"/>
      <c r="Q52" s="292"/>
      <c r="R52" s="292"/>
      <c r="S52" s="292"/>
      <c r="T52" s="292"/>
      <c r="U52" s="292"/>
      <c r="V52" s="292"/>
      <c r="W52" s="190"/>
      <c r="X52" s="190"/>
      <c r="Y52" s="190"/>
      <c r="Z52" s="190"/>
      <c r="AA52" s="190"/>
      <c r="AB52" s="190"/>
      <c r="AC52" s="190"/>
      <c r="AD52" s="190"/>
      <c r="AE52" s="190"/>
      <c r="AF52" s="190"/>
      <c r="AL52" s="247"/>
    </row>
    <row r="53" spans="1:38" s="35" customFormat="1" x14ac:dyDescent="0.2">
      <c r="A53" s="134"/>
      <c r="D53" s="200"/>
      <c r="E53" s="200"/>
      <c r="F53" s="200"/>
      <c r="G53" s="205"/>
      <c r="H53" s="205"/>
      <c r="I53" s="205"/>
      <c r="J53" s="205"/>
      <c r="K53" s="116"/>
      <c r="L53" s="278"/>
      <c r="M53" s="287"/>
      <c r="N53" s="116"/>
      <c r="O53" s="116"/>
      <c r="P53" s="116"/>
      <c r="Q53" s="116"/>
      <c r="R53" s="116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L53" s="246"/>
    </row>
    <row r="54" spans="1:38" s="35" customFormat="1" x14ac:dyDescent="0.2">
      <c r="A54" s="35" t="s">
        <v>16</v>
      </c>
      <c r="B54" s="35" t="s">
        <v>288</v>
      </c>
      <c r="D54" s="200">
        <v>586475</v>
      </c>
      <c r="E54" s="200">
        <v>594213</v>
      </c>
      <c r="F54" s="200">
        <v>612547</v>
      </c>
      <c r="G54" s="205">
        <v>610331</v>
      </c>
      <c r="H54" s="205">
        <v>615406</v>
      </c>
      <c r="I54" s="205">
        <v>627805</v>
      </c>
      <c r="J54" s="205">
        <v>1396890</v>
      </c>
      <c r="K54" s="116">
        <v>727479</v>
      </c>
      <c r="L54" s="278">
        <v>290947.34465922043</v>
      </c>
      <c r="M54" s="287">
        <f t="shared" si="3"/>
        <v>436531.65534077957</v>
      </c>
      <c r="N54" s="116">
        <f>N56+(SUM($K$58:$R$58))/4/6*4</f>
        <v>286539.55144373403</v>
      </c>
      <c r="O54" s="116">
        <f>O56+(SUM($K$58:$R$58))/4/6*4</f>
        <v>287307.66211430961</v>
      </c>
      <c r="P54" s="116">
        <f>P56+(SUM($K$58:$R$58))/4/6*4</f>
        <v>288189.10058873915</v>
      </c>
      <c r="Q54" s="116">
        <f>Q56+(SUM($K$58:$R$58))/4/6*4</f>
        <v>289221.64280164416</v>
      </c>
      <c r="R54" s="116">
        <f>R56+(SUM($K$58:$R$58))/4/6*4</f>
        <v>290711.04635991773</v>
      </c>
      <c r="S54" s="44"/>
      <c r="T54" s="44"/>
      <c r="U54" s="44"/>
      <c r="V54" s="44"/>
      <c r="W54" s="44"/>
      <c r="X54" s="44"/>
      <c r="Y54" s="44"/>
      <c r="Z54" s="44"/>
      <c r="AA54" s="44"/>
      <c r="AB54" s="44">
        <f>AVERAGE(D54:G54)/1000</f>
        <v>600.89149999999995</v>
      </c>
      <c r="AC54" s="44"/>
      <c r="AD54" s="44"/>
      <c r="AE54" s="44"/>
      <c r="AL54" s="246"/>
    </row>
    <row r="55" spans="1:38" s="35" customFormat="1" x14ac:dyDescent="0.2">
      <c r="A55" s="35" t="s">
        <v>230</v>
      </c>
      <c r="D55" s="206">
        <f>D54-D67</f>
        <v>196851</v>
      </c>
      <c r="E55" s="206">
        <f t="shared" ref="E55:K55" si="39">E54-E67</f>
        <v>189684</v>
      </c>
      <c r="F55" s="206">
        <f t="shared" si="39"/>
        <v>192875</v>
      </c>
      <c r="G55" s="206">
        <f t="shared" si="39"/>
        <v>191507</v>
      </c>
      <c r="H55" s="206">
        <f t="shared" si="39"/>
        <v>203997</v>
      </c>
      <c r="I55" s="206">
        <f t="shared" si="39"/>
        <v>204376</v>
      </c>
      <c r="J55" s="206">
        <f t="shared" si="39"/>
        <v>884250</v>
      </c>
      <c r="K55" s="206">
        <f t="shared" si="39"/>
        <v>241407</v>
      </c>
      <c r="L55" s="278"/>
      <c r="M55" s="287">
        <f t="shared" si="3"/>
        <v>241407</v>
      </c>
      <c r="N55" s="116"/>
      <c r="O55" s="116"/>
      <c r="P55" s="116"/>
      <c r="Q55" s="116"/>
      <c r="R55" s="116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L55" s="246"/>
    </row>
    <row r="56" spans="1:38" s="35" customFormat="1" x14ac:dyDescent="0.2">
      <c r="A56" s="136" t="s">
        <v>231</v>
      </c>
      <c r="D56" s="200"/>
      <c r="E56" s="200"/>
      <c r="F56" s="200"/>
      <c r="G56" s="205"/>
      <c r="H56" s="205"/>
      <c r="I56" s="205"/>
      <c r="J56" s="205">
        <f>J55-J57</f>
        <v>192250</v>
      </c>
      <c r="K56" s="116">
        <f>J56*(1+K66)</f>
        <v>189924.8072833599</v>
      </c>
      <c r="L56" s="278">
        <v>193947.3446592204</v>
      </c>
      <c r="M56" s="287">
        <f t="shared" si="3"/>
        <v>-4022.5373758604983</v>
      </c>
      <c r="N56" s="116">
        <f>K56*(1+N66)</f>
        <v>191372.88477706737</v>
      </c>
      <c r="O56" s="116">
        <f t="shared" ref="O56:R56" si="40">N56*(1+O66)</f>
        <v>192140.99544764293</v>
      </c>
      <c r="P56" s="116">
        <f t="shared" si="40"/>
        <v>193022.43392207249</v>
      </c>
      <c r="Q56" s="116">
        <f t="shared" si="40"/>
        <v>194054.97613497751</v>
      </c>
      <c r="R56" s="116">
        <f t="shared" si="40"/>
        <v>195544.37969325104</v>
      </c>
      <c r="S56" s="116">
        <f t="shared" ref="S56" si="41">R56*(1+S66)</f>
        <v>197240.80684971524</v>
      </c>
      <c r="T56" s="116">
        <f t="shared" ref="T56" si="42">S56*(1+T66)</f>
        <v>198958.57178194771</v>
      </c>
      <c r="U56" s="116">
        <f t="shared" ref="U56" si="43">T56*(1+U66)</f>
        <v>200866.80125051297</v>
      </c>
      <c r="V56" s="116">
        <f t="shared" ref="V56:W56" si="44">U56*(1+V66)</f>
        <v>202622.47677399649</v>
      </c>
      <c r="W56" s="116">
        <f t="shared" si="44"/>
        <v>204572.45802602734</v>
      </c>
      <c r="X56" s="44"/>
      <c r="Y56" s="44"/>
      <c r="Z56" s="44"/>
      <c r="AA56" s="44"/>
      <c r="AB56" s="44"/>
      <c r="AC56" s="44"/>
      <c r="AD56" s="44"/>
      <c r="AE56" s="44"/>
      <c r="AF56" s="44"/>
      <c r="AL56" s="246"/>
    </row>
    <row r="57" spans="1:38" s="138" customFormat="1" x14ac:dyDescent="0.2">
      <c r="A57" s="137" t="s">
        <v>211</v>
      </c>
      <c r="D57" s="207"/>
      <c r="E57" s="207"/>
      <c r="F57" s="207"/>
      <c r="G57" s="208"/>
      <c r="H57" s="208"/>
      <c r="I57" s="208"/>
      <c r="J57" s="208">
        <v>692000</v>
      </c>
      <c r="K57" s="139">
        <v>38500</v>
      </c>
      <c r="L57" s="279"/>
      <c r="M57" s="287">
        <f t="shared" si="3"/>
        <v>38500</v>
      </c>
      <c r="N57" s="139"/>
      <c r="O57" s="139"/>
      <c r="P57" s="139"/>
      <c r="Q57" s="139"/>
      <c r="R57" s="139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E57" s="140"/>
      <c r="AF57" s="140"/>
      <c r="AL57" s="249"/>
    </row>
    <row r="58" spans="1:38" s="35" customFormat="1" ht="32" x14ac:dyDescent="0.2">
      <c r="A58" s="134" t="s">
        <v>212</v>
      </c>
      <c r="D58" s="200"/>
      <c r="E58" s="200"/>
      <c r="F58" s="200"/>
      <c r="G58" s="205"/>
      <c r="H58" s="205"/>
      <c r="I58" s="205"/>
      <c r="J58" s="209">
        <f>SUM(J59:J61)</f>
        <v>87000</v>
      </c>
      <c r="K58" s="116">
        <f>SUM(K59:K61)</f>
        <v>97000</v>
      </c>
      <c r="L58" s="278">
        <v>97000</v>
      </c>
      <c r="M58" s="287">
        <f t="shared" si="3"/>
        <v>0</v>
      </c>
      <c r="N58" s="116">
        <f t="shared" ref="N58:W58" si="45">SUM(N59:N61)</f>
        <v>107000</v>
      </c>
      <c r="O58" s="116">
        <f t="shared" si="45"/>
        <v>90000</v>
      </c>
      <c r="P58" s="116">
        <f t="shared" si="45"/>
        <v>62000</v>
      </c>
      <c r="Q58" s="116">
        <f t="shared" si="45"/>
        <v>62000</v>
      </c>
      <c r="R58" s="116">
        <f t="shared" si="45"/>
        <v>56000</v>
      </c>
      <c r="S58" s="116">
        <f t="shared" si="45"/>
        <v>50000</v>
      </c>
      <c r="T58" s="116">
        <f t="shared" si="45"/>
        <v>50000</v>
      </c>
      <c r="U58" s="116">
        <f t="shared" si="45"/>
        <v>50000</v>
      </c>
      <c r="V58" s="116">
        <f t="shared" si="45"/>
        <v>50000</v>
      </c>
      <c r="W58" s="116">
        <f t="shared" si="45"/>
        <v>50000</v>
      </c>
      <c r="X58" s="44"/>
      <c r="Y58" s="44"/>
      <c r="Z58" s="44"/>
      <c r="AA58" s="44"/>
      <c r="AB58" s="44"/>
      <c r="AC58" s="44"/>
      <c r="AD58" s="44"/>
      <c r="AE58" s="44"/>
      <c r="AF58" s="44"/>
      <c r="AL58" s="246"/>
    </row>
    <row r="59" spans="1:38" s="35" customFormat="1" x14ac:dyDescent="0.2">
      <c r="A59" s="113" t="s">
        <v>199</v>
      </c>
      <c r="D59" s="200"/>
      <c r="E59" s="200"/>
      <c r="F59" s="200"/>
      <c r="G59" s="205"/>
      <c r="H59" s="205"/>
      <c r="I59" s="205"/>
      <c r="J59" s="209">
        <v>35000</v>
      </c>
      <c r="K59" s="116">
        <v>45000</v>
      </c>
      <c r="L59" s="278">
        <v>45000</v>
      </c>
      <c r="M59" s="287">
        <f t="shared" si="3"/>
        <v>0</v>
      </c>
      <c r="N59" s="116">
        <v>60000</v>
      </c>
      <c r="O59" s="116">
        <v>60000</v>
      </c>
      <c r="P59" s="116">
        <v>50000</v>
      </c>
      <c r="Q59" s="116">
        <v>50000</v>
      </c>
      <c r="R59" s="116">
        <v>50000</v>
      </c>
      <c r="S59" s="116">
        <v>50000</v>
      </c>
      <c r="T59" s="116">
        <v>50000</v>
      </c>
      <c r="U59" s="116">
        <v>50000</v>
      </c>
      <c r="V59" s="116">
        <v>50000</v>
      </c>
      <c r="W59" s="116">
        <v>50000</v>
      </c>
      <c r="X59" s="44"/>
      <c r="Y59" s="44"/>
      <c r="Z59" s="44"/>
      <c r="AA59" s="44"/>
      <c r="AB59" s="44"/>
      <c r="AC59" s="44"/>
      <c r="AD59" s="44"/>
      <c r="AE59" s="44"/>
      <c r="AF59" s="44"/>
      <c r="AL59" s="246"/>
    </row>
    <row r="60" spans="1:38" s="35" customFormat="1" x14ac:dyDescent="0.2">
      <c r="A60" s="113" t="s">
        <v>203</v>
      </c>
      <c r="D60" s="200"/>
      <c r="E60" s="200"/>
      <c r="F60" s="200"/>
      <c r="G60" s="205"/>
      <c r="H60" s="205"/>
      <c r="I60" s="205"/>
      <c r="J60" s="205">
        <v>27000</v>
      </c>
      <c r="K60" s="116">
        <v>27000</v>
      </c>
      <c r="L60" s="278">
        <v>27000</v>
      </c>
      <c r="M60" s="287">
        <f t="shared" si="3"/>
        <v>0</v>
      </c>
      <c r="N60" s="116">
        <v>12000</v>
      </c>
      <c r="O60" s="116">
        <v>12000</v>
      </c>
      <c r="P60" s="116">
        <v>12000</v>
      </c>
      <c r="Q60" s="116">
        <v>12000</v>
      </c>
      <c r="R60" s="116">
        <v>6000</v>
      </c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L60" s="246"/>
    </row>
    <row r="61" spans="1:38" s="35" customFormat="1" x14ac:dyDescent="0.2">
      <c r="A61" s="113" t="s">
        <v>200</v>
      </c>
      <c r="D61" s="200"/>
      <c r="E61" s="200"/>
      <c r="F61" s="200"/>
      <c r="G61" s="205"/>
      <c r="H61" s="205"/>
      <c r="I61" s="205"/>
      <c r="J61" s="205">
        <v>25000</v>
      </c>
      <c r="K61" s="116">
        <v>25000</v>
      </c>
      <c r="L61" s="278">
        <v>25000</v>
      </c>
      <c r="M61" s="287">
        <f t="shared" si="3"/>
        <v>0</v>
      </c>
      <c r="N61" s="116">
        <v>35000</v>
      </c>
      <c r="O61" s="116">
        <v>18000</v>
      </c>
      <c r="P61" s="116">
        <v>0</v>
      </c>
      <c r="Q61" s="116">
        <v>0</v>
      </c>
      <c r="R61" s="116">
        <v>0</v>
      </c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L61" s="246"/>
    </row>
    <row r="62" spans="1:38" s="35" customFormat="1" x14ac:dyDescent="0.2">
      <c r="A62" s="145" t="s">
        <v>219</v>
      </c>
      <c r="B62" s="141"/>
      <c r="C62" s="141"/>
      <c r="D62" s="200"/>
      <c r="E62" s="200"/>
      <c r="F62" s="200"/>
      <c r="G62" s="205"/>
      <c r="H62" s="205"/>
      <c r="I62" s="205">
        <f>I54-I67</f>
        <v>204376</v>
      </c>
      <c r="J62" s="209">
        <f>J56+J58</f>
        <v>279250</v>
      </c>
      <c r="K62" s="144">
        <f t="shared" ref="K62:W62" si="46">K56+K58</f>
        <v>286924.80728335993</v>
      </c>
      <c r="L62" s="278">
        <v>290947.34465922043</v>
      </c>
      <c r="M62" s="287">
        <f t="shared" si="3"/>
        <v>-4022.5373758604983</v>
      </c>
      <c r="N62" s="144">
        <f t="shared" si="46"/>
        <v>298372.88477706735</v>
      </c>
      <c r="O62" s="144">
        <f t="shared" si="46"/>
        <v>282140.99544764293</v>
      </c>
      <c r="P62" s="144">
        <f t="shared" si="46"/>
        <v>255022.43392207249</v>
      </c>
      <c r="Q62" s="144">
        <f t="shared" si="46"/>
        <v>256054.97613497751</v>
      </c>
      <c r="R62" s="144">
        <f t="shared" si="46"/>
        <v>251544.37969325104</v>
      </c>
      <c r="S62" s="144">
        <f t="shared" si="46"/>
        <v>247240.80684971524</v>
      </c>
      <c r="T62" s="144">
        <f t="shared" si="46"/>
        <v>248958.57178194771</v>
      </c>
      <c r="U62" s="144">
        <f t="shared" si="46"/>
        <v>250866.80125051297</v>
      </c>
      <c r="V62" s="144">
        <f t="shared" si="46"/>
        <v>252622.47677399649</v>
      </c>
      <c r="W62" s="144">
        <f t="shared" si="46"/>
        <v>254572.45802602734</v>
      </c>
      <c r="X62" s="44"/>
      <c r="Y62" s="44"/>
      <c r="Z62" s="44"/>
      <c r="AA62" s="44"/>
      <c r="AB62" s="44"/>
      <c r="AC62" s="44"/>
      <c r="AD62" s="44"/>
      <c r="AE62" s="44"/>
      <c r="AF62" s="44"/>
      <c r="AL62" s="246"/>
    </row>
    <row r="63" spans="1:38" s="35" customFormat="1" x14ac:dyDescent="0.2">
      <c r="D63" s="200"/>
      <c r="E63" s="200"/>
      <c r="F63" s="200"/>
      <c r="G63" s="200"/>
      <c r="H63" s="200"/>
      <c r="I63" s="200"/>
      <c r="J63" s="206"/>
      <c r="K63" s="135"/>
      <c r="L63" s="280"/>
      <c r="M63" s="287"/>
      <c r="N63" s="135"/>
      <c r="O63" s="135"/>
      <c r="P63" s="135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L63" s="246"/>
    </row>
    <row r="64" spans="1:38" s="35" customFormat="1" x14ac:dyDescent="0.2">
      <c r="A64" s="35" t="s">
        <v>17</v>
      </c>
      <c r="B64" s="35" t="s">
        <v>288</v>
      </c>
      <c r="D64" s="209">
        <v>1241.5999999999999</v>
      </c>
      <c r="E64" s="209">
        <v>1245.8</v>
      </c>
      <c r="F64" s="209">
        <v>1473.6</v>
      </c>
      <c r="G64" s="209">
        <v>1288.5</v>
      </c>
      <c r="H64" s="209">
        <v>1301.0999999999999</v>
      </c>
      <c r="I64" s="209">
        <v>1306.0999999999999</v>
      </c>
      <c r="J64" s="209">
        <v>1360.1</v>
      </c>
      <c r="K64" s="116">
        <v>1335.2</v>
      </c>
      <c r="L64" s="278"/>
      <c r="M64" s="287">
        <f t="shared" si="3"/>
        <v>1335.2</v>
      </c>
      <c r="N64" s="116"/>
      <c r="O64" s="116"/>
      <c r="P64" s="116"/>
      <c r="Q64" s="116"/>
      <c r="R64" s="116"/>
      <c r="S64" s="116"/>
      <c r="T64" s="116"/>
      <c r="U64" s="116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H64" s="44"/>
      <c r="AI64" s="44"/>
      <c r="AJ64" s="44"/>
      <c r="AK64" s="44"/>
      <c r="AL64" s="248"/>
    </row>
    <row r="65" spans="1:38" s="35" customFormat="1" x14ac:dyDescent="0.2">
      <c r="A65" s="114" t="s">
        <v>205</v>
      </c>
      <c r="B65" s="35" t="s">
        <v>288</v>
      </c>
      <c r="D65" s="200"/>
      <c r="E65" s="200"/>
      <c r="F65" s="200"/>
      <c r="G65" s="200"/>
      <c r="H65" s="200">
        <v>1447.9</v>
      </c>
      <c r="I65" s="200">
        <v>1452.6</v>
      </c>
      <c r="J65" s="200">
        <v>1504.8</v>
      </c>
      <c r="K65">
        <v>1486.6</v>
      </c>
      <c r="L65" s="107">
        <v>1518.0856397565401</v>
      </c>
      <c r="M65" s="287">
        <f t="shared" si="3"/>
        <v>-31.485639756540195</v>
      </c>
      <c r="N65">
        <v>1497.93454882981</v>
      </c>
      <c r="O65">
        <v>1503.94678777432</v>
      </c>
      <c r="P65">
        <v>1510.84607836637</v>
      </c>
      <c r="Q65">
        <v>1518.9281044884999</v>
      </c>
      <c r="R65">
        <v>1530.5861251620499</v>
      </c>
      <c r="S65">
        <v>1543.8645833417499</v>
      </c>
      <c r="T65">
        <v>1557.3100588685299</v>
      </c>
      <c r="U65">
        <v>1572.24635902092</v>
      </c>
      <c r="V65">
        <v>1585.9885724291801</v>
      </c>
      <c r="W65">
        <v>1601.2516766583401</v>
      </c>
      <c r="X65">
        <v>1615.2555410887301</v>
      </c>
      <c r="Y65">
        <v>1630.7945672703099</v>
      </c>
      <c r="Z65">
        <v>1681.38499637876</v>
      </c>
      <c r="AA65"/>
      <c r="AD65" s="44"/>
      <c r="AE65" s="44"/>
      <c r="AF65" s="44"/>
      <c r="AH65" s="44"/>
      <c r="AI65" s="44"/>
      <c r="AJ65" s="44"/>
      <c r="AK65" s="44"/>
      <c r="AL65" s="248"/>
    </row>
    <row r="66" spans="1:38" s="188" customFormat="1" x14ac:dyDescent="0.2">
      <c r="A66" s="170" t="s">
        <v>204</v>
      </c>
      <c r="D66" s="210"/>
      <c r="E66" s="210"/>
      <c r="F66" s="210"/>
      <c r="G66" s="210"/>
      <c r="H66" s="210"/>
      <c r="I66" s="210"/>
      <c r="J66" s="210"/>
      <c r="K66" s="189">
        <f>K65/J65-1</f>
        <v>-1.2094630515683158E-2</v>
      </c>
      <c r="L66" s="281">
        <v>8.828840880210187E-3</v>
      </c>
      <c r="M66" s="287"/>
      <c r="N66" s="189">
        <f>N65/K65-1</f>
        <v>7.6244778890153242E-3</v>
      </c>
      <c r="O66" s="189">
        <f t="shared" ref="O66:V66" si="47">O65/N65-1</f>
        <v>4.0136860113193507E-3</v>
      </c>
      <c r="P66" s="189">
        <f t="shared" si="47"/>
        <v>4.5874565829953085E-3</v>
      </c>
      <c r="Q66" s="189">
        <f t="shared" si="47"/>
        <v>5.3493378563544969E-3</v>
      </c>
      <c r="R66" s="189">
        <f t="shared" si="47"/>
        <v>7.6751629251576858E-3</v>
      </c>
      <c r="S66" s="189">
        <f t="shared" si="47"/>
        <v>8.675407388979206E-3</v>
      </c>
      <c r="T66" s="189">
        <f t="shared" si="47"/>
        <v>8.7089733593581631E-3</v>
      </c>
      <c r="U66" s="189">
        <f t="shared" si="47"/>
        <v>9.5910894990571816E-3</v>
      </c>
      <c r="V66" s="189">
        <f t="shared" si="47"/>
        <v>8.7404962520107876E-3</v>
      </c>
      <c r="W66" s="189">
        <f t="shared" ref="W66" si="48">W65/V65-1</f>
        <v>9.6237163965073869E-3</v>
      </c>
      <c r="X66" s="189">
        <f t="shared" ref="X66" si="49">X65/W65-1</f>
        <v>8.7455736250123817E-3</v>
      </c>
      <c r="Y66" s="189">
        <f>Y65/X65-1</f>
        <v>9.6201658414407643E-3</v>
      </c>
      <c r="Z66" s="189">
        <f t="shared" ref="Z66" si="50">Z65/Y65-1</f>
        <v>3.1021950970274714E-2</v>
      </c>
      <c r="AA66" s="189"/>
      <c r="AD66" s="190"/>
      <c r="AE66" s="190"/>
      <c r="AF66" s="190"/>
      <c r="AH66" s="190"/>
      <c r="AI66" s="190"/>
      <c r="AJ66" s="190"/>
      <c r="AK66" s="190"/>
      <c r="AL66" s="250"/>
    </row>
    <row r="67" spans="1:38" s="35" customFormat="1" x14ac:dyDescent="0.2">
      <c r="A67" s="35" t="s">
        <v>206</v>
      </c>
      <c r="B67" s="35" t="s">
        <v>288</v>
      </c>
      <c r="D67" s="209">
        <v>389624</v>
      </c>
      <c r="E67" s="209">
        <v>404529</v>
      </c>
      <c r="F67" s="209">
        <v>419672</v>
      </c>
      <c r="G67" s="209">
        <v>418824</v>
      </c>
      <c r="H67" s="209">
        <v>411409</v>
      </c>
      <c r="I67" s="209">
        <v>423429</v>
      </c>
      <c r="J67" s="209">
        <v>512640</v>
      </c>
      <c r="K67" s="116">
        <v>486072</v>
      </c>
      <c r="L67" s="278">
        <v>517498.00000000006</v>
      </c>
      <c r="M67" s="287">
        <f t="shared" si="3"/>
        <v>-31426.000000000058</v>
      </c>
      <c r="N67" s="116">
        <f t="shared" ref="N67:S67" si="51">N74*0.74</f>
        <v>526575.2952968973</v>
      </c>
      <c r="O67" s="116">
        <f t="shared" si="51"/>
        <v>536071.38652719546</v>
      </c>
      <c r="P67" s="116">
        <f t="shared" si="51"/>
        <v>541420.79304016172</v>
      </c>
      <c r="Q67" s="116">
        <f t="shared" si="51"/>
        <v>541420.79304016172</v>
      </c>
      <c r="R67" s="116">
        <f t="shared" si="51"/>
        <v>541420.79304016172</v>
      </c>
      <c r="S67" s="116">
        <f t="shared" si="51"/>
        <v>541420.79304016172</v>
      </c>
      <c r="T67" s="116">
        <f>T74*0.68</f>
        <v>497521.80982068914</v>
      </c>
      <c r="U67" s="116">
        <f>U74*0.68</f>
        <v>497521.80982068914</v>
      </c>
      <c r="V67" s="116">
        <f>V74*0.68</f>
        <v>497521.80982068914</v>
      </c>
      <c r="W67" s="116"/>
      <c r="X67" s="116"/>
      <c r="Y67" s="116"/>
      <c r="Z67" s="116"/>
      <c r="AA67" s="116"/>
      <c r="AB67" s="44">
        <f>AVERAGE(D67:G67)/1000</f>
        <v>408.16224999999997</v>
      </c>
      <c r="AC67" s="45">
        <f>AVERAGE(H67:K67)</f>
        <v>458387.5</v>
      </c>
      <c r="AD67" s="45">
        <f>AVERAGE(N67:Q67)</f>
        <v>536372.06697610405</v>
      </c>
      <c r="AE67" s="45">
        <f>AVERAGE(R67:U67)</f>
        <v>519471.30143042549</v>
      </c>
      <c r="AG67" s="35">
        <v>409.42</v>
      </c>
      <c r="AH67" s="84">
        <f>'figuring out Medicaid'!G11</f>
        <v>466.24400000000003</v>
      </c>
      <c r="AI67" s="84">
        <f>'figuring out Medicaid'!H11</f>
        <v>537.41499999999996</v>
      </c>
      <c r="AJ67" s="84">
        <f>'figuring out Medicaid'!I11</f>
        <v>516.01800000000003</v>
      </c>
      <c r="AK67" s="84"/>
      <c r="AL67" s="246"/>
    </row>
    <row r="68" spans="1:38" s="35" customFormat="1" x14ac:dyDescent="0.2">
      <c r="A68" s="141" t="s">
        <v>162</v>
      </c>
      <c r="B68" s="141"/>
      <c r="C68" s="141"/>
      <c r="D68" s="204">
        <f t="shared" ref="D68:I68" si="52">D41+D38+D32+D34</f>
        <v>1440187</v>
      </c>
      <c r="E68" s="204">
        <f t="shared" si="52"/>
        <v>1503410</v>
      </c>
      <c r="F68" s="204">
        <f t="shared" si="52"/>
        <v>1508652</v>
      </c>
      <c r="G68" s="204">
        <f t="shared" si="52"/>
        <v>1513957</v>
      </c>
      <c r="H68" s="204">
        <f t="shared" si="52"/>
        <v>1521941</v>
      </c>
      <c r="I68" s="204">
        <f t="shared" si="52"/>
        <v>1574462</v>
      </c>
      <c r="J68" s="204">
        <f>J41+J38+J32+J34</f>
        <v>3713565.333333333</v>
      </c>
      <c r="K68" s="142">
        <f t="shared" ref="K68:U68" si="53">K41+K38+K32+K34</f>
        <v>2531540</v>
      </c>
      <c r="L68" s="277">
        <v>2574710.1197894895</v>
      </c>
      <c r="M68" s="287">
        <f t="shared" si="3"/>
        <v>-43170.119789489545</v>
      </c>
      <c r="N68" s="142">
        <f>N41+N38+N32+N34</f>
        <v>1990939.5416534182</v>
      </c>
      <c r="O68" s="142">
        <f t="shared" si="53"/>
        <v>1912102.28529849</v>
      </c>
      <c r="P68" s="142">
        <f t="shared" si="53"/>
        <v>1823209.2545768754</v>
      </c>
      <c r="Q68" s="142">
        <f t="shared" si="53"/>
        <v>1686787.6851675489</v>
      </c>
      <c r="R68" s="142">
        <f t="shared" si="53"/>
        <v>1683444.5004450621</v>
      </c>
      <c r="S68" s="142">
        <f t="shared" si="53"/>
        <v>1693471.1679517378</v>
      </c>
      <c r="T68" s="142">
        <f t="shared" si="53"/>
        <v>1718873.2354710137</v>
      </c>
      <c r="U68" s="142">
        <f t="shared" si="53"/>
        <v>1744656.3340030788</v>
      </c>
      <c r="V68" s="142">
        <f t="shared" ref="V68" si="54">V41+V38+V32+V34</f>
        <v>1762102.8973431096</v>
      </c>
      <c r="AL68" s="246"/>
    </row>
    <row r="69" spans="1:38" s="35" customFormat="1" x14ac:dyDescent="0.2">
      <c r="A69" s="141" t="s">
        <v>216</v>
      </c>
      <c r="B69" s="141"/>
      <c r="C69" s="141"/>
      <c r="D69" s="200"/>
      <c r="E69" s="200"/>
      <c r="F69" s="200"/>
      <c r="G69" s="200"/>
      <c r="H69" s="200"/>
      <c r="I69" s="200"/>
      <c r="J69" s="206">
        <f>J67+J31</f>
        <v>1336698</v>
      </c>
      <c r="K69" s="143">
        <f t="shared" ref="K69:U69" si="55">K67+K31</f>
        <v>1328805</v>
      </c>
      <c r="L69" s="280">
        <v>1351145</v>
      </c>
      <c r="M69" s="287">
        <f t="shared" si="3"/>
        <v>-22340</v>
      </c>
      <c r="N69" s="143">
        <f t="shared" si="55"/>
        <v>1379628.482295726</v>
      </c>
      <c r="O69" s="143">
        <f t="shared" si="55"/>
        <v>1399571.1424983735</v>
      </c>
      <c r="P69" s="143">
        <f t="shared" si="55"/>
        <v>1415495.0476426566</v>
      </c>
      <c r="Q69" s="143">
        <f t="shared" si="55"/>
        <v>1426199.042571489</v>
      </c>
      <c r="R69" s="143">
        <f t="shared" si="55"/>
        <v>1455130.8921611134</v>
      </c>
      <c r="S69" s="143">
        <f t="shared" si="55"/>
        <v>1485008.800179638</v>
      </c>
      <c r="T69" s="143">
        <f t="shared" si="55"/>
        <v>1471964.7190913986</v>
      </c>
      <c r="U69" s="143">
        <f t="shared" si="55"/>
        <v>1503828.5626020522</v>
      </c>
      <c r="V69" s="143">
        <f t="shared" ref="V69" si="56">V67+V31</f>
        <v>1513969.2079582564</v>
      </c>
      <c r="AL69" s="246"/>
    </row>
    <row r="70" spans="1:38" s="35" customFormat="1" x14ac:dyDescent="0.2">
      <c r="D70" s="200"/>
      <c r="E70" s="200"/>
      <c r="F70" s="200"/>
      <c r="G70" s="200"/>
      <c r="H70" s="200"/>
      <c r="I70" s="200"/>
      <c r="J70" s="200"/>
      <c r="L70" s="107"/>
      <c r="M70" s="287"/>
      <c r="AL70" s="246"/>
    </row>
    <row r="71" spans="1:38" s="35" customFormat="1" x14ac:dyDescent="0.2">
      <c r="A71" s="35" t="s">
        <v>15</v>
      </c>
      <c r="B71" s="35" t="s">
        <v>288</v>
      </c>
      <c r="D71" s="200">
        <v>728844</v>
      </c>
      <c r="E71" s="200">
        <v>738714</v>
      </c>
      <c r="F71" s="200">
        <v>755204</v>
      </c>
      <c r="G71" s="200">
        <v>763370</v>
      </c>
      <c r="H71" s="200">
        <v>760967</v>
      </c>
      <c r="I71" s="200">
        <v>767087</v>
      </c>
      <c r="J71" s="200">
        <v>812158</v>
      </c>
      <c r="K71" s="133">
        <v>843592</v>
      </c>
      <c r="L71" s="275">
        <v>859481.41084597632</v>
      </c>
      <c r="M71" s="287">
        <f t="shared" si="3"/>
        <v>-15889.410845976323</v>
      </c>
      <c r="N71" s="133">
        <f t="shared" ref="N71:U71" si="57">N72+N74</f>
        <v>854389.62438769906</v>
      </c>
      <c r="O71" s="133">
        <f t="shared" si="57"/>
        <v>867579.18357306824</v>
      </c>
      <c r="P71" s="133">
        <f t="shared" si="57"/>
        <v>875166.00727071473</v>
      </c>
      <c r="Q71" s="133">
        <f t="shared" si="57"/>
        <v>875883.58870544552</v>
      </c>
      <c r="R71" s="133">
        <f t="shared" si="57"/>
        <v>876965.34271830227</v>
      </c>
      <c r="S71" s="133">
        <f t="shared" si="57"/>
        <v>878418.49894223991</v>
      </c>
      <c r="T71" s="133">
        <f t="shared" si="57"/>
        <v>879964.52696248644</v>
      </c>
      <c r="U71" s="133">
        <f t="shared" si="57"/>
        <v>881357.78541551507</v>
      </c>
      <c r="V71" s="133">
        <f t="shared" ref="V71" si="58">V72+V74</f>
        <v>882586.05273594777</v>
      </c>
      <c r="AL71" s="246"/>
    </row>
    <row r="72" spans="1:38" s="35" customFormat="1" x14ac:dyDescent="0.2">
      <c r="A72" s="35" t="s">
        <v>232</v>
      </c>
      <c r="D72" s="206">
        <f t="shared" ref="D72:I72" si="59">D71-D74</f>
        <v>139025</v>
      </c>
      <c r="E72" s="206">
        <f t="shared" si="59"/>
        <v>139342</v>
      </c>
      <c r="F72" s="206">
        <f t="shared" si="59"/>
        <v>140228</v>
      </c>
      <c r="G72" s="206">
        <f t="shared" si="59"/>
        <v>141105</v>
      </c>
      <c r="H72" s="206">
        <f t="shared" si="59"/>
        <v>141335</v>
      </c>
      <c r="I72" s="206">
        <f t="shared" si="59"/>
        <v>142991</v>
      </c>
      <c r="J72" s="206">
        <f>J71-J74</f>
        <v>143335</v>
      </c>
      <c r="K72" s="206">
        <f>K71-K74</f>
        <v>144609</v>
      </c>
      <c r="L72" s="275">
        <v>143335</v>
      </c>
      <c r="M72" s="287">
        <f t="shared" si="3"/>
        <v>1274</v>
      </c>
      <c r="N72" s="133">
        <f>K72*(1+N83-0.015)</f>
        <v>142801.38749999998</v>
      </c>
      <c r="O72" s="133">
        <f t="shared" ref="O72:V72" si="60">N72*(1+O83)</f>
        <v>143158.39096874997</v>
      </c>
      <c r="P72" s="133">
        <f t="shared" si="60"/>
        <v>143516.28694617184</v>
      </c>
      <c r="Q72" s="133">
        <f t="shared" si="60"/>
        <v>144233.86838090268</v>
      </c>
      <c r="R72" s="133">
        <f t="shared" si="60"/>
        <v>145315.62239375946</v>
      </c>
      <c r="S72" s="133">
        <f t="shared" si="60"/>
        <v>146768.77861769707</v>
      </c>
      <c r="T72" s="133">
        <f t="shared" si="60"/>
        <v>148314.80663794363</v>
      </c>
      <c r="U72" s="133">
        <f t="shared" si="60"/>
        <v>149708.06509097226</v>
      </c>
      <c r="V72" s="133">
        <f t="shared" si="60"/>
        <v>150936.33241140499</v>
      </c>
      <c r="AL72" s="246"/>
    </row>
    <row r="73" spans="1:38" s="35" customFormat="1" x14ac:dyDescent="0.2">
      <c r="D73" s="206"/>
      <c r="E73" s="200"/>
      <c r="F73" s="200"/>
      <c r="G73" s="200"/>
      <c r="H73" s="200"/>
      <c r="I73" s="200"/>
      <c r="J73" s="200"/>
      <c r="L73" s="107"/>
      <c r="M73" s="287"/>
      <c r="AL73" s="246"/>
    </row>
    <row r="74" spans="1:38" s="35" customFormat="1" x14ac:dyDescent="0.2">
      <c r="A74" s="35" t="s">
        <v>229</v>
      </c>
      <c r="B74" s="35" t="s">
        <v>288</v>
      </c>
      <c r="D74" s="200">
        <v>589819</v>
      </c>
      <c r="E74" s="200">
        <v>599372</v>
      </c>
      <c r="F74" s="200">
        <v>614976</v>
      </c>
      <c r="G74" s="200">
        <v>622265</v>
      </c>
      <c r="H74" s="200">
        <v>619632</v>
      </c>
      <c r="I74" s="200">
        <v>624096</v>
      </c>
      <c r="J74" s="200">
        <v>668823</v>
      </c>
      <c r="K74" s="116">
        <v>698983</v>
      </c>
      <c r="L74" s="278">
        <v>716146.41084597632</v>
      </c>
      <c r="M74" s="287">
        <f t="shared" si="3"/>
        <v>-17163.410845976323</v>
      </c>
      <c r="N74" s="135">
        <f>K74*(($AI$74/$AH$74)^0.18)</f>
        <v>711588.23688769911</v>
      </c>
      <c r="O74" s="135">
        <f>N74*(($AI$74/$AH$74)^0.18)</f>
        <v>724420.79260431824</v>
      </c>
      <c r="P74" s="135">
        <f>O74*(($AI$74/$AH$74)^0.1)</f>
        <v>731649.72032454284</v>
      </c>
      <c r="Q74" s="135">
        <f>P74*(1+Q75)</f>
        <v>731649.72032454284</v>
      </c>
      <c r="R74" s="135">
        <f t="shared" ref="R74:V74" si="61">Q74*(1+R75)</f>
        <v>731649.72032454284</v>
      </c>
      <c r="S74" s="135">
        <f t="shared" si="61"/>
        <v>731649.72032454284</v>
      </c>
      <c r="T74" s="135">
        <f t="shared" si="61"/>
        <v>731649.72032454284</v>
      </c>
      <c r="U74" s="135">
        <f t="shared" si="61"/>
        <v>731649.72032454284</v>
      </c>
      <c r="V74" s="135">
        <f t="shared" si="61"/>
        <v>731649.72032454284</v>
      </c>
      <c r="AC74" s="45">
        <f>AVERAGE(H74:K74)/1000</f>
        <v>652.88350000000003</v>
      </c>
      <c r="AD74" s="45">
        <f>AVERAGE(N74:Q74)/1000</f>
        <v>724.82711753527576</v>
      </c>
      <c r="AE74" s="45">
        <f>AVERAGE(R74:U74)/1000</f>
        <v>731.64972032454284</v>
      </c>
      <c r="AG74" s="84"/>
      <c r="AH74" s="84">
        <f>'figuring out Medicaid'!G13</f>
        <v>657.17435271149407</v>
      </c>
      <c r="AI74" s="84">
        <f>'figuring out Medicaid'!H13</f>
        <v>725.7777402928042</v>
      </c>
      <c r="AJ74" s="84">
        <f>'figuring out Medicaid'!I13</f>
        <v>727.33117238501666</v>
      </c>
      <c r="AK74" s="84"/>
      <c r="AL74" s="246"/>
    </row>
    <row r="75" spans="1:38" s="188" customFormat="1" x14ac:dyDescent="0.2">
      <c r="A75" s="170" t="s">
        <v>273</v>
      </c>
      <c r="D75" s="210"/>
      <c r="E75" s="210"/>
      <c r="F75" s="210"/>
      <c r="G75" s="210"/>
      <c r="H75" s="203"/>
      <c r="I75" s="203"/>
      <c r="J75" s="203"/>
      <c r="K75" s="177"/>
      <c r="L75" s="269"/>
      <c r="M75" s="287"/>
      <c r="N75" s="177"/>
      <c r="O75" s="177"/>
      <c r="P75" s="177"/>
      <c r="Q75" s="177">
        <v>0</v>
      </c>
      <c r="R75" s="177">
        <v>0</v>
      </c>
      <c r="S75" s="177">
        <v>0</v>
      </c>
      <c r="T75" s="177">
        <v>0</v>
      </c>
      <c r="U75" s="177">
        <v>0</v>
      </c>
      <c r="V75" s="177">
        <v>0</v>
      </c>
      <c r="W75" s="177"/>
      <c r="AL75" s="247"/>
    </row>
    <row r="76" spans="1:38" s="153" customFormat="1" x14ac:dyDescent="0.2">
      <c r="A76" s="153" t="s">
        <v>224</v>
      </c>
      <c r="D76" s="211">
        <f>D67/D74</f>
        <v>0.66058231423538405</v>
      </c>
      <c r="E76" s="211">
        <f t="shared" ref="E76:G76" si="62">E67/E74</f>
        <v>0.6749214177505789</v>
      </c>
      <c r="F76" s="211">
        <f t="shared" si="62"/>
        <v>0.68242012696430432</v>
      </c>
      <c r="G76" s="211">
        <f t="shared" si="62"/>
        <v>0.6730637268687778</v>
      </c>
      <c r="H76" s="211">
        <f t="shared" ref="H76" si="63">H67/H74</f>
        <v>0.66395699382859508</v>
      </c>
      <c r="I76" s="211">
        <f t="shared" ref="I76" si="64">I67/I74</f>
        <v>0.67846773573296415</v>
      </c>
      <c r="J76" s="212"/>
      <c r="L76" s="282"/>
      <c r="M76" s="287"/>
      <c r="AC76" s="154"/>
      <c r="AD76" s="154"/>
      <c r="AE76" s="154"/>
      <c r="AG76" s="155"/>
      <c r="AH76" s="155"/>
      <c r="AI76" s="155"/>
      <c r="AL76" s="251"/>
    </row>
    <row r="77" spans="1:38" s="35" customFormat="1" x14ac:dyDescent="0.2">
      <c r="A77" s="35" t="s">
        <v>18</v>
      </c>
      <c r="D77" s="200">
        <v>1997.1</v>
      </c>
      <c r="E77" s="200">
        <v>2012.7</v>
      </c>
      <c r="F77" s="200">
        <v>2025.5</v>
      </c>
      <c r="G77" s="200">
        <v>2028.3</v>
      </c>
      <c r="H77" s="200">
        <v>2035.6</v>
      </c>
      <c r="I77" s="200">
        <v>2041</v>
      </c>
      <c r="J77" s="200">
        <v>2013.1</v>
      </c>
      <c r="K77" s="35">
        <v>1996.2</v>
      </c>
      <c r="L77" s="107">
        <v>1937.7091681162387</v>
      </c>
      <c r="M77" s="287">
        <f t="shared" si="3"/>
        <v>58.490831883761302</v>
      </c>
      <c r="N77" s="35">
        <f>K77*(1+N79)</f>
        <v>2035.245476772616</v>
      </c>
      <c r="O77" s="35">
        <f t="shared" ref="O77:V77" si="65">N77*(1+O79)</f>
        <v>2060.9221218241732</v>
      </c>
      <c r="P77" s="35">
        <f t="shared" si="65"/>
        <v>2083.41571170405</v>
      </c>
      <c r="Q77" s="35">
        <f t="shared" si="65"/>
        <v>2098.2699691718931</v>
      </c>
      <c r="R77" s="35">
        <f t="shared" si="65"/>
        <v>2108.5618475603274</v>
      </c>
      <c r="S77" s="35">
        <f t="shared" si="65"/>
        <v>2118.7476241097056</v>
      </c>
      <c r="T77" s="35">
        <f t="shared" si="65"/>
        <v>2126.1747528436272</v>
      </c>
      <c r="U77" s="35">
        <f t="shared" si="65"/>
        <v>2130.737131923036</v>
      </c>
      <c r="V77" s="35">
        <f t="shared" si="65"/>
        <v>2132.4347613479322</v>
      </c>
      <c r="AL77" s="246"/>
    </row>
    <row r="78" spans="1:38" s="188" customFormat="1" x14ac:dyDescent="0.2">
      <c r="A78" s="170" t="s">
        <v>293</v>
      </c>
      <c r="B78" s="35"/>
      <c r="D78" s="203"/>
      <c r="E78" s="203">
        <f t="shared" ref="E78:J78" si="66">(E77/D77)-1</f>
        <v>7.8113264233139468E-3</v>
      </c>
      <c r="F78" s="203">
        <f t="shared" si="66"/>
        <v>6.3596164356336526E-3</v>
      </c>
      <c r="G78" s="203">
        <f t="shared" si="66"/>
        <v>1.3823747222907468E-3</v>
      </c>
      <c r="H78" s="203">
        <f t="shared" si="66"/>
        <v>3.5990731154167399E-3</v>
      </c>
      <c r="I78" s="203">
        <f t="shared" si="66"/>
        <v>2.6527805069758159E-3</v>
      </c>
      <c r="J78" s="203">
        <f t="shared" si="66"/>
        <v>-1.36697697207252E-2</v>
      </c>
      <c r="K78" s="177">
        <f>(K77/J77)-1</f>
        <v>-8.39501266703091E-3</v>
      </c>
      <c r="L78" s="269"/>
      <c r="M78" s="287"/>
      <c r="N78" s="283"/>
      <c r="O78" s="283"/>
      <c r="P78" s="283"/>
      <c r="Q78" s="283"/>
      <c r="R78" s="283"/>
      <c r="S78" s="283"/>
      <c r="T78" s="283"/>
      <c r="U78" s="283"/>
      <c r="V78" s="283"/>
      <c r="W78" s="283"/>
      <c r="X78" s="283"/>
      <c r="Y78" s="283"/>
      <c r="AL78" s="247"/>
    </row>
    <row r="79" spans="1:38" s="188" customFormat="1" x14ac:dyDescent="0.2">
      <c r="A79" s="170" t="s">
        <v>294</v>
      </c>
      <c r="B79" s="35" t="s">
        <v>288</v>
      </c>
      <c r="D79" s="210"/>
      <c r="E79" s="210"/>
      <c r="F79" s="210"/>
      <c r="G79" s="210"/>
      <c r="H79" s="203"/>
      <c r="I79" s="203"/>
      <c r="J79" s="203"/>
      <c r="K79" s="177"/>
      <c r="L79" s="269">
        <v>-3.7450117671134701E-2</v>
      </c>
      <c r="M79" s="287"/>
      <c r="N79" s="199">
        <v>1.95599022004889E-2</v>
      </c>
      <c r="O79" s="199">
        <v>1.26159941611927E-2</v>
      </c>
      <c r="P79" s="199">
        <v>1.0914332784184499E-2</v>
      </c>
      <c r="Q79" s="199">
        <v>7.1297616622529904E-3</v>
      </c>
      <c r="R79" s="199">
        <v>4.9049352750809598E-3</v>
      </c>
      <c r="S79" s="199">
        <v>4.8306747848840797E-3</v>
      </c>
      <c r="T79" s="199">
        <v>3.5054334218038701E-3</v>
      </c>
      <c r="U79" s="199">
        <v>2.14581565946403E-3</v>
      </c>
      <c r="V79" s="199">
        <v>7.9673339308827796E-4</v>
      </c>
      <c r="W79" s="199">
        <v>3.9804955716982198E-4</v>
      </c>
      <c r="X79" s="199">
        <v>1.1439371331942701E-3</v>
      </c>
      <c r="Y79" s="199">
        <v>8.9423220229512001E-4</v>
      </c>
      <c r="AL79" s="247"/>
    </row>
    <row r="80" spans="1:38" s="35" customFormat="1" x14ac:dyDescent="0.2">
      <c r="A80" s="35" t="s">
        <v>218</v>
      </c>
      <c r="B80" s="35" t="s">
        <v>288</v>
      </c>
      <c r="D80" s="200"/>
      <c r="E80" s="200"/>
      <c r="F80" s="200"/>
      <c r="G80" s="200"/>
      <c r="H80" s="200">
        <v>2357.4</v>
      </c>
      <c r="I80" s="200">
        <v>2381.6</v>
      </c>
      <c r="J80" s="200">
        <v>2334.5</v>
      </c>
      <c r="K80">
        <v>2337.9</v>
      </c>
      <c r="L80" s="107">
        <v>2217.7750000000001</v>
      </c>
      <c r="M80" s="287">
        <f t="shared" ref="M80:M87" si="67">K80-L80</f>
        <v>120.125</v>
      </c>
      <c r="N80">
        <v>2431.4160000000002</v>
      </c>
      <c r="O80">
        <v>2469.9411956560398</v>
      </c>
      <c r="P80">
        <v>2511.3882460388099</v>
      </c>
      <c r="Q80">
        <v>2543.4204311910298</v>
      </c>
      <c r="R80">
        <v>2569.93355741499</v>
      </c>
      <c r="S80">
        <v>2599.1521046822099</v>
      </c>
      <c r="T80">
        <v>2626.53096564002</v>
      </c>
      <c r="U80">
        <v>2651.2044055545698</v>
      </c>
      <c r="V80">
        <v>2672.95599074239</v>
      </c>
      <c r="W80">
        <v>2693.9500580381</v>
      </c>
      <c r="X80">
        <v>2717.3248958518798</v>
      </c>
      <c r="Y80">
        <v>2740.4832999822002</v>
      </c>
      <c r="AL80" s="246"/>
    </row>
    <row r="81" spans="1:38" s="35" customFormat="1" x14ac:dyDescent="0.2">
      <c r="D81" s="200"/>
      <c r="E81" s="200"/>
      <c r="F81" s="200"/>
      <c r="G81" s="200"/>
      <c r="H81" s="200"/>
      <c r="I81" s="200"/>
      <c r="J81" s="200"/>
      <c r="K81"/>
      <c r="L81" s="107"/>
      <c r="M81" s="287"/>
      <c r="N81">
        <f>K80*(1+N83)</f>
        <v>2343.7447499999998</v>
      </c>
      <c r="O81">
        <f>N81*(1+O83)</f>
        <v>2349.6041118749995</v>
      </c>
      <c r="P81">
        <f t="shared" ref="P81:V81" si="68">O81*(1+P83)</f>
        <v>2355.4781221546868</v>
      </c>
      <c r="Q81">
        <f t="shared" si="68"/>
        <v>2367.25551276546</v>
      </c>
      <c r="R81">
        <f t="shared" si="68"/>
        <v>2385.009929111201</v>
      </c>
      <c r="S81">
        <f t="shared" si="68"/>
        <v>2408.8600284023132</v>
      </c>
      <c r="T81">
        <f t="shared" si="68"/>
        <v>2434.2343970918737</v>
      </c>
      <c r="U81">
        <f t="shared" si="68"/>
        <v>2457.1014170966964</v>
      </c>
      <c r="V81">
        <f t="shared" si="68"/>
        <v>2477.2605005219943</v>
      </c>
      <c r="W81"/>
      <c r="X81"/>
      <c r="Y81"/>
      <c r="AL81" s="246"/>
    </row>
    <row r="82" spans="1:38" s="188" customFormat="1" x14ac:dyDescent="0.2">
      <c r="A82" s="170" t="s">
        <v>293</v>
      </c>
      <c r="B82" s="35"/>
      <c r="D82" s="203"/>
      <c r="E82" s="203"/>
      <c r="F82" s="203"/>
      <c r="G82" s="203"/>
      <c r="H82" s="203"/>
      <c r="I82" s="203">
        <f t="shared" ref="I82" si="69">(I80/H80)-1</f>
        <v>1.0265546788835067E-2</v>
      </c>
      <c r="J82" s="203">
        <f t="shared" ref="J82" si="70">(J80/I80)-1</f>
        <v>-1.9776620759153429E-2</v>
      </c>
      <c r="K82" s="177">
        <f>(((K80/J80))^4)-1</f>
        <v>5.8383978226230759E-3</v>
      </c>
      <c r="L82" s="269"/>
      <c r="M82" s="287"/>
      <c r="N82" s="283"/>
      <c r="O82" s="283"/>
      <c r="P82" s="283"/>
      <c r="Q82" s="283"/>
      <c r="R82" s="283"/>
      <c r="S82" s="283"/>
      <c r="T82" s="283"/>
      <c r="U82" s="283"/>
      <c r="V82" s="283"/>
      <c r="W82" s="283"/>
      <c r="X82" s="283"/>
      <c r="Y82" s="283"/>
      <c r="AL82" s="247"/>
    </row>
    <row r="83" spans="1:38" s="188" customFormat="1" x14ac:dyDescent="0.2">
      <c r="A83" s="170" t="s">
        <v>294</v>
      </c>
      <c r="D83" s="210"/>
      <c r="E83" s="210"/>
      <c r="F83" s="210"/>
      <c r="G83" s="210"/>
      <c r="H83" s="210"/>
      <c r="I83" s="203"/>
      <c r="J83" s="203"/>
      <c r="K83" s="177"/>
      <c r="L83" s="269">
        <v>-4.9999999999999933E-2</v>
      </c>
      <c r="M83" s="287"/>
      <c r="N83" s="177">
        <v>2.5000000000000001E-3</v>
      </c>
      <c r="O83" s="177">
        <v>2.5000000000000001E-3</v>
      </c>
      <c r="P83" s="177">
        <v>2.5000000000000001E-3</v>
      </c>
      <c r="Q83" s="177">
        <v>5.0000000000000001E-3</v>
      </c>
      <c r="R83" s="177">
        <v>7.4999999999999997E-3</v>
      </c>
      <c r="S83" s="177">
        <v>0.01</v>
      </c>
      <c r="T83" s="177">
        <f>T80/S80-1</f>
        <v>1.053376634191161E-2</v>
      </c>
      <c r="U83" s="177">
        <f>U80/T80-1</f>
        <v>9.3939269086582566E-3</v>
      </c>
      <c r="V83" s="177">
        <f>V80/U80-1</f>
        <v>8.2044165067951536E-3</v>
      </c>
      <c r="AL83" s="247"/>
    </row>
    <row r="84" spans="1:38" s="188" customFormat="1" x14ac:dyDescent="0.2">
      <c r="A84" s="295" t="s">
        <v>265</v>
      </c>
      <c r="D84" s="210"/>
      <c r="E84" s="210"/>
      <c r="F84" s="210"/>
      <c r="G84" s="210"/>
      <c r="H84" s="210"/>
      <c r="I84" s="203"/>
      <c r="J84" s="203"/>
      <c r="K84" s="177"/>
      <c r="L84" s="269"/>
      <c r="M84" s="287"/>
      <c r="N84" s="177"/>
      <c r="O84" s="177"/>
      <c r="P84" s="177"/>
      <c r="Q84" s="177"/>
      <c r="R84" s="177"/>
      <c r="S84" s="177"/>
      <c r="T84" s="177"/>
      <c r="U84" s="177"/>
      <c r="V84" s="177"/>
      <c r="AL84" s="247"/>
    </row>
    <row r="85" spans="1:38" s="35" customFormat="1" x14ac:dyDescent="0.2">
      <c r="A85" s="35" t="s">
        <v>165</v>
      </c>
      <c r="D85" s="296">
        <f t="shared" ref="D85:U85" si="71">D71+D37-D67</f>
        <v>339220</v>
      </c>
      <c r="E85" s="296">
        <f t="shared" si="71"/>
        <v>334185</v>
      </c>
      <c r="F85" s="296">
        <f t="shared" si="71"/>
        <v>335532</v>
      </c>
      <c r="G85" s="296">
        <f t="shared" si="71"/>
        <v>344546</v>
      </c>
      <c r="H85" s="296">
        <f t="shared" si="71"/>
        <v>349558</v>
      </c>
      <c r="I85" s="296">
        <f t="shared" si="71"/>
        <v>343658</v>
      </c>
      <c r="J85" s="296">
        <f t="shared" si="71"/>
        <v>577118</v>
      </c>
      <c r="K85" s="224">
        <f t="shared" si="71"/>
        <v>497520</v>
      </c>
      <c r="L85" s="224">
        <v>481983.41084597626</v>
      </c>
      <c r="M85" s="169">
        <f t="shared" si="67"/>
        <v>15536.589154023735</v>
      </c>
      <c r="N85" s="224">
        <f t="shared" si="71"/>
        <v>407814.32909080177</v>
      </c>
      <c r="O85" s="224">
        <f t="shared" si="71"/>
        <v>391507.79704587278</v>
      </c>
      <c r="P85" s="224">
        <f t="shared" si="71"/>
        <v>377745.21423055301</v>
      </c>
      <c r="Q85" s="224">
        <f t="shared" si="71"/>
        <v>378462.7956652838</v>
      </c>
      <c r="R85" s="224">
        <f t="shared" si="71"/>
        <v>379544.54967814055</v>
      </c>
      <c r="S85" s="224">
        <f t="shared" si="71"/>
        <v>380997.70590207819</v>
      </c>
      <c r="T85" s="224">
        <f t="shared" si="71"/>
        <v>426442.7171417973</v>
      </c>
      <c r="U85" s="224">
        <f t="shared" si="71"/>
        <v>427835.97559482593</v>
      </c>
      <c r="V85" s="224">
        <f t="shared" ref="V85:Y85" si="72">V71+V37-V67</f>
        <v>429064.24291525863</v>
      </c>
      <c r="W85" s="224">
        <f t="shared" si="72"/>
        <v>0</v>
      </c>
      <c r="X85" s="224">
        <f t="shared" si="72"/>
        <v>0</v>
      </c>
      <c r="Y85" s="224">
        <f t="shared" si="72"/>
        <v>0</v>
      </c>
      <c r="AL85" s="246"/>
    </row>
    <row r="86" spans="1:38" s="35" customFormat="1" x14ac:dyDescent="0.2">
      <c r="A86" s="141" t="s">
        <v>215</v>
      </c>
      <c r="B86" s="141"/>
      <c r="C86" s="141"/>
      <c r="D86" s="204"/>
      <c r="E86" s="204"/>
      <c r="F86" s="204"/>
      <c r="G86" s="204"/>
      <c r="H86" s="204"/>
      <c r="I86" s="204"/>
      <c r="J86" s="204">
        <f>J74-J67</f>
        <v>156183</v>
      </c>
      <c r="K86" s="142">
        <f t="shared" ref="K86:U86" si="73">K74-K67</f>
        <v>212911</v>
      </c>
      <c r="L86" s="277">
        <v>198648.41084597626</v>
      </c>
      <c r="M86" s="287">
        <f t="shared" si="67"/>
        <v>14262.589154023735</v>
      </c>
      <c r="N86" s="142">
        <f t="shared" si="73"/>
        <v>185012.94159080181</v>
      </c>
      <c r="O86" s="142">
        <f t="shared" si="73"/>
        <v>188349.40607712278</v>
      </c>
      <c r="P86" s="142">
        <f t="shared" si="73"/>
        <v>190228.92728438112</v>
      </c>
      <c r="Q86" s="142">
        <f t="shared" si="73"/>
        <v>190228.92728438112</v>
      </c>
      <c r="R86" s="142">
        <f t="shared" si="73"/>
        <v>190228.92728438112</v>
      </c>
      <c r="S86" s="142">
        <f t="shared" si="73"/>
        <v>190228.92728438112</v>
      </c>
      <c r="T86" s="142">
        <f t="shared" si="73"/>
        <v>234127.91050385369</v>
      </c>
      <c r="U86" s="142">
        <f t="shared" si="73"/>
        <v>234127.91050385369</v>
      </c>
      <c r="V86" s="142">
        <f t="shared" ref="V86:Y86" si="74">V74-V67</f>
        <v>234127.91050385369</v>
      </c>
      <c r="W86" s="142">
        <f t="shared" si="74"/>
        <v>0</v>
      </c>
      <c r="X86" s="142">
        <f t="shared" si="74"/>
        <v>0</v>
      </c>
      <c r="Y86" s="142">
        <f t="shared" si="74"/>
        <v>0</v>
      </c>
      <c r="AL86" s="246"/>
    </row>
    <row r="87" spans="1:38" s="141" customFormat="1" x14ac:dyDescent="0.2">
      <c r="A87" s="141" t="s">
        <v>233</v>
      </c>
      <c r="D87" s="297">
        <f>D85-(D74-D67)</f>
        <v>139025</v>
      </c>
      <c r="E87" s="297">
        <f t="shared" ref="E87:V87" si="75">E85-(E74-E67)</f>
        <v>139342</v>
      </c>
      <c r="F87" s="297">
        <f t="shared" si="75"/>
        <v>140228</v>
      </c>
      <c r="G87" s="297">
        <f t="shared" si="75"/>
        <v>141105</v>
      </c>
      <c r="H87" s="297">
        <f t="shared" si="75"/>
        <v>141335</v>
      </c>
      <c r="I87" s="297">
        <f t="shared" si="75"/>
        <v>142991</v>
      </c>
      <c r="J87" s="297">
        <f t="shared" si="75"/>
        <v>420935</v>
      </c>
      <c r="K87" s="143">
        <f t="shared" si="75"/>
        <v>284609</v>
      </c>
      <c r="L87" s="143">
        <v>283335</v>
      </c>
      <c r="M87" s="298">
        <f t="shared" si="67"/>
        <v>1274</v>
      </c>
      <c r="N87" s="143">
        <f t="shared" si="75"/>
        <v>222801.38749999995</v>
      </c>
      <c r="O87" s="143">
        <f t="shared" si="75"/>
        <v>203158.39096875</v>
      </c>
      <c r="P87" s="143">
        <f t="shared" si="75"/>
        <v>187516.28694617189</v>
      </c>
      <c r="Q87" s="143">
        <f t="shared" si="75"/>
        <v>188233.86838090268</v>
      </c>
      <c r="R87" s="143">
        <f t="shared" si="75"/>
        <v>189315.62239375943</v>
      </c>
      <c r="S87" s="143">
        <f t="shared" si="75"/>
        <v>190768.77861769707</v>
      </c>
      <c r="T87" s="143">
        <f t="shared" si="75"/>
        <v>192314.80663794361</v>
      </c>
      <c r="U87" s="143">
        <f t="shared" si="75"/>
        <v>193708.06509097223</v>
      </c>
      <c r="V87" s="143">
        <f t="shared" si="75"/>
        <v>194936.33241140493</v>
      </c>
      <c r="W87" s="143">
        <f t="shared" ref="W87:Y87" si="76">W85-(W74-W67)</f>
        <v>0</v>
      </c>
      <c r="X87" s="143">
        <f t="shared" si="76"/>
        <v>0</v>
      </c>
      <c r="Y87" s="143">
        <f t="shared" si="76"/>
        <v>0</v>
      </c>
      <c r="AL87" s="299"/>
    </row>
    <row r="88" spans="1:38" s="35" customFormat="1" x14ac:dyDescent="0.2">
      <c r="A88"/>
      <c r="D88" s="221"/>
      <c r="E88" s="221"/>
      <c r="F88" s="221"/>
      <c r="G88" s="221"/>
      <c r="H88" s="221"/>
      <c r="I88" s="221"/>
      <c r="J88" s="221"/>
      <c r="K88" s="135"/>
      <c r="L88" s="135"/>
      <c r="M88" s="290"/>
      <c r="N88" s="94"/>
      <c r="O88" s="94"/>
      <c r="P88" s="94"/>
      <c r="Q88" s="94"/>
      <c r="R88" s="94"/>
      <c r="S88" s="94"/>
      <c r="T88" s="94"/>
      <c r="U88" s="94"/>
      <c r="V88"/>
      <c r="AL88" s="246"/>
    </row>
    <row r="89" spans="1:38" s="188" customFormat="1" x14ac:dyDescent="0.2">
      <c r="A89" s="170"/>
      <c r="D89" s="196"/>
      <c r="E89" s="196"/>
      <c r="F89" s="196"/>
      <c r="G89" s="196"/>
      <c r="H89" s="196"/>
      <c r="I89" s="196"/>
      <c r="J89" s="196"/>
      <c r="K89" s="222"/>
      <c r="L89" s="222"/>
      <c r="M89" s="289"/>
      <c r="N89" s="196"/>
      <c r="O89" s="196"/>
      <c r="P89" s="196"/>
      <c r="Q89" s="196"/>
      <c r="R89" s="196"/>
      <c r="S89" s="196"/>
      <c r="T89" s="196"/>
      <c r="U89" s="196"/>
      <c r="AL89" s="247"/>
    </row>
    <row r="90" spans="1:38" x14ac:dyDescent="0.2">
      <c r="A90" t="s">
        <v>159</v>
      </c>
      <c r="J90" s="35"/>
      <c r="K90" s="35"/>
      <c r="L90" s="35"/>
      <c r="N90" s="35"/>
      <c r="O90" s="35"/>
      <c r="P90" s="35"/>
      <c r="Q90" s="35"/>
      <c r="R90" s="35"/>
      <c r="S90" s="35"/>
      <c r="T90" s="35"/>
      <c r="U90" s="35"/>
      <c r="V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</row>
    <row r="91" spans="1:38" x14ac:dyDescent="0.2">
      <c r="J91" s="35"/>
      <c r="K91" s="35"/>
      <c r="L91" s="35"/>
      <c r="N91" s="35"/>
      <c r="O91" s="35"/>
      <c r="P91" s="35"/>
      <c r="Q91" s="35"/>
      <c r="R91" s="35"/>
      <c r="S91" s="35"/>
      <c r="T91" s="35"/>
      <c r="U91" s="35"/>
      <c r="V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</row>
    <row r="92" spans="1:38" x14ac:dyDescent="0.2">
      <c r="J92" s="35"/>
      <c r="K92" s="35"/>
      <c r="L92" s="35"/>
      <c r="N92" s="35"/>
      <c r="O92" s="35"/>
      <c r="P92" s="35"/>
      <c r="Q92" s="35"/>
      <c r="R92" s="35"/>
      <c r="S92" s="35"/>
      <c r="T92" s="35"/>
      <c r="U92" s="35"/>
      <c r="V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</row>
    <row r="93" spans="1:38" x14ac:dyDescent="0.2">
      <c r="J93" s="35"/>
      <c r="K93" s="35"/>
      <c r="L93" s="35"/>
      <c r="N93" s="35"/>
      <c r="O93" s="35"/>
      <c r="P93" s="35"/>
      <c r="Q93" s="35"/>
      <c r="R93" s="35"/>
      <c r="S93" s="35"/>
      <c r="T93" s="35"/>
      <c r="U93" s="35"/>
      <c r="V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</row>
    <row r="94" spans="1:38" x14ac:dyDescent="0.2">
      <c r="J94" s="35"/>
      <c r="K94" s="35"/>
      <c r="L94" s="35"/>
      <c r="N94" s="35"/>
      <c r="O94" s="35"/>
      <c r="P94" s="35"/>
      <c r="Q94" s="35"/>
      <c r="R94" s="35"/>
      <c r="S94" s="35"/>
      <c r="T94" s="35"/>
      <c r="U94" s="35"/>
      <c r="V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</row>
    <row r="95" spans="1:38" x14ac:dyDescent="0.2">
      <c r="J95" s="35"/>
      <c r="K95" s="35"/>
      <c r="L95" s="35"/>
      <c r="N95" s="35"/>
      <c r="O95" s="35"/>
      <c r="P95" s="35"/>
      <c r="Q95" s="35"/>
      <c r="R95" s="35"/>
      <c r="S95" s="35"/>
      <c r="T95" s="35"/>
      <c r="U95" s="35"/>
      <c r="V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</row>
  </sheetData>
  <mergeCells count="12">
    <mergeCell ref="A4:B4"/>
    <mergeCell ref="D2:G2"/>
    <mergeCell ref="A1:B1"/>
    <mergeCell ref="AL1:AO1"/>
    <mergeCell ref="AC2:AE2"/>
    <mergeCell ref="H2:K2"/>
    <mergeCell ref="N2:Q2"/>
    <mergeCell ref="R2:U2"/>
    <mergeCell ref="AC1:AE1"/>
    <mergeCell ref="AH2:AJ2"/>
    <mergeCell ref="AH1:AK1"/>
    <mergeCell ref="V2:Y2"/>
  </mergeCells>
  <pageMargins left="0.7" right="0.7" top="0.75" bottom="0.75" header="0.3" footer="0.3"/>
  <pageSetup orientation="portrait" r:id="rId1"/>
  <ignoredErrors>
    <ignoredError sqref="K18 AB18 AB12:AB1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5"/>
  <sheetViews>
    <sheetView zoomScale="130" zoomScaleNormal="130" workbookViewId="0">
      <pane xSplit="2" ySplit="8" topLeftCell="D30" activePane="bottomRight" state="frozen"/>
      <selection pane="topRight" activeCell="C1" sqref="C1"/>
      <selection pane="bottomLeft" activeCell="A9" sqref="A9"/>
      <selection pane="bottomRight" activeCell="F31" sqref="F31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27" ht="19" x14ac:dyDescent="0.25">
      <c r="A1" s="306" t="s">
        <v>209</v>
      </c>
      <c r="B1" s="307"/>
      <c r="C1" s="35"/>
      <c r="H1"/>
      <c r="I1" s="253"/>
      <c r="J1" s="314" t="s">
        <v>285</v>
      </c>
      <c r="V1" s="301"/>
      <c r="W1" s="301"/>
      <c r="X1" s="301"/>
      <c r="Y1" s="301"/>
    </row>
    <row r="2" spans="1:27" x14ac:dyDescent="0.2">
      <c r="A2" s="308" t="s">
        <v>193</v>
      </c>
      <c r="B2" s="126"/>
      <c r="C2" t="s">
        <v>194</v>
      </c>
      <c r="I2" s="254"/>
      <c r="J2" s="314"/>
    </row>
    <row r="3" spans="1:27" x14ac:dyDescent="0.2">
      <c r="A3" s="309"/>
      <c r="B3" s="127"/>
      <c r="C3" t="s">
        <v>195</v>
      </c>
      <c r="I3" s="254"/>
      <c r="J3" s="314"/>
    </row>
    <row r="4" spans="1:27" x14ac:dyDescent="0.2">
      <c r="A4" s="309"/>
      <c r="B4" s="128"/>
      <c r="C4" t="s">
        <v>196</v>
      </c>
    </row>
    <row r="5" spans="1:27" x14ac:dyDescent="0.2">
      <c r="A5" s="310"/>
      <c r="B5" s="129"/>
      <c r="C5" t="s">
        <v>183</v>
      </c>
    </row>
    <row r="7" spans="1:27" x14ac:dyDescent="0.2">
      <c r="C7" s="311" t="s">
        <v>161</v>
      </c>
      <c r="D7" s="312"/>
      <c r="E7" s="312"/>
      <c r="F7" s="313"/>
      <c r="G7" s="311" t="s">
        <v>167</v>
      </c>
      <c r="H7" s="312"/>
      <c r="I7" s="312"/>
      <c r="J7" s="313"/>
      <c r="K7" s="311" t="s">
        <v>178</v>
      </c>
      <c r="L7" s="312"/>
      <c r="M7" s="312"/>
      <c r="N7" s="312"/>
      <c r="O7" s="311" t="s">
        <v>274</v>
      </c>
      <c r="P7" s="312"/>
      <c r="Q7" s="312"/>
      <c r="R7" s="312"/>
      <c r="S7" s="311" t="s">
        <v>279</v>
      </c>
      <c r="T7" s="312"/>
      <c r="U7" s="312"/>
      <c r="V7" s="312"/>
      <c r="W7" s="311" t="s">
        <v>280</v>
      </c>
      <c r="X7" s="312"/>
      <c r="Y7" s="312"/>
      <c r="Z7" s="312"/>
      <c r="AA7" s="232" t="s">
        <v>281</v>
      </c>
    </row>
    <row r="8" spans="1:27" s="2" customFormat="1" x14ac:dyDescent="0.2">
      <c r="B8" s="2" t="s">
        <v>201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" customFormat="1" ht="19" x14ac:dyDescent="0.25">
      <c r="A9" s="106" t="s">
        <v>166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172</v>
      </c>
      <c r="D10">
        <v>200.67099999999999</v>
      </c>
      <c r="E10">
        <v>156.16</v>
      </c>
      <c r="F10">
        <v>212.928</v>
      </c>
      <c r="G10" s="146">
        <v>221.05373389040901</v>
      </c>
      <c r="H10">
        <v>229.17946778081901</v>
      </c>
      <c r="I10">
        <v>237.30520167122799</v>
      </c>
      <c r="J10">
        <v>245.430935561637</v>
      </c>
      <c r="K10" s="146">
        <v>242.987997735091</v>
      </c>
      <c r="L10">
        <v>240.54505990854599</v>
      </c>
      <c r="M10">
        <v>238.10212208199999</v>
      </c>
      <c r="N10">
        <v>235.65918425545399</v>
      </c>
      <c r="O10" s="146">
        <v>233.240222544419</v>
      </c>
      <c r="P10">
        <v>230.82126083338301</v>
      </c>
      <c r="Q10">
        <v>228.40229912234801</v>
      </c>
      <c r="R10">
        <v>225.98333741131299</v>
      </c>
      <c r="S10" s="146">
        <v>228.52982922246699</v>
      </c>
      <c r="T10">
        <v>231.07632103362201</v>
      </c>
      <c r="U10">
        <v>233.622812844777</v>
      </c>
      <c r="V10">
        <v>236.169304655931</v>
      </c>
      <c r="W10" s="146">
        <v>239.39511973987899</v>
      </c>
      <c r="X10">
        <v>242.62093482382599</v>
      </c>
      <c r="Y10">
        <v>245.84674990777401</v>
      </c>
      <c r="Z10">
        <v>249.07256499172101</v>
      </c>
      <c r="AA10" s="146">
        <v>252.42933533514699</v>
      </c>
    </row>
    <row r="11" spans="1:27" ht="16" x14ac:dyDescent="0.2">
      <c r="B11" s="86" t="s">
        <v>173</v>
      </c>
      <c r="D11">
        <v>186.02099999999999</v>
      </c>
      <c r="E11">
        <v>436.94400000000002</v>
      </c>
      <c r="F11">
        <v>878.91700000000003</v>
      </c>
      <c r="G11" s="146">
        <v>915.35852224998098</v>
      </c>
      <c r="H11">
        <v>914.68514436821897</v>
      </c>
      <c r="I11">
        <v>915.98381158882398</v>
      </c>
      <c r="J11">
        <v>910.92811125735602</v>
      </c>
      <c r="K11" s="146">
        <v>936.84227045007503</v>
      </c>
      <c r="L11">
        <v>964.58239733017194</v>
      </c>
      <c r="M11">
        <v>991.08086618285097</v>
      </c>
      <c r="N11">
        <v>1015.7533673481501</v>
      </c>
      <c r="O11" s="146">
        <v>1038.3751146234099</v>
      </c>
      <c r="P11">
        <v>1060.4855909462101</v>
      </c>
      <c r="Q11">
        <v>1084.2029188339</v>
      </c>
      <c r="R11">
        <v>1107.7741693066</v>
      </c>
      <c r="S11" s="146">
        <v>1115.1909072671201</v>
      </c>
      <c r="T11">
        <v>1123.4841097175899</v>
      </c>
      <c r="U11">
        <v>1132.5807379505</v>
      </c>
      <c r="V11">
        <v>1142.84598550333</v>
      </c>
      <c r="W11" s="146">
        <v>1151.10026686124</v>
      </c>
      <c r="X11">
        <v>1159.20847080416</v>
      </c>
      <c r="Y11">
        <v>1167.9009844070299</v>
      </c>
      <c r="Z11">
        <v>1177.2508463773599</v>
      </c>
      <c r="AA11" s="146">
        <v>1186.75511810546</v>
      </c>
    </row>
    <row r="12" spans="1:27" ht="16" x14ac:dyDescent="0.2">
      <c r="B12" s="86" t="s">
        <v>174</v>
      </c>
      <c r="D12">
        <v>1862.4</v>
      </c>
      <c r="E12">
        <v>1779.8</v>
      </c>
      <c r="F12">
        <v>1840.7</v>
      </c>
      <c r="G12" s="146">
        <v>1877.9220586184899</v>
      </c>
      <c r="H12">
        <v>1909.0672334979899</v>
      </c>
      <c r="I12">
        <v>1939.4241549814799</v>
      </c>
      <c r="J12">
        <v>1971.8708645381</v>
      </c>
      <c r="K12" s="146">
        <v>1993.60282735131</v>
      </c>
      <c r="L12">
        <v>2013.49247699478</v>
      </c>
      <c r="M12">
        <v>2033.1804804206699</v>
      </c>
      <c r="N12">
        <v>2053.76672608852</v>
      </c>
      <c r="O12" s="146">
        <v>2074.6554410827398</v>
      </c>
      <c r="P12">
        <v>2095.6541449229198</v>
      </c>
      <c r="Q12">
        <v>2115.7821037326198</v>
      </c>
      <c r="R12">
        <v>2137.3490832768998</v>
      </c>
      <c r="S12" s="146">
        <v>2160.1442716010001</v>
      </c>
      <c r="T12">
        <v>2184.1035085448002</v>
      </c>
      <c r="U12">
        <v>2207.6411215790899</v>
      </c>
      <c r="V12">
        <v>2230.9770883958099</v>
      </c>
      <c r="W12" s="146">
        <v>2254.7438448591802</v>
      </c>
      <c r="X12">
        <v>2279.6563184679098</v>
      </c>
      <c r="Y12">
        <v>2304.8620956658601</v>
      </c>
      <c r="Z12">
        <v>2330.3153477671999</v>
      </c>
      <c r="AA12" s="146">
        <v>2355.9885775604498</v>
      </c>
    </row>
    <row r="13" spans="1:27" ht="16" x14ac:dyDescent="0.2">
      <c r="B13" s="86" t="s">
        <v>175</v>
      </c>
      <c r="D13">
        <v>62.7</v>
      </c>
      <c r="E13">
        <v>54.2</v>
      </c>
      <c r="F13">
        <v>62.633333333333297</v>
      </c>
      <c r="G13" s="146">
        <v>63.899884973907497</v>
      </c>
      <c r="H13">
        <v>64.959659038096405</v>
      </c>
      <c r="I13">
        <v>65.992611274880801</v>
      </c>
      <c r="J13">
        <v>67.096672542458407</v>
      </c>
      <c r="K13" s="146">
        <v>67.8361440863642</v>
      </c>
      <c r="L13">
        <v>68.512927405754894</v>
      </c>
      <c r="M13">
        <v>69.182849327437594</v>
      </c>
      <c r="N13">
        <v>69.883335657092701</v>
      </c>
      <c r="O13" s="146">
        <v>70.594114083310103</v>
      </c>
      <c r="P13">
        <v>71.308635090095393</v>
      </c>
      <c r="Q13">
        <v>71.993527334050398</v>
      </c>
      <c r="R13">
        <v>72.727385007104004</v>
      </c>
      <c r="S13" s="146">
        <v>73.503034829834405</v>
      </c>
      <c r="T13">
        <v>74.318293630243403</v>
      </c>
      <c r="U13">
        <v>75.119205871808106</v>
      </c>
      <c r="V13">
        <v>75.913256715664801</v>
      </c>
      <c r="W13" s="146">
        <v>76.721966000079604</v>
      </c>
      <c r="X13">
        <v>77.569660498745094</v>
      </c>
      <c r="Y13">
        <v>78.427335212258797</v>
      </c>
      <c r="Z13">
        <v>79.293430732050595</v>
      </c>
      <c r="AA13" s="146">
        <v>80.167011412978496</v>
      </c>
    </row>
    <row r="14" spans="1:27" ht="16" x14ac:dyDescent="0.2">
      <c r="B14" s="86" t="s">
        <v>176</v>
      </c>
      <c r="D14">
        <v>0.6</v>
      </c>
      <c r="E14">
        <v>0.6</v>
      </c>
      <c r="F14">
        <v>0.6</v>
      </c>
      <c r="G14" s="146">
        <v>0.60196494651670895</v>
      </c>
      <c r="H14">
        <v>0.60400462950948997</v>
      </c>
      <c r="I14">
        <v>0.60618755741474095</v>
      </c>
      <c r="J14">
        <v>0.60854487043082495</v>
      </c>
      <c r="K14" s="146">
        <v>0.61108591061725004</v>
      </c>
      <c r="L14">
        <v>0.613723485418602</v>
      </c>
      <c r="M14">
        <v>0.61640465649766196</v>
      </c>
      <c r="N14">
        <v>0.61912008179492095</v>
      </c>
      <c r="O14" s="146">
        <v>0.62186976131037996</v>
      </c>
      <c r="P14">
        <v>0.62465992308370999</v>
      </c>
      <c r="Q14">
        <v>0.62746254093638598</v>
      </c>
      <c r="R14">
        <v>0.63030564104693299</v>
      </c>
      <c r="S14" s="146">
        <v>0.633189223415353</v>
      </c>
      <c r="T14">
        <v>0.63610394598213604</v>
      </c>
      <c r="U14">
        <v>0.63902489658859096</v>
      </c>
      <c r="V14">
        <v>0.64196141729422795</v>
      </c>
      <c r="W14" s="146">
        <v>0.64491350809904702</v>
      </c>
      <c r="X14">
        <v>0.64787182694353795</v>
      </c>
      <c r="Y14">
        <v>0.65081457568884704</v>
      </c>
      <c r="Z14">
        <v>0.65376043845399301</v>
      </c>
      <c r="AA14" s="146">
        <v>0.65670630121913898</v>
      </c>
    </row>
    <row r="15" spans="1:27" ht="16" x14ac:dyDescent="0.2">
      <c r="B15" s="86" t="s">
        <v>177</v>
      </c>
      <c r="D15">
        <v>1228.1289999999999</v>
      </c>
      <c r="E15">
        <v>1336.74</v>
      </c>
      <c r="F15">
        <v>1328.7719999999999</v>
      </c>
      <c r="G15" s="146">
        <v>1334.5316252300399</v>
      </c>
      <c r="H15">
        <v>1340.2912504600699</v>
      </c>
      <c r="I15">
        <v>1346.0508756901099</v>
      </c>
      <c r="J15">
        <v>1351.8105009201399</v>
      </c>
      <c r="K15" s="146">
        <v>1386.19995908941</v>
      </c>
      <c r="L15">
        <v>1420.58941725868</v>
      </c>
      <c r="M15">
        <v>1454.97887542794</v>
      </c>
      <c r="N15">
        <v>1489.36833359721</v>
      </c>
      <c r="O15" s="146">
        <v>1493.5796252647899</v>
      </c>
      <c r="P15">
        <v>1497.79091693238</v>
      </c>
      <c r="Q15">
        <v>1502.0022085999601</v>
      </c>
      <c r="R15">
        <v>1506.21350026754</v>
      </c>
      <c r="S15" s="146">
        <v>1517.6836153346301</v>
      </c>
      <c r="T15">
        <v>1529.1537304017099</v>
      </c>
      <c r="U15">
        <v>1540.6238454688</v>
      </c>
      <c r="V15">
        <v>1552.0939605358799</v>
      </c>
      <c r="W15" s="146">
        <v>1589.1619043973101</v>
      </c>
      <c r="X15">
        <v>1626.22984825873</v>
      </c>
      <c r="Y15">
        <v>1663.29779212015</v>
      </c>
      <c r="Z15">
        <v>1700.36573598158</v>
      </c>
      <c r="AA15" s="146">
        <v>1728.05186986427</v>
      </c>
    </row>
    <row r="16" spans="1:27" ht="16" x14ac:dyDescent="0.2">
      <c r="B16" s="86" t="s">
        <v>168</v>
      </c>
      <c r="D16">
        <v>1574.779</v>
      </c>
      <c r="E16">
        <v>3697.6559999999999</v>
      </c>
      <c r="F16">
        <v>1936.7829999999999</v>
      </c>
      <c r="G16" s="146">
        <v>1672.7966214901101</v>
      </c>
      <c r="H16">
        <v>1465.5104337387199</v>
      </c>
      <c r="I16">
        <v>1299.0451766609799</v>
      </c>
      <c r="J16">
        <v>1183.6501317488301</v>
      </c>
      <c r="K16" s="146">
        <v>1212.0640991453099</v>
      </c>
      <c r="L16">
        <v>1217.7439353608499</v>
      </c>
      <c r="M16">
        <v>1208.96473324825</v>
      </c>
      <c r="N16">
        <v>1180.1644010795901</v>
      </c>
      <c r="O16" s="146">
        <v>1179.6784558214599</v>
      </c>
      <c r="P16">
        <v>1180.02832580887</v>
      </c>
      <c r="Q16">
        <v>1180.9498091133601</v>
      </c>
      <c r="R16">
        <v>1183.5090805705399</v>
      </c>
      <c r="S16" s="146">
        <v>1196.38174617907</v>
      </c>
      <c r="T16">
        <v>1208.7045594096801</v>
      </c>
      <c r="U16">
        <v>1218.4636238005401</v>
      </c>
      <c r="V16">
        <v>1226.65118879031</v>
      </c>
      <c r="W16" s="146">
        <v>1253.6401896636601</v>
      </c>
      <c r="X16">
        <v>1275.4564470571599</v>
      </c>
      <c r="Y16">
        <v>1292.69035143207</v>
      </c>
      <c r="Z16">
        <v>1304.8487753285599</v>
      </c>
      <c r="AA16" s="146">
        <v>1310.5588758504</v>
      </c>
    </row>
    <row r="17" spans="1:28" ht="16" x14ac:dyDescent="0.2">
      <c r="B17" s="86" t="s">
        <v>169</v>
      </c>
      <c r="D17">
        <v>3376.8</v>
      </c>
      <c r="E17">
        <v>3096.4</v>
      </c>
      <c r="F17">
        <v>3250.4</v>
      </c>
      <c r="G17" s="146">
        <v>3279.4707042488999</v>
      </c>
      <c r="H17">
        <v>3308.5414084977901</v>
      </c>
      <c r="I17">
        <v>3337.6121127466899</v>
      </c>
      <c r="J17">
        <v>3366.6828169955802</v>
      </c>
      <c r="K17" s="146">
        <v>3414.97665743072</v>
      </c>
      <c r="L17">
        <v>3463.2704978658498</v>
      </c>
      <c r="M17">
        <v>3511.5643383009901</v>
      </c>
      <c r="N17">
        <v>3559.85817873612</v>
      </c>
      <c r="O17" s="146">
        <v>3606.5959670229799</v>
      </c>
      <c r="P17">
        <v>3653.3337553098399</v>
      </c>
      <c r="Q17">
        <v>3700.0715435966999</v>
      </c>
      <c r="R17">
        <v>3746.8093318835599</v>
      </c>
      <c r="S17" s="146">
        <v>3782.1656535796701</v>
      </c>
      <c r="T17">
        <v>3817.5219752757798</v>
      </c>
      <c r="U17">
        <v>3852.87829697189</v>
      </c>
      <c r="V17">
        <v>3888.2346186680102</v>
      </c>
      <c r="W17" s="146">
        <v>3927.6869124648601</v>
      </c>
      <c r="X17">
        <v>3967.1392062617201</v>
      </c>
      <c r="Y17">
        <v>4006.5915000585701</v>
      </c>
      <c r="Z17">
        <v>4046.0437938554301</v>
      </c>
      <c r="AA17" s="146">
        <v>4091.8476387732799</v>
      </c>
    </row>
    <row r="18" spans="1:28" ht="16" x14ac:dyDescent="0.2">
      <c r="B18" s="86" t="s">
        <v>170</v>
      </c>
      <c r="D18">
        <v>180.5</v>
      </c>
      <c r="E18">
        <v>171.5</v>
      </c>
      <c r="F18">
        <v>193.9</v>
      </c>
      <c r="G18" s="146">
        <v>203.46905965472101</v>
      </c>
      <c r="H18">
        <v>213.03811930944201</v>
      </c>
      <c r="I18">
        <v>222.60717896416301</v>
      </c>
      <c r="J18">
        <v>232.17623861888401</v>
      </c>
      <c r="K18" s="146">
        <v>272.74113487866401</v>
      </c>
      <c r="L18">
        <v>313.30603113844398</v>
      </c>
      <c r="M18">
        <v>353.87092739822401</v>
      </c>
      <c r="N18">
        <v>394.43582365800398</v>
      </c>
      <c r="O18" s="146">
        <v>417.68987091583199</v>
      </c>
      <c r="P18">
        <v>440.94391817365999</v>
      </c>
      <c r="Q18">
        <v>464.197965431488</v>
      </c>
      <c r="R18">
        <v>487.45201268931601</v>
      </c>
      <c r="S18" s="146">
        <v>499.931263438028</v>
      </c>
      <c r="T18">
        <v>512.41051418674101</v>
      </c>
      <c r="U18">
        <v>524.88976493545294</v>
      </c>
      <c r="V18">
        <v>537.36901568416499</v>
      </c>
      <c r="W18" s="146">
        <v>549.34569255866097</v>
      </c>
      <c r="X18">
        <v>561.32236943315604</v>
      </c>
      <c r="Y18">
        <v>573.299046307651</v>
      </c>
      <c r="Z18">
        <v>585.27572318214595</v>
      </c>
      <c r="AA18" s="146">
        <v>587.36016206119598</v>
      </c>
    </row>
    <row r="19" spans="1:28" ht="16" x14ac:dyDescent="0.2">
      <c r="B19" s="86" t="s">
        <v>171</v>
      </c>
      <c r="D19">
        <v>74.5</v>
      </c>
      <c r="E19">
        <v>1085.9000000000001</v>
      </c>
      <c r="F19">
        <v>1211.7</v>
      </c>
      <c r="G19" s="146">
        <v>1215.66820949049</v>
      </c>
      <c r="H19">
        <v>1219.78734929441</v>
      </c>
      <c r="I19">
        <v>1224.19577219907</v>
      </c>
      <c r="J19">
        <v>1228.9563658350501</v>
      </c>
      <c r="K19" s="146">
        <v>1234.08799649154</v>
      </c>
      <c r="L19">
        <v>1239.41457880287</v>
      </c>
      <c r="M19">
        <v>1244.82920379703</v>
      </c>
      <c r="N19">
        <v>1250.31300518484</v>
      </c>
      <c r="O19" s="146">
        <v>1255.86598296631</v>
      </c>
      <c r="P19">
        <v>1261.50071466755</v>
      </c>
      <c r="Q19">
        <v>1267.1606014210299</v>
      </c>
      <c r="R19">
        <v>1272.9022420942799</v>
      </c>
      <c r="S19" s="146">
        <v>1278.72563668731</v>
      </c>
      <c r="T19">
        <v>1284.6119189109199</v>
      </c>
      <c r="U19">
        <v>1290.51077866066</v>
      </c>
      <c r="V19">
        <v>1296.44108222569</v>
      </c>
      <c r="W19" s="146">
        <v>1302.4028296060301</v>
      </c>
      <c r="X19">
        <v>1308.37715451247</v>
      </c>
      <c r="Y19">
        <v>1314.32003560363</v>
      </c>
      <c r="Z19">
        <v>1320.2692054578399</v>
      </c>
      <c r="AA19" s="146">
        <v>1326.2183753120501</v>
      </c>
    </row>
    <row r="20" spans="1:28" x14ac:dyDescent="0.2">
      <c r="B20" t="s">
        <v>197</v>
      </c>
      <c r="D20">
        <v>204.37100000000001</v>
      </c>
      <c r="E20">
        <v>884.26</v>
      </c>
      <c r="F20">
        <v>241.428</v>
      </c>
      <c r="G20" s="146">
        <v>228.42538380464799</v>
      </c>
      <c r="H20">
        <v>212.81817966260101</v>
      </c>
      <c r="I20">
        <v>197.64507351167001</v>
      </c>
      <c r="J20">
        <v>183.050764682226</v>
      </c>
      <c r="K20" s="146">
        <v>194.33260834913199</v>
      </c>
      <c r="L20">
        <v>206.40744830671201</v>
      </c>
      <c r="M20">
        <v>218.56402183082099</v>
      </c>
      <c r="N20">
        <v>231.450162767232</v>
      </c>
      <c r="O20" s="146">
        <v>243.697218746837</v>
      </c>
      <c r="P20">
        <v>256.68855568447401</v>
      </c>
      <c r="Q20">
        <v>269.06365627500099</v>
      </c>
      <c r="R20">
        <v>282.19002161326898</v>
      </c>
      <c r="S20" s="146">
        <v>284.06878742236199</v>
      </c>
      <c r="T20">
        <v>286.02397575074502</v>
      </c>
      <c r="U20">
        <v>288.02432115421698</v>
      </c>
      <c r="V20">
        <v>290.08195001278602</v>
      </c>
      <c r="W20" s="146">
        <v>290.64640085953198</v>
      </c>
      <c r="X20">
        <v>291.94560582935901</v>
      </c>
      <c r="Y20">
        <v>292.57635948132702</v>
      </c>
      <c r="Z20">
        <v>293.248747038462</v>
      </c>
      <c r="AA20" s="146">
        <v>293.65977826243102</v>
      </c>
    </row>
    <row r="22" spans="1:28" x14ac:dyDescent="0.2">
      <c r="E22" s="95"/>
      <c r="F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186</v>
      </c>
      <c r="B23" s="110"/>
      <c r="E23" s="95"/>
      <c r="F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186</v>
      </c>
      <c r="D24" s="102">
        <f>main!J86/1000</f>
        <v>156.18299999999999</v>
      </c>
      <c r="E24" s="104">
        <f>main!K86/1000</f>
        <v>212.911</v>
      </c>
      <c r="F24" s="104">
        <f>main!N86/1000</f>
        <v>185.0129415908018</v>
      </c>
      <c r="G24" s="149">
        <f>main!O86/1000</f>
        <v>188.34940607712278</v>
      </c>
      <c r="H24" s="104">
        <f>main!P86/1000</f>
        <v>190.22892728438111</v>
      </c>
      <c r="I24" s="104">
        <f>main!Q86/1000</f>
        <v>190.22892728438111</v>
      </c>
      <c r="J24" s="104">
        <f>main!R86/1000</f>
        <v>190.22892728438111</v>
      </c>
      <c r="K24" s="149">
        <f>main!S86/1000</f>
        <v>190.22892728438111</v>
      </c>
      <c r="L24" s="104">
        <f>main!T86/1000</f>
        <v>234.12791050385368</v>
      </c>
      <c r="M24" s="233">
        <f>main!U86/1000</f>
        <v>234.12791050385368</v>
      </c>
      <c r="N24" s="104">
        <f>M24*(1+N26)</f>
        <v>231.72574825591261</v>
      </c>
      <c r="O24" s="149">
        <f t="shared" ref="O24:AA24" si="0">N24*(1+O26)</f>
        <v>229.34716193319849</v>
      </c>
      <c r="P24" s="104">
        <f t="shared" si="0"/>
        <v>226.96857561048341</v>
      </c>
      <c r="Q24" s="104">
        <f t="shared" si="0"/>
        <v>224.5899892877693</v>
      </c>
      <c r="R24" s="104">
        <f t="shared" si="0"/>
        <v>222.21140296505516</v>
      </c>
      <c r="S24" s="149">
        <f t="shared" si="0"/>
        <v>224.71539075671095</v>
      </c>
      <c r="T24" s="104">
        <f t="shared" si="0"/>
        <v>227.2193785483677</v>
      </c>
      <c r="U24" s="104">
        <f t="shared" si="0"/>
        <v>229.72336634002446</v>
      </c>
      <c r="V24" s="104">
        <f t="shared" si="0"/>
        <v>232.22735413168024</v>
      </c>
      <c r="W24" s="149">
        <f t="shared" si="0"/>
        <v>235.39932647141626</v>
      </c>
      <c r="X24" s="104">
        <f t="shared" si="0"/>
        <v>238.57129881115134</v>
      </c>
      <c r="Y24" s="104">
        <f t="shared" si="0"/>
        <v>241.74327115088741</v>
      </c>
      <c r="Z24" s="104">
        <f t="shared" si="0"/>
        <v>244.91524349062246</v>
      </c>
      <c r="AA24" s="149">
        <f t="shared" si="0"/>
        <v>248.21598528861858</v>
      </c>
      <c r="AB24" s="95"/>
    </row>
    <row r="25" spans="1:28" x14ac:dyDescent="0.2">
      <c r="B25" t="s">
        <v>179</v>
      </c>
      <c r="D25" s="102">
        <f>D10</f>
        <v>200.67099999999999</v>
      </c>
      <c r="E25" s="104">
        <f t="shared" ref="E25:K25" si="1">E10</f>
        <v>156.16</v>
      </c>
      <c r="F25" s="104">
        <f t="shared" si="1"/>
        <v>212.928</v>
      </c>
      <c r="G25" s="149">
        <f t="shared" si="1"/>
        <v>221.05373389040901</v>
      </c>
      <c r="H25" s="104">
        <f t="shared" si="1"/>
        <v>229.17946778081901</v>
      </c>
      <c r="I25" s="104">
        <f t="shared" si="1"/>
        <v>237.30520167122799</v>
      </c>
      <c r="J25" s="104">
        <f t="shared" si="1"/>
        <v>245.430935561637</v>
      </c>
      <c r="K25" s="149">
        <f t="shared" si="1"/>
        <v>242.987997735091</v>
      </c>
      <c r="L25" s="104">
        <f t="shared" ref="L25:AA25" si="2">L10</f>
        <v>240.54505990854599</v>
      </c>
      <c r="M25" s="233">
        <f t="shared" si="2"/>
        <v>238.10212208199999</v>
      </c>
      <c r="N25" s="104">
        <f t="shared" si="2"/>
        <v>235.65918425545399</v>
      </c>
      <c r="O25" s="149">
        <f t="shared" si="2"/>
        <v>233.240222544419</v>
      </c>
      <c r="P25" s="104">
        <f t="shared" si="2"/>
        <v>230.82126083338301</v>
      </c>
      <c r="Q25" s="104">
        <f t="shared" si="2"/>
        <v>228.40229912234801</v>
      </c>
      <c r="R25" s="104">
        <f t="shared" si="2"/>
        <v>225.98333741131299</v>
      </c>
      <c r="S25" s="149">
        <f t="shared" si="2"/>
        <v>228.52982922246699</v>
      </c>
      <c r="T25" s="104">
        <f t="shared" si="2"/>
        <v>231.07632103362201</v>
      </c>
      <c r="U25" s="104">
        <f t="shared" si="2"/>
        <v>233.622812844777</v>
      </c>
      <c r="V25" s="104">
        <f t="shared" si="2"/>
        <v>236.169304655931</v>
      </c>
      <c r="W25" s="149">
        <f t="shared" si="2"/>
        <v>239.39511973987899</v>
      </c>
      <c r="X25" s="104">
        <f t="shared" si="2"/>
        <v>242.62093482382599</v>
      </c>
      <c r="Y25" s="104">
        <f t="shared" si="2"/>
        <v>245.84674990777401</v>
      </c>
      <c r="Z25" s="104">
        <f t="shared" si="2"/>
        <v>249.07256499172101</v>
      </c>
      <c r="AA25" s="149">
        <f t="shared" si="2"/>
        <v>252.42933533514699</v>
      </c>
      <c r="AB25" s="95"/>
    </row>
    <row r="26" spans="1:28" s="171" customFormat="1" ht="12" x14ac:dyDescent="0.15">
      <c r="B26" s="214" t="s">
        <v>283</v>
      </c>
      <c r="D26" s="240"/>
      <c r="E26" s="255"/>
      <c r="F26" s="255"/>
      <c r="G26" s="241"/>
      <c r="H26" s="255"/>
      <c r="I26" s="255"/>
      <c r="J26" s="255"/>
      <c r="K26" s="259"/>
      <c r="L26" s="242"/>
      <c r="M26" s="242"/>
      <c r="N26" s="242">
        <f t="shared" ref="N26" si="3">(N25/M25)-1</f>
        <v>-1.0260042225514798E-2</v>
      </c>
      <c r="O26" s="259">
        <f t="shared" ref="O26" si="4">(O25/N25)-1</f>
        <v>-1.0264661310262602E-2</v>
      </c>
      <c r="P26" s="242">
        <f t="shared" ref="P26" si="5">(P25/O25)-1</f>
        <v>-1.0371117316934075E-2</v>
      </c>
      <c r="Q26" s="242">
        <f t="shared" ref="Q26" si="6">(Q25/P25)-1</f>
        <v>-1.0479804599893949E-2</v>
      </c>
      <c r="R26" s="242">
        <f t="shared" ref="R26" si="7">(R25/Q25)-1</f>
        <v>-1.0590794052117936E-2</v>
      </c>
      <c r="S26" s="259">
        <f t="shared" ref="S26" si="8">(S25/R25)-1</f>
        <v>1.1268493687740966E-2</v>
      </c>
      <c r="T26" s="242">
        <f t="shared" ref="T26" si="9">(T25/S25)-1</f>
        <v>1.114292965526209E-2</v>
      </c>
      <c r="U26" s="242">
        <f t="shared" ref="U26" si="10">(U25/T25)-1</f>
        <v>1.1020133087476625E-2</v>
      </c>
      <c r="V26" s="242">
        <f t="shared" ref="V26" si="11">(V25/U25)-1</f>
        <v>1.0900013488177374E-2</v>
      </c>
      <c r="W26" s="259">
        <f t="shared" ref="W26" si="12">(W25/V25)-1</f>
        <v>1.3658909182324042E-2</v>
      </c>
      <c r="X26" s="242">
        <f t="shared" ref="X26" si="13">(X25/W25)-1</f>
        <v>1.3474857329807355E-2</v>
      </c>
      <c r="Y26" s="242">
        <f t="shared" ref="Y26" si="14">(Y25/X25)-1</f>
        <v>1.3295699673609773E-2</v>
      </c>
      <c r="Z26" s="242">
        <f t="shared" ref="Z26" si="15">(Z25/Y25)-1</f>
        <v>1.3121243559888862E-2</v>
      </c>
      <c r="AA26" s="259">
        <f t="shared" ref="AA26" si="16">(AA25/Z25)-1</f>
        <v>1.34770778288551E-2</v>
      </c>
      <c r="AB26" s="256"/>
    </row>
    <row r="27" spans="1:28" s="97" customFormat="1" x14ac:dyDescent="0.2">
      <c r="B27" s="99" t="s">
        <v>180</v>
      </c>
      <c r="D27" s="103"/>
      <c r="E27" s="226"/>
      <c r="F27" s="226">
        <f t="shared" ref="F27" si="17">F24-F25</f>
        <v>-27.915058409198195</v>
      </c>
      <c r="G27" s="150">
        <f t="shared" ref="G27" si="18">G24-G25</f>
        <v>-32.704327813286227</v>
      </c>
      <c r="H27" s="226">
        <f t="shared" ref="H27" si="19">H24-H25</f>
        <v>-38.950540496437895</v>
      </c>
      <c r="I27" s="226">
        <f t="shared" ref="I27" si="20">I24-I25</f>
        <v>-47.076274386846876</v>
      </c>
      <c r="J27" s="226">
        <f t="shared" ref="J27" si="21">J24-J25</f>
        <v>-55.202008277255885</v>
      </c>
      <c r="K27" s="150">
        <f t="shared" ref="K27:AA27" si="22">K24-K25</f>
        <v>-52.759070450709885</v>
      </c>
      <c r="L27" s="226">
        <f t="shared" si="22"/>
        <v>-6.4171494046923101</v>
      </c>
      <c r="M27" s="252">
        <f t="shared" si="22"/>
        <v>-3.9742115781463099</v>
      </c>
      <c r="N27" s="226">
        <f t="shared" si="22"/>
        <v>-3.9334359995413877</v>
      </c>
      <c r="O27" s="150">
        <f t="shared" si="22"/>
        <v>-3.8930606112205055</v>
      </c>
      <c r="P27" s="226">
        <f t="shared" si="22"/>
        <v>-3.8526852228995949</v>
      </c>
      <c r="Q27" s="226">
        <f t="shared" si="22"/>
        <v>-3.8123098345787128</v>
      </c>
      <c r="R27" s="226">
        <f t="shared" si="22"/>
        <v>-3.7719344462578306</v>
      </c>
      <c r="S27" s="150">
        <f t="shared" si="22"/>
        <v>-3.8144384657560408</v>
      </c>
      <c r="T27" s="226">
        <f t="shared" si="22"/>
        <v>-3.8569424852543079</v>
      </c>
      <c r="U27" s="226">
        <f t="shared" si="22"/>
        <v>-3.8994465047525466</v>
      </c>
      <c r="V27" s="226">
        <f t="shared" si="22"/>
        <v>-3.9419505242507569</v>
      </c>
      <c r="W27" s="150">
        <f t="shared" si="22"/>
        <v>-3.9957932684627337</v>
      </c>
      <c r="X27" s="226">
        <f t="shared" si="22"/>
        <v>-4.0496360126746538</v>
      </c>
      <c r="Y27" s="226">
        <f t="shared" si="22"/>
        <v>-4.1034787568866022</v>
      </c>
      <c r="Z27" s="226">
        <f t="shared" si="22"/>
        <v>-4.1573215010985507</v>
      </c>
      <c r="AA27" s="150">
        <f t="shared" si="22"/>
        <v>-4.2133500465284044</v>
      </c>
      <c r="AB27" s="257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189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189</v>
      </c>
      <c r="D31" s="102"/>
      <c r="E31" s="104">
        <f>main!J87/1000</f>
        <v>420.935</v>
      </c>
      <c r="F31" s="104">
        <f>main!K87/1000</f>
        <v>284.60899999999998</v>
      </c>
      <c r="G31" s="104">
        <f>main!N87/1000</f>
        <v>222.80138749999995</v>
      </c>
      <c r="H31" s="104">
        <f>main!O87/1000</f>
        <v>203.15839096874998</v>
      </c>
      <c r="I31" s="104">
        <f>main!P87/1000</f>
        <v>187.5162869461719</v>
      </c>
      <c r="J31" s="104">
        <f>main!Q87/1000</f>
        <v>188.23386838090269</v>
      </c>
      <c r="K31" s="104">
        <f>main!R87/1000</f>
        <v>189.31562239375944</v>
      </c>
      <c r="L31" s="104">
        <f>main!S87/1000</f>
        <v>190.76877861769708</v>
      </c>
      <c r="M31" s="104">
        <f>main!T87/1000</f>
        <v>192.3148066379436</v>
      </c>
      <c r="N31" s="104">
        <f>main!U87/1000</f>
        <v>193.70806509097224</v>
      </c>
      <c r="O31" s="104">
        <f>main!V87/1000</f>
        <v>194.93633241140492</v>
      </c>
      <c r="P31" s="104">
        <f>main!W87/1000</f>
        <v>0</v>
      </c>
      <c r="Q31" s="104">
        <f>main!X87/1000</f>
        <v>0</v>
      </c>
      <c r="R31" s="104">
        <f>main!Y87/1000</f>
        <v>0</v>
      </c>
      <c r="S31" s="104">
        <f>main!Z87/1000</f>
        <v>0</v>
      </c>
      <c r="T31" s="104">
        <f>main!AA87/1000</f>
        <v>0</v>
      </c>
      <c r="U31" s="104">
        <f>main!AB87/1000</f>
        <v>0</v>
      </c>
      <c r="V31" s="104">
        <f>main!AC87/1000</f>
        <v>0</v>
      </c>
      <c r="W31" s="104">
        <f>main!AD87/1000</f>
        <v>0</v>
      </c>
      <c r="X31" s="104">
        <f>main!AE87/1000</f>
        <v>0</v>
      </c>
      <c r="Y31" s="104">
        <f>main!AF87/1000</f>
        <v>0</v>
      </c>
      <c r="Z31" s="104">
        <f>main!AG87/1000</f>
        <v>0</v>
      </c>
      <c r="AA31" s="104">
        <f>main!AH87/1000</f>
        <v>0</v>
      </c>
      <c r="AB31" s="95"/>
    </row>
    <row r="32" spans="1:28" x14ac:dyDescent="0.2">
      <c r="B32" t="s">
        <v>179</v>
      </c>
      <c r="D32" s="102">
        <f>D11</f>
        <v>186.02099999999999</v>
      </c>
      <c r="E32" s="104">
        <f t="shared" ref="E32:K32" si="23">E11</f>
        <v>436.94400000000002</v>
      </c>
      <c r="F32" s="104">
        <f t="shared" si="23"/>
        <v>878.91700000000003</v>
      </c>
      <c r="G32" s="149">
        <f t="shared" si="23"/>
        <v>915.35852224998098</v>
      </c>
      <c r="H32" s="104">
        <f t="shared" si="23"/>
        <v>914.68514436821897</v>
      </c>
      <c r="I32" s="104">
        <f t="shared" si="23"/>
        <v>915.98381158882398</v>
      </c>
      <c r="J32" s="104">
        <f t="shared" si="23"/>
        <v>910.92811125735602</v>
      </c>
      <c r="K32" s="149">
        <f t="shared" si="23"/>
        <v>936.84227045007503</v>
      </c>
      <c r="L32" s="233">
        <f t="shared" ref="L32:AA32" si="24">L11</f>
        <v>964.58239733017194</v>
      </c>
      <c r="M32" s="104">
        <f t="shared" si="24"/>
        <v>991.08086618285097</v>
      </c>
      <c r="N32" s="104">
        <f t="shared" si="24"/>
        <v>1015.7533673481501</v>
      </c>
      <c r="O32" s="149">
        <f t="shared" si="24"/>
        <v>1038.3751146234099</v>
      </c>
      <c r="P32" s="104">
        <f t="shared" si="24"/>
        <v>1060.4855909462101</v>
      </c>
      <c r="Q32" s="104">
        <f t="shared" si="24"/>
        <v>1084.2029188339</v>
      </c>
      <c r="R32" s="104">
        <f t="shared" si="24"/>
        <v>1107.7741693066</v>
      </c>
      <c r="S32" s="149">
        <f t="shared" si="24"/>
        <v>1115.1909072671201</v>
      </c>
      <c r="T32" s="104">
        <f t="shared" si="24"/>
        <v>1123.4841097175899</v>
      </c>
      <c r="U32" s="104">
        <f t="shared" si="24"/>
        <v>1132.5807379505</v>
      </c>
      <c r="V32" s="104">
        <f t="shared" si="24"/>
        <v>1142.84598550333</v>
      </c>
      <c r="W32" s="149">
        <f t="shared" si="24"/>
        <v>1151.10026686124</v>
      </c>
      <c r="X32" s="104">
        <f t="shared" si="24"/>
        <v>1159.20847080416</v>
      </c>
      <c r="Y32" s="104">
        <f t="shared" si="24"/>
        <v>1167.9009844070299</v>
      </c>
      <c r="Z32" s="104">
        <f t="shared" si="24"/>
        <v>1177.2508463773599</v>
      </c>
      <c r="AA32" s="149">
        <f t="shared" si="24"/>
        <v>1186.75511810546</v>
      </c>
      <c r="AB32" s="95"/>
    </row>
    <row r="33" spans="1:28" s="171" customFormat="1" ht="12" x14ac:dyDescent="0.15">
      <c r="B33" s="214" t="s">
        <v>283</v>
      </c>
      <c r="D33" s="240"/>
      <c r="E33" s="255"/>
      <c r="F33" s="255"/>
      <c r="G33" s="241"/>
      <c r="H33" s="255"/>
      <c r="I33" s="255"/>
      <c r="J33" s="255"/>
      <c r="K33" s="259"/>
      <c r="L33" s="242"/>
      <c r="M33" s="242">
        <f t="shared" ref="M33" si="25">(M32/L32)-1</f>
        <v>2.747144145074909E-2</v>
      </c>
      <c r="N33" s="242">
        <f t="shared" ref="N33" si="26">(N32/M32)-1</f>
        <v>2.4894538888966089E-2</v>
      </c>
      <c r="O33" s="259">
        <f t="shared" ref="O33" si="27">(O32/N32)-1</f>
        <v>2.2270905519436335E-2</v>
      </c>
      <c r="P33" s="242">
        <f t="shared" ref="P33" si="28">(P32/O32)-1</f>
        <v>2.1293341887164807E-2</v>
      </c>
      <c r="Q33" s="242">
        <f t="shared" ref="Q33" si="29">(Q32/P32)-1</f>
        <v>2.2364592305802233E-2</v>
      </c>
      <c r="R33" s="242">
        <f t="shared" ref="R33" si="30">(R32/Q32)-1</f>
        <v>2.1740626282441555E-2</v>
      </c>
      <c r="S33" s="259">
        <f t="shared" ref="S33" si="31">(S32/R32)-1</f>
        <v>6.6951714221343828E-3</v>
      </c>
      <c r="T33" s="242">
        <f t="shared" ref="T33" si="32">(T32/S32)-1</f>
        <v>7.4365764609694018E-3</v>
      </c>
      <c r="U33" s="242">
        <f t="shared" ref="U33" si="33">(U32/T32)-1</f>
        <v>8.0968018632650018E-3</v>
      </c>
      <c r="V33" s="242">
        <f t="shared" ref="V33" si="34">(V32/U32)-1</f>
        <v>9.0635900901916422E-3</v>
      </c>
      <c r="W33" s="259">
        <f t="shared" ref="W33" si="35">(W32/V32)-1</f>
        <v>7.2225666998118054E-3</v>
      </c>
      <c r="X33" s="242">
        <f t="shared" ref="X33" si="36">(X32/W32)-1</f>
        <v>7.0438728721946564E-3</v>
      </c>
      <c r="Y33" s="242">
        <f t="shared" ref="Y33" si="37">(Y32/X32)-1</f>
        <v>7.4986629426885276E-3</v>
      </c>
      <c r="Z33" s="242">
        <f t="shared" ref="Z33" si="38">(Z32/Y32)-1</f>
        <v>8.0056974822031446E-3</v>
      </c>
      <c r="AA33" s="259">
        <f t="shared" ref="AA33" si="39">(AA32/Z32)-1</f>
        <v>8.0732766150448665E-3</v>
      </c>
      <c r="AB33" s="256"/>
    </row>
    <row r="34" spans="1:28" s="97" customFormat="1" x14ac:dyDescent="0.2">
      <c r="B34" s="99" t="s">
        <v>180</v>
      </c>
      <c r="D34" s="103"/>
      <c r="E34" s="226"/>
      <c r="F34" s="226">
        <f t="shared" ref="F34" si="40">F31-F32</f>
        <v>-594.30799999999999</v>
      </c>
      <c r="G34" s="150">
        <f t="shared" ref="G34" si="41">G31-G32</f>
        <v>-692.55713474998106</v>
      </c>
      <c r="H34" s="226">
        <f t="shared" ref="H34" si="42">H31-H32</f>
        <v>-711.52675339946904</v>
      </c>
      <c r="I34" s="226">
        <f t="shared" ref="I34" si="43">I31-I32</f>
        <v>-728.46752464265205</v>
      </c>
      <c r="J34" s="226">
        <f t="shared" ref="J34" si="44">J31-J32</f>
        <v>-722.69424287645336</v>
      </c>
      <c r="K34" s="150">
        <f t="shared" ref="K34:N34" si="45">K31-K32</f>
        <v>-747.52664805631559</v>
      </c>
      <c r="L34" s="252">
        <f t="shared" si="45"/>
        <v>-773.81361871247486</v>
      </c>
      <c r="M34" s="226">
        <f t="shared" si="45"/>
        <v>-798.76605954490742</v>
      </c>
      <c r="N34" s="226">
        <f t="shared" si="45"/>
        <v>-822.04530225717781</v>
      </c>
      <c r="O34" s="150">
        <f t="shared" ref="O34:AA34" si="46">O31-O32</f>
        <v>-843.43878221200498</v>
      </c>
      <c r="P34" s="150">
        <f t="shared" si="46"/>
        <v>-1060.4855909462101</v>
      </c>
      <c r="Q34" s="150">
        <f t="shared" si="46"/>
        <v>-1084.2029188339</v>
      </c>
      <c r="R34" s="150">
        <f t="shared" si="46"/>
        <v>-1107.7741693066</v>
      </c>
      <c r="S34" s="150">
        <f t="shared" si="46"/>
        <v>-1115.1909072671201</v>
      </c>
      <c r="T34" s="150">
        <f t="shared" si="46"/>
        <v>-1123.4841097175899</v>
      </c>
      <c r="U34" s="150">
        <f t="shared" si="46"/>
        <v>-1132.5807379505</v>
      </c>
      <c r="V34" s="150">
        <f t="shared" si="46"/>
        <v>-1142.84598550333</v>
      </c>
      <c r="W34" s="150">
        <f t="shared" si="46"/>
        <v>-1151.10026686124</v>
      </c>
      <c r="X34" s="150">
        <f t="shared" si="46"/>
        <v>-1159.20847080416</v>
      </c>
      <c r="Y34" s="150">
        <f t="shared" si="46"/>
        <v>-1167.9009844070299</v>
      </c>
      <c r="Z34" s="150">
        <f t="shared" si="46"/>
        <v>-1177.2508463773599</v>
      </c>
      <c r="AA34" s="150">
        <f t="shared" si="46"/>
        <v>-1186.75511810546</v>
      </c>
      <c r="AB34" s="257"/>
    </row>
    <row r="35" spans="1:28" s="97" customFormat="1" x14ac:dyDescent="0.2">
      <c r="B35" s="99"/>
      <c r="D35" s="103"/>
      <c r="E35" s="226"/>
      <c r="F35" s="226"/>
      <c r="G35" s="150"/>
      <c r="H35" s="226"/>
      <c r="I35" s="226"/>
      <c r="J35" s="226"/>
      <c r="K35" s="150"/>
      <c r="L35" s="226"/>
      <c r="M35" s="226"/>
      <c r="N35" s="226"/>
      <c r="O35" s="184"/>
      <c r="P35" s="257"/>
      <c r="Q35" s="257"/>
      <c r="R35" s="257"/>
      <c r="S35" s="184"/>
      <c r="T35" s="257"/>
      <c r="U35" s="257"/>
      <c r="V35" s="257"/>
      <c r="W35" s="184"/>
      <c r="X35" s="257"/>
      <c r="Y35" s="257"/>
      <c r="Z35" s="257"/>
      <c r="AA35" s="184"/>
      <c r="AB35" s="257"/>
    </row>
    <row r="36" spans="1:28" s="97" customFormat="1" x14ac:dyDescent="0.2">
      <c r="B36" s="99"/>
      <c r="D36" s="103"/>
      <c r="E36" s="226"/>
      <c r="F36" s="226"/>
      <c r="G36" s="150"/>
      <c r="H36" s="226"/>
      <c r="I36" s="226"/>
      <c r="J36" s="226"/>
      <c r="K36" s="150"/>
      <c r="L36" s="226"/>
      <c r="M36" s="226"/>
      <c r="N36" s="226"/>
      <c r="O36" s="184"/>
      <c r="P36" s="257"/>
      <c r="Q36" s="257"/>
      <c r="R36" s="257"/>
      <c r="S36" s="184"/>
      <c r="T36" s="257"/>
      <c r="U36" s="257"/>
      <c r="V36" s="257"/>
      <c r="W36" s="184"/>
      <c r="X36" s="257"/>
      <c r="Y36" s="257"/>
      <c r="Z36" s="257"/>
      <c r="AA36" s="184"/>
      <c r="AB36" s="257"/>
    </row>
    <row r="37" spans="1:28" ht="19" x14ac:dyDescent="0.25">
      <c r="A37" s="110" t="s">
        <v>185</v>
      </c>
      <c r="B37" s="110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275</v>
      </c>
      <c r="D38" s="102"/>
      <c r="E38" s="104">
        <f>main!J22</f>
        <v>1779.8019999999999</v>
      </c>
      <c r="F38" s="104">
        <f>main!K22</f>
        <v>1840.777</v>
      </c>
      <c r="G38" s="149">
        <f>main!N22</f>
        <v>1878.0006156883685</v>
      </c>
      <c r="H38" s="104">
        <f>main!O22</f>
        <v>1909.1470934300717</v>
      </c>
      <c r="I38" s="104">
        <f>main!P22</f>
        <v>1939.5052848016164</v>
      </c>
      <c r="J38" s="104">
        <f>main!Q22</f>
        <v>1971.9533516661329</v>
      </c>
      <c r="K38" s="149">
        <f>main!R22</f>
        <v>1993.6862235688991</v>
      </c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B39" t="s">
        <v>179</v>
      </c>
      <c r="D39" s="102">
        <f t="shared" ref="D39:K39" si="47">D12</f>
        <v>1862.4</v>
      </c>
      <c r="E39" s="104">
        <f t="shared" si="47"/>
        <v>1779.8</v>
      </c>
      <c r="F39" s="104">
        <f t="shared" si="47"/>
        <v>1840.7</v>
      </c>
      <c r="G39" s="149">
        <f t="shared" si="47"/>
        <v>1877.9220586184899</v>
      </c>
      <c r="H39" s="104">
        <f t="shared" si="47"/>
        <v>1909.0672334979899</v>
      </c>
      <c r="I39" s="104">
        <f t="shared" si="47"/>
        <v>1939.4241549814799</v>
      </c>
      <c r="J39" s="104">
        <f t="shared" si="47"/>
        <v>1971.8708645381</v>
      </c>
      <c r="K39" s="149">
        <f t="shared" si="47"/>
        <v>1993.60282735131</v>
      </c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s="97" customFormat="1" x14ac:dyDescent="0.2">
      <c r="B40" s="99" t="s">
        <v>180</v>
      </c>
      <c r="D40" s="103"/>
      <c r="E40" s="226"/>
      <c r="F40" s="226">
        <f>F38-F39</f>
        <v>7.6999999999998181E-2</v>
      </c>
      <c r="G40" s="150">
        <f t="shared" ref="G40:K40" si="48">G38-G39</f>
        <v>7.8557069878570474E-2</v>
      </c>
      <c r="H40" s="226">
        <f t="shared" si="48"/>
        <v>7.9859932081717488E-2</v>
      </c>
      <c r="I40" s="226">
        <f t="shared" si="48"/>
        <v>8.112982013653891E-2</v>
      </c>
      <c r="J40" s="226">
        <f t="shared" si="48"/>
        <v>8.2487128032880719E-2</v>
      </c>
      <c r="K40" s="150">
        <f t="shared" si="48"/>
        <v>8.3396217589097432E-2</v>
      </c>
      <c r="L40" s="226">
        <v>0</v>
      </c>
      <c r="M40" s="226">
        <v>0</v>
      </c>
      <c r="N40" s="226">
        <v>0</v>
      </c>
      <c r="O40" s="150">
        <v>0</v>
      </c>
      <c r="P40" s="226">
        <v>0</v>
      </c>
      <c r="Q40" s="226">
        <v>0</v>
      </c>
      <c r="R40" s="226">
        <v>0</v>
      </c>
      <c r="S40" s="150">
        <v>0</v>
      </c>
      <c r="T40" s="226">
        <v>0</v>
      </c>
      <c r="U40" s="226">
        <v>0</v>
      </c>
      <c r="V40" s="226">
        <v>0</v>
      </c>
      <c r="W40" s="150">
        <v>0</v>
      </c>
      <c r="X40" s="226">
        <v>0</v>
      </c>
      <c r="Y40" s="226">
        <v>0</v>
      </c>
      <c r="Z40" s="226">
        <v>0</v>
      </c>
      <c r="AA40" s="150">
        <v>0</v>
      </c>
      <c r="AB40" s="257"/>
    </row>
    <row r="41" spans="1:28" x14ac:dyDescent="0.2">
      <c r="D41" s="102"/>
      <c r="E41" s="104"/>
      <c r="F41" s="104"/>
      <c r="G41" s="149"/>
      <c r="H41" s="104"/>
      <c r="I41" s="104"/>
      <c r="J41" s="104"/>
      <c r="K41" s="149"/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ht="19" x14ac:dyDescent="0.25">
      <c r="A43" s="110" t="s">
        <v>184</v>
      </c>
      <c r="B43" s="110"/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x14ac:dyDescent="0.2">
      <c r="B44" t="s">
        <v>275</v>
      </c>
      <c r="D44" s="102"/>
      <c r="E44" s="104">
        <f>main!J26</f>
        <v>54.2</v>
      </c>
      <c r="F44" s="104">
        <f>main!K26</f>
        <v>58.746723633587941</v>
      </c>
      <c r="G44" s="149">
        <f>main!N26</f>
        <v>59.934681470679273</v>
      </c>
      <c r="H44" s="104">
        <f>main!O26</f>
        <v>60.928692977804552</v>
      </c>
      <c r="I44" s="104">
        <f>main!P26</f>
        <v>61.897547042430361</v>
      </c>
      <c r="J44" s="104">
        <f>main!Q26</f>
        <v>62.933097582519643</v>
      </c>
      <c r="K44" s="149">
        <f>main!R26</f>
        <v>63.626682421658749</v>
      </c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B45" t="s">
        <v>179</v>
      </c>
      <c r="D45" s="102">
        <f t="shared" ref="D45:K45" si="49">D13</f>
        <v>62.7</v>
      </c>
      <c r="E45" s="104">
        <f t="shared" si="49"/>
        <v>54.2</v>
      </c>
      <c r="F45" s="104">
        <f t="shared" si="49"/>
        <v>62.633333333333297</v>
      </c>
      <c r="G45" s="149">
        <f t="shared" si="49"/>
        <v>63.899884973907497</v>
      </c>
      <c r="H45" s="104">
        <f t="shared" si="49"/>
        <v>64.959659038096405</v>
      </c>
      <c r="I45" s="104">
        <f t="shared" si="49"/>
        <v>65.992611274880801</v>
      </c>
      <c r="J45" s="104">
        <f t="shared" si="49"/>
        <v>67.096672542458407</v>
      </c>
      <c r="K45" s="149">
        <f t="shared" si="49"/>
        <v>67.8361440863642</v>
      </c>
      <c r="L45" s="104"/>
      <c r="M45" s="104"/>
      <c r="N45" s="104"/>
      <c r="O45" s="149"/>
      <c r="P45" s="104"/>
      <c r="Q45" s="104"/>
      <c r="R45" s="104"/>
      <c r="S45" s="149"/>
      <c r="T45" s="95"/>
      <c r="U45" s="95"/>
      <c r="V45" s="95"/>
      <c r="X45" s="95"/>
      <c r="Y45" s="95"/>
      <c r="Z45" s="95"/>
      <c r="AB45" s="95"/>
    </row>
    <row r="46" spans="1:28" s="97" customFormat="1" x14ac:dyDescent="0.2">
      <c r="B46" s="99" t="s">
        <v>180</v>
      </c>
      <c r="D46" s="103"/>
      <c r="E46" s="226"/>
      <c r="F46" s="226">
        <f>F44-F45</f>
        <v>-3.8866096997453567</v>
      </c>
      <c r="G46" s="150">
        <f t="shared" ref="G46:K46" si="50">G44-G45</f>
        <v>-3.9652035032282242</v>
      </c>
      <c r="H46" s="226">
        <f t="shared" si="50"/>
        <v>-4.0309660602918527</v>
      </c>
      <c r="I46" s="226">
        <f t="shared" si="50"/>
        <v>-4.09506423245044</v>
      </c>
      <c r="J46" s="226">
        <f t="shared" si="50"/>
        <v>-4.1635749599387637</v>
      </c>
      <c r="K46" s="150">
        <f t="shared" si="50"/>
        <v>-4.2094616647054508</v>
      </c>
      <c r="L46" s="226">
        <v>0</v>
      </c>
      <c r="M46" s="226">
        <v>0</v>
      </c>
      <c r="N46" s="226">
        <v>0</v>
      </c>
      <c r="O46" s="150">
        <v>0</v>
      </c>
      <c r="P46" s="226">
        <v>0</v>
      </c>
      <c r="Q46" s="226">
        <v>0</v>
      </c>
      <c r="R46" s="226">
        <v>0</v>
      </c>
      <c r="S46" s="150">
        <v>0</v>
      </c>
      <c r="T46" s="226">
        <v>0</v>
      </c>
      <c r="U46" s="226">
        <v>0</v>
      </c>
      <c r="V46" s="226">
        <v>0</v>
      </c>
      <c r="W46" s="150">
        <v>0</v>
      </c>
      <c r="X46" s="226">
        <v>0</v>
      </c>
      <c r="Y46" s="226">
        <v>0</v>
      </c>
      <c r="Z46" s="226">
        <v>0</v>
      </c>
      <c r="AA46" s="150">
        <v>0</v>
      </c>
      <c r="AB46" s="257"/>
    </row>
    <row r="47" spans="1:28" x14ac:dyDescent="0.2">
      <c r="D47" s="102"/>
      <c r="E47" s="104"/>
      <c r="F47" s="104"/>
      <c r="G47" s="149"/>
      <c r="H47" s="104"/>
      <c r="I47" s="104"/>
      <c r="J47" s="104"/>
      <c r="K47" s="149"/>
      <c r="L47" s="104"/>
      <c r="M47" s="104"/>
      <c r="N47" s="104"/>
      <c r="P47" s="95"/>
      <c r="Q47" s="95"/>
      <c r="R47" s="95"/>
      <c r="T47" s="95"/>
      <c r="U47" s="95"/>
      <c r="V47" s="95"/>
      <c r="X47" s="95"/>
      <c r="Y47" s="95"/>
      <c r="Z47" s="95"/>
      <c r="AB47" s="95"/>
    </row>
    <row r="48" spans="1:28" x14ac:dyDescent="0.2">
      <c r="D48" s="102"/>
      <c r="E48" s="104"/>
      <c r="F48" s="104"/>
      <c r="G48" s="149"/>
      <c r="H48" s="104"/>
      <c r="I48" s="104"/>
      <c r="J48" s="104"/>
      <c r="K48" s="149"/>
      <c r="L48" s="104"/>
      <c r="M48" s="104"/>
      <c r="N48" s="104"/>
      <c r="P48" s="95"/>
      <c r="Q48" s="95"/>
      <c r="R48" s="95"/>
      <c r="T48" s="95"/>
      <c r="U48" s="95"/>
      <c r="V48" s="95"/>
      <c r="X48" s="95"/>
      <c r="Y48" s="95"/>
      <c r="Z48" s="95"/>
      <c r="AB48" s="95"/>
    </row>
    <row r="49" spans="1:28" ht="19" x14ac:dyDescent="0.25">
      <c r="A49" s="105" t="s">
        <v>190</v>
      </c>
      <c r="B49" s="105"/>
      <c r="D49" s="102"/>
      <c r="E49" s="104"/>
      <c r="F49" s="104"/>
      <c r="G49" s="149"/>
      <c r="H49" s="104"/>
      <c r="I49" s="104"/>
      <c r="J49" s="104"/>
      <c r="K49" s="149"/>
      <c r="L49" s="104"/>
      <c r="M49" s="104"/>
      <c r="N49" s="104"/>
      <c r="P49" s="95"/>
      <c r="Q49" s="95"/>
      <c r="R49" s="95"/>
      <c r="T49" s="95"/>
      <c r="U49" s="95"/>
      <c r="V49" s="95"/>
      <c r="X49" s="95"/>
      <c r="Y49" s="95"/>
      <c r="Z49" s="95"/>
      <c r="AB49" s="95"/>
    </row>
    <row r="50" spans="1:28" x14ac:dyDescent="0.2">
      <c r="B50" t="s">
        <v>190</v>
      </c>
      <c r="D50" s="102"/>
      <c r="E50" s="104">
        <f>main!J69/1000</f>
        <v>1336.6980000000001</v>
      </c>
      <c r="F50" s="104">
        <f>main!K69/1000</f>
        <v>1328.8050000000001</v>
      </c>
      <c r="G50" s="149">
        <f>main!N69/1000</f>
        <v>1379.6284822957259</v>
      </c>
      <c r="H50" s="104">
        <f>main!O69/1000</f>
        <v>1399.5711424983735</v>
      </c>
      <c r="I50" s="104">
        <f>main!P69/1000</f>
        <v>1415.4950476426566</v>
      </c>
      <c r="J50" s="233">
        <f>main!Q69/1000</f>
        <v>1426.1990425714889</v>
      </c>
      <c r="K50" s="149">
        <f>J50*(1+K52)</f>
        <v>1462.4809121694693</v>
      </c>
      <c r="L50" s="104">
        <f t="shared" ref="L50:AA50" si="51">K50*(1+L52)</f>
        <v>1498.7627817674497</v>
      </c>
      <c r="M50" s="104">
        <f t="shared" si="51"/>
        <v>1535.0446513654199</v>
      </c>
      <c r="N50" s="104">
        <f t="shared" si="51"/>
        <v>1571.3265209634003</v>
      </c>
      <c r="O50" s="149">
        <f t="shared" si="51"/>
        <v>1575.7695550574567</v>
      </c>
      <c r="P50" s="104">
        <f t="shared" si="51"/>
        <v>1580.2125891515238</v>
      </c>
      <c r="Q50" s="104">
        <f t="shared" si="51"/>
        <v>1584.6556232455805</v>
      </c>
      <c r="R50" s="104">
        <f t="shared" si="51"/>
        <v>1589.0986573396369</v>
      </c>
      <c r="S50" s="149">
        <f t="shared" si="51"/>
        <v>1601.199959345897</v>
      </c>
      <c r="T50" s="104">
        <f t="shared" si="51"/>
        <v>1613.3012613521466</v>
      </c>
      <c r="U50" s="104">
        <f t="shared" si="51"/>
        <v>1625.402563358407</v>
      </c>
      <c r="V50" s="104">
        <f t="shared" si="51"/>
        <v>1637.5038653646566</v>
      </c>
      <c r="W50" s="149">
        <f t="shared" si="51"/>
        <v>1676.6116145715764</v>
      </c>
      <c r="X50" s="104">
        <f t="shared" si="51"/>
        <v>1715.7193637784853</v>
      </c>
      <c r="Y50" s="104">
        <f t="shared" si="51"/>
        <v>1754.8271129853945</v>
      </c>
      <c r="Z50" s="104">
        <f t="shared" si="51"/>
        <v>1793.9348621923141</v>
      </c>
      <c r="AA50" s="149">
        <f t="shared" si="51"/>
        <v>1823.1445314537391</v>
      </c>
      <c r="AB50" s="95"/>
    </row>
    <row r="51" spans="1:28" x14ac:dyDescent="0.2">
      <c r="B51" t="s">
        <v>179</v>
      </c>
      <c r="D51" s="102">
        <f t="shared" ref="D51:K51" si="52">D15</f>
        <v>1228.1289999999999</v>
      </c>
      <c r="E51" s="104">
        <f t="shared" si="52"/>
        <v>1336.74</v>
      </c>
      <c r="F51" s="104">
        <f t="shared" si="52"/>
        <v>1328.7719999999999</v>
      </c>
      <c r="G51" s="149">
        <f t="shared" si="52"/>
        <v>1334.5316252300399</v>
      </c>
      <c r="H51" s="104">
        <f t="shared" si="52"/>
        <v>1340.2912504600699</v>
      </c>
      <c r="I51" s="104">
        <f t="shared" si="52"/>
        <v>1346.0508756901099</v>
      </c>
      <c r="J51" s="233">
        <f t="shared" si="52"/>
        <v>1351.8105009201399</v>
      </c>
      <c r="K51" s="149">
        <f t="shared" si="52"/>
        <v>1386.19995908941</v>
      </c>
      <c r="L51" s="104">
        <f t="shared" ref="L51:AA51" si="53">L15</f>
        <v>1420.58941725868</v>
      </c>
      <c r="M51" s="104">
        <f t="shared" si="53"/>
        <v>1454.97887542794</v>
      </c>
      <c r="N51" s="104">
        <f t="shared" si="53"/>
        <v>1489.36833359721</v>
      </c>
      <c r="O51" s="149">
        <f t="shared" si="53"/>
        <v>1493.5796252647899</v>
      </c>
      <c r="P51" s="104">
        <f t="shared" si="53"/>
        <v>1497.79091693238</v>
      </c>
      <c r="Q51" s="104">
        <f t="shared" si="53"/>
        <v>1502.0022085999601</v>
      </c>
      <c r="R51" s="104">
        <f t="shared" si="53"/>
        <v>1506.21350026754</v>
      </c>
      <c r="S51" s="149">
        <f t="shared" si="53"/>
        <v>1517.6836153346301</v>
      </c>
      <c r="T51" s="104">
        <f t="shared" si="53"/>
        <v>1529.1537304017099</v>
      </c>
      <c r="U51" s="104">
        <f t="shared" si="53"/>
        <v>1540.6238454688</v>
      </c>
      <c r="V51" s="104">
        <f t="shared" si="53"/>
        <v>1552.0939605358799</v>
      </c>
      <c r="W51" s="149">
        <f t="shared" si="53"/>
        <v>1589.1619043973101</v>
      </c>
      <c r="X51" s="104">
        <f t="shared" si="53"/>
        <v>1626.22984825873</v>
      </c>
      <c r="Y51" s="104">
        <f t="shared" si="53"/>
        <v>1663.29779212015</v>
      </c>
      <c r="Z51" s="104">
        <f t="shared" si="53"/>
        <v>1700.36573598158</v>
      </c>
      <c r="AA51" s="149">
        <f t="shared" si="53"/>
        <v>1728.05186986427</v>
      </c>
      <c r="AB51" s="95"/>
    </row>
    <row r="52" spans="1:28" s="171" customFormat="1" ht="12" x14ac:dyDescent="0.15">
      <c r="B52" s="214" t="s">
        <v>283</v>
      </c>
      <c r="D52" s="240"/>
      <c r="E52" s="255"/>
      <c r="F52" s="255"/>
      <c r="G52" s="241"/>
      <c r="H52" s="255"/>
      <c r="I52" s="255"/>
      <c r="J52" s="255"/>
      <c r="K52" s="259">
        <f t="shared" ref="K52" si="54">(K51/J51)-1</f>
        <v>2.5439555430189387E-2</v>
      </c>
      <c r="L52" s="242">
        <f t="shared" ref="L52" si="55">(L51/K51)-1</f>
        <v>2.4808439751982325E-2</v>
      </c>
      <c r="M52" s="242">
        <f t="shared" ref="M52" si="56">(M51/L51)-1</f>
        <v>2.4207880019000649E-2</v>
      </c>
      <c r="N52" s="242">
        <f t="shared" ref="N52" si="57">(N51/M51)-1</f>
        <v>2.3635709596921295E-2</v>
      </c>
      <c r="O52" s="259">
        <f t="shared" ref="O52" si="58">(O51/N51)-1</f>
        <v>2.8275689583170394E-3</v>
      </c>
      <c r="P52" s="242">
        <f t="shared" ref="P52" si="59">(P51/O51)-1</f>
        <v>2.8195963551949088E-3</v>
      </c>
      <c r="Q52" s="242">
        <f t="shared" ref="Q52" si="60">(Q51/P51)-1</f>
        <v>2.8116685846948375E-3</v>
      </c>
      <c r="R52" s="242">
        <f t="shared" ref="R52" si="61">(R51/Q51)-1</f>
        <v>2.8037852697335719E-3</v>
      </c>
      <c r="S52" s="259">
        <f t="shared" ref="S52" si="62">(S51/R51)-1</f>
        <v>7.6151986853474352E-3</v>
      </c>
      <c r="T52" s="242">
        <f t="shared" ref="T52" si="63">(T51/S51)-1</f>
        <v>7.5576457116530715E-3</v>
      </c>
      <c r="U52" s="242">
        <f t="shared" ref="U52" si="64">(U51/T51)-1</f>
        <v>7.500956142635129E-3</v>
      </c>
      <c r="V52" s="242">
        <f t="shared" ref="V52" si="65">(V51/U51)-1</f>
        <v>7.4451106938369094E-3</v>
      </c>
      <c r="W52" s="259">
        <f t="shared" ref="W52" si="66">(W51/V51)-1</f>
        <v>2.3882538560121791E-2</v>
      </c>
      <c r="X52" s="242">
        <f t="shared" ref="X52" si="67">(X51/W51)-1</f>
        <v>2.3325467190504989E-2</v>
      </c>
      <c r="Y52" s="242">
        <f t="shared" ref="Y52" si="68">(Y51/X51)-1</f>
        <v>2.2793791358036053E-2</v>
      </c>
      <c r="Z52" s="242">
        <f t="shared" ref="Z52" si="69">(Z51/Y51)-1</f>
        <v>2.2285813182124636E-2</v>
      </c>
      <c r="AA52" s="259">
        <f t="shared" ref="AA52" si="70">(AA51/Z51)-1</f>
        <v>1.6282458118757281E-2</v>
      </c>
      <c r="AB52" s="256"/>
    </row>
    <row r="53" spans="1:28" s="97" customFormat="1" x14ac:dyDescent="0.2">
      <c r="B53" s="99" t="s">
        <v>180</v>
      </c>
      <c r="D53" s="103"/>
      <c r="E53" s="226"/>
      <c r="F53" s="226">
        <f t="shared" ref="F53" si="71">F50-F51</f>
        <v>3.3000000000129148E-2</v>
      </c>
      <c r="G53" s="150">
        <f t="shared" ref="G53" si="72">G50-G51</f>
        <v>45.096857065685981</v>
      </c>
      <c r="H53" s="226">
        <f t="shared" ref="H53" si="73">H50-H51</f>
        <v>59.279892038303615</v>
      </c>
      <c r="I53" s="226">
        <f t="shared" ref="I53" si="74">I50-I51</f>
        <v>69.44417195254664</v>
      </c>
      <c r="J53" s="252">
        <f t="shared" ref="J53" si="75">J50-J51</f>
        <v>74.388541651348987</v>
      </c>
      <c r="K53" s="150">
        <f t="shared" ref="K53:AA53" si="76">K50-K51</f>
        <v>76.280953080059362</v>
      </c>
      <c r="L53" s="226">
        <f t="shared" si="76"/>
        <v>78.173364508769737</v>
      </c>
      <c r="M53" s="226">
        <f t="shared" si="76"/>
        <v>80.065775937479884</v>
      </c>
      <c r="N53" s="226">
        <f t="shared" si="76"/>
        <v>81.958187366190259</v>
      </c>
      <c r="O53" s="150">
        <f t="shared" si="76"/>
        <v>82.189929792666817</v>
      </c>
      <c r="P53" s="226">
        <f t="shared" si="76"/>
        <v>82.421672219143829</v>
      </c>
      <c r="Q53" s="226">
        <f t="shared" si="76"/>
        <v>82.653414645620387</v>
      </c>
      <c r="R53" s="226">
        <f t="shared" si="76"/>
        <v>82.885157072096945</v>
      </c>
      <c r="S53" s="150">
        <f t="shared" si="76"/>
        <v>83.516344011266938</v>
      </c>
      <c r="T53" s="226">
        <f t="shared" si="76"/>
        <v>84.147530950436703</v>
      </c>
      <c r="U53" s="226">
        <f t="shared" si="76"/>
        <v>84.778717889606924</v>
      </c>
      <c r="V53" s="226">
        <f t="shared" si="76"/>
        <v>85.409904828776689</v>
      </c>
      <c r="W53" s="150">
        <f t="shared" si="76"/>
        <v>87.449710174266329</v>
      </c>
      <c r="X53" s="226">
        <f t="shared" si="76"/>
        <v>89.489515519755287</v>
      </c>
      <c r="Y53" s="226">
        <f t="shared" si="76"/>
        <v>91.529320865244472</v>
      </c>
      <c r="Z53" s="226">
        <f t="shared" si="76"/>
        <v>93.569126210734112</v>
      </c>
      <c r="AA53" s="150">
        <f t="shared" si="76"/>
        <v>95.092661589469117</v>
      </c>
      <c r="AB53" s="257"/>
    </row>
    <row r="54" spans="1:28" x14ac:dyDescent="0.2">
      <c r="D54" s="102"/>
      <c r="E54" s="104"/>
      <c r="F54" s="104"/>
      <c r="G54" s="149"/>
      <c r="H54" s="104"/>
      <c r="I54" s="104"/>
      <c r="J54" s="104"/>
      <c r="K54" s="149"/>
      <c r="L54" s="104"/>
      <c r="M54" s="104"/>
      <c r="N54" s="104"/>
      <c r="P54" s="95"/>
      <c r="Q54" s="95"/>
      <c r="R54" s="95"/>
      <c r="T54" s="95"/>
      <c r="U54" s="95"/>
      <c r="V54" s="95"/>
      <c r="X54" s="95"/>
      <c r="Y54" s="95"/>
      <c r="Z54" s="95"/>
      <c r="AB54" s="95"/>
    </row>
    <row r="55" spans="1:28" x14ac:dyDescent="0.2">
      <c r="D55" s="102"/>
      <c r="E55" s="104"/>
      <c r="F55" s="104"/>
      <c r="G55" s="149"/>
      <c r="H55" s="104"/>
      <c r="I55" s="104"/>
      <c r="J55" s="104"/>
      <c r="K55" s="149"/>
      <c r="L55" s="104"/>
      <c r="M55" s="104"/>
      <c r="N55" s="104"/>
      <c r="P55" s="95"/>
      <c r="Q55" s="95"/>
      <c r="R55" s="95"/>
      <c r="T55" s="95"/>
      <c r="U55" s="95"/>
      <c r="V55" s="95"/>
      <c r="X55" s="95"/>
      <c r="Y55" s="95"/>
      <c r="Z55" s="95"/>
      <c r="AB55" s="95"/>
    </row>
    <row r="56" spans="1:28" ht="19" x14ac:dyDescent="0.25">
      <c r="A56" s="105" t="s">
        <v>191</v>
      </c>
      <c r="B56" s="105"/>
      <c r="D56" s="102"/>
      <c r="E56" s="104"/>
      <c r="F56" s="104"/>
      <c r="G56" s="149"/>
      <c r="H56" s="104"/>
      <c r="I56" s="104"/>
      <c r="J56" s="104"/>
      <c r="K56" s="149"/>
      <c r="L56" s="104"/>
      <c r="M56" s="104"/>
      <c r="N56" s="104"/>
      <c r="P56" s="95"/>
      <c r="Q56" s="95"/>
      <c r="R56" s="95"/>
      <c r="T56" s="95"/>
      <c r="U56" s="95"/>
      <c r="V56" s="95"/>
      <c r="X56" s="95"/>
      <c r="Y56" s="95"/>
      <c r="Z56" s="95"/>
      <c r="AB56" s="95"/>
    </row>
    <row r="57" spans="1:28" ht="16" x14ac:dyDescent="0.2">
      <c r="B57" s="86" t="s">
        <v>191</v>
      </c>
      <c r="D57" s="102">
        <f>main!I68/1000</f>
        <v>1574.462</v>
      </c>
      <c r="E57" s="104">
        <f>main!J68/1000</f>
        <v>3713.565333333333</v>
      </c>
      <c r="F57" s="104">
        <f>main!K68/1000</f>
        <v>2531.54</v>
      </c>
      <c r="G57" s="149">
        <f>main!N68/1000</f>
        <v>1990.9395416534182</v>
      </c>
      <c r="H57" s="104">
        <f>main!O68/1000</f>
        <v>1912.10228529849</v>
      </c>
      <c r="I57" s="104">
        <f>main!P68/1000</f>
        <v>1823.2092545768753</v>
      </c>
      <c r="J57" s="104">
        <f>main!Q68/1000</f>
        <v>1686.7876851675489</v>
      </c>
      <c r="K57" s="149">
        <f>main!R68/1000</f>
        <v>1683.444500445062</v>
      </c>
      <c r="L57" s="104">
        <f>K57*L58/K58</f>
        <v>1691.3332656079128</v>
      </c>
      <c r="M57" s="104">
        <f t="shared" ref="M57:AA57" si="77">L57*M58/L58</f>
        <v>1679.1397689725668</v>
      </c>
      <c r="N57" s="104">
        <f t="shared" si="77"/>
        <v>1639.1387815375706</v>
      </c>
      <c r="O57" s="149">
        <f t="shared" si="77"/>
        <v>1638.4638486912852</v>
      </c>
      <c r="P57" s="104">
        <f t="shared" si="77"/>
        <v>1638.9497856203566</v>
      </c>
      <c r="Q57" s="104">
        <f t="shared" si="77"/>
        <v>1640.2296403758021</v>
      </c>
      <c r="R57" s="104">
        <f t="shared" si="77"/>
        <v>1643.7842308160052</v>
      </c>
      <c r="S57" s="149">
        <f t="shared" si="77"/>
        <v>1661.6631681923609</v>
      </c>
      <c r="T57" s="104">
        <f t="shared" si="77"/>
        <v>1678.7784116664563</v>
      </c>
      <c r="U57" s="104">
        <f t="shared" si="77"/>
        <v>1692.3328460316582</v>
      </c>
      <c r="V57" s="104">
        <f t="shared" si="77"/>
        <v>1703.70461363354</v>
      </c>
      <c r="W57" s="149">
        <f t="shared" si="77"/>
        <v>1741.1898300711741</v>
      </c>
      <c r="X57" s="104">
        <f t="shared" si="77"/>
        <v>1771.4905860751503</v>
      </c>
      <c r="Y57" s="104">
        <f t="shared" si="77"/>
        <v>1795.4268791817581</v>
      </c>
      <c r="Z57" s="104">
        <f t="shared" si="77"/>
        <v>1812.313801133377</v>
      </c>
      <c r="AA57" s="149">
        <f t="shared" si="77"/>
        <v>1820.2446006078096</v>
      </c>
      <c r="AB57" s="95"/>
    </row>
    <row r="58" spans="1:28" x14ac:dyDescent="0.2">
      <c r="B58" t="s">
        <v>179</v>
      </c>
      <c r="D58" s="102">
        <f t="shared" ref="D58:K58" si="78">D16</f>
        <v>1574.779</v>
      </c>
      <c r="E58" s="104">
        <f t="shared" si="78"/>
        <v>3697.6559999999999</v>
      </c>
      <c r="F58" s="104">
        <f t="shared" si="78"/>
        <v>1936.7829999999999</v>
      </c>
      <c r="G58" s="149">
        <f t="shared" si="78"/>
        <v>1672.7966214901101</v>
      </c>
      <c r="H58" s="104">
        <f t="shared" si="78"/>
        <v>1465.5104337387199</v>
      </c>
      <c r="I58" s="104">
        <f t="shared" si="78"/>
        <v>1299.0451766609799</v>
      </c>
      <c r="J58" s="104">
        <f t="shared" si="78"/>
        <v>1183.6501317488301</v>
      </c>
      <c r="K58" s="149">
        <f t="shared" si="78"/>
        <v>1212.0640991453099</v>
      </c>
      <c r="L58" s="104">
        <f t="shared" ref="L58:AA58" si="79">L16</f>
        <v>1217.7439353608499</v>
      </c>
      <c r="M58" s="104">
        <f t="shared" si="79"/>
        <v>1208.96473324825</v>
      </c>
      <c r="N58" s="104">
        <f t="shared" si="79"/>
        <v>1180.1644010795901</v>
      </c>
      <c r="O58" s="149">
        <f t="shared" si="79"/>
        <v>1179.6784558214599</v>
      </c>
      <c r="P58" s="104">
        <f t="shared" si="79"/>
        <v>1180.02832580887</v>
      </c>
      <c r="Q58" s="104">
        <f t="shared" si="79"/>
        <v>1180.9498091133601</v>
      </c>
      <c r="R58" s="104">
        <f t="shared" si="79"/>
        <v>1183.5090805705399</v>
      </c>
      <c r="S58" s="149">
        <f t="shared" si="79"/>
        <v>1196.38174617907</v>
      </c>
      <c r="T58" s="104">
        <f t="shared" si="79"/>
        <v>1208.7045594096801</v>
      </c>
      <c r="U58" s="104">
        <f t="shared" si="79"/>
        <v>1218.4636238005401</v>
      </c>
      <c r="V58" s="104">
        <f t="shared" si="79"/>
        <v>1226.65118879031</v>
      </c>
      <c r="W58" s="149">
        <f t="shared" si="79"/>
        <v>1253.6401896636601</v>
      </c>
      <c r="X58" s="104">
        <f t="shared" si="79"/>
        <v>1275.4564470571599</v>
      </c>
      <c r="Y58" s="104">
        <f t="shared" si="79"/>
        <v>1292.69035143207</v>
      </c>
      <c r="Z58" s="104">
        <f t="shared" si="79"/>
        <v>1304.8487753285599</v>
      </c>
      <c r="AA58" s="149">
        <f t="shared" si="79"/>
        <v>1310.5588758504</v>
      </c>
      <c r="AB58" s="95"/>
    </row>
    <row r="59" spans="1:28" s="97" customFormat="1" x14ac:dyDescent="0.2">
      <c r="B59" s="99" t="s">
        <v>180</v>
      </c>
      <c r="D59" s="103"/>
      <c r="E59" s="226"/>
      <c r="F59" s="226">
        <f t="shared" ref="F59" si="80">F57-F58</f>
        <v>594.75700000000006</v>
      </c>
      <c r="G59" s="150">
        <f t="shared" ref="G59" si="81">G57-G58</f>
        <v>318.14292016330819</v>
      </c>
      <c r="H59" s="226">
        <f t="shared" ref="H59" si="82">H57-H58</f>
        <v>446.59185155977002</v>
      </c>
      <c r="I59" s="226">
        <f t="shared" ref="I59" si="83">I57-I58</f>
        <v>524.1640779158954</v>
      </c>
      <c r="J59" s="226">
        <f t="shared" ref="J59" si="84">J57-J58</f>
        <v>503.13755341871888</v>
      </c>
      <c r="K59" s="150">
        <f t="shared" ref="K59" si="85">K57-K58</f>
        <v>471.38040129975207</v>
      </c>
      <c r="L59" s="226">
        <f t="shared" ref="L59:AA59" si="86">L57-L58</f>
        <v>473.58933024706289</v>
      </c>
      <c r="M59" s="226">
        <f t="shared" si="86"/>
        <v>470.17503572431679</v>
      </c>
      <c r="N59" s="226">
        <f t="shared" si="86"/>
        <v>458.97438045798049</v>
      </c>
      <c r="O59" s="150">
        <f t="shared" si="86"/>
        <v>458.78539286982527</v>
      </c>
      <c r="P59" s="226">
        <f t="shared" si="86"/>
        <v>458.92145981148656</v>
      </c>
      <c r="Q59" s="226">
        <f t="shared" si="86"/>
        <v>459.27983126244203</v>
      </c>
      <c r="R59" s="226">
        <f t="shared" si="86"/>
        <v>460.27515024546528</v>
      </c>
      <c r="S59" s="150">
        <f t="shared" si="86"/>
        <v>465.28142201329092</v>
      </c>
      <c r="T59" s="226">
        <f t="shared" si="86"/>
        <v>470.07385225677626</v>
      </c>
      <c r="U59" s="226">
        <f t="shared" si="86"/>
        <v>473.8692222311181</v>
      </c>
      <c r="V59" s="226">
        <f t="shared" si="86"/>
        <v>477.05342484323</v>
      </c>
      <c r="W59" s="150">
        <f t="shared" si="86"/>
        <v>487.54964040751406</v>
      </c>
      <c r="X59" s="226">
        <f t="shared" si="86"/>
        <v>496.03413901799036</v>
      </c>
      <c r="Y59" s="226">
        <f t="shared" si="86"/>
        <v>502.73652774968809</v>
      </c>
      <c r="Z59" s="226">
        <f t="shared" si="86"/>
        <v>507.46502580481706</v>
      </c>
      <c r="AA59" s="150">
        <f t="shared" si="86"/>
        <v>509.68572475740962</v>
      </c>
      <c r="AB59" s="257"/>
    </row>
    <row r="60" spans="1:28" s="97" customFormat="1" x14ac:dyDescent="0.2">
      <c r="B60" s="99"/>
      <c r="D60" s="103"/>
      <c r="E60" s="226"/>
      <c r="F60" s="226"/>
      <c r="G60" s="150"/>
      <c r="H60" s="226"/>
      <c r="I60" s="226"/>
      <c r="J60" s="226"/>
      <c r="K60" s="150"/>
      <c r="L60" s="226"/>
      <c r="M60" s="226"/>
      <c r="N60" s="226"/>
      <c r="O60" s="184"/>
      <c r="P60" s="257"/>
      <c r="Q60" s="257"/>
      <c r="R60" s="257"/>
      <c r="S60" s="184"/>
      <c r="T60" s="257"/>
      <c r="U60" s="257"/>
      <c r="V60" s="257"/>
      <c r="W60" s="184"/>
      <c r="X60" s="257"/>
      <c r="Y60" s="257"/>
      <c r="Z60" s="257"/>
      <c r="AA60" s="184"/>
      <c r="AB60" s="257"/>
    </row>
    <row r="61" spans="1:28" s="97" customFormat="1" x14ac:dyDescent="0.2">
      <c r="B61" s="99"/>
      <c r="D61" s="103"/>
      <c r="E61" s="226"/>
      <c r="F61" s="226"/>
      <c r="G61" s="150"/>
      <c r="H61" s="226"/>
      <c r="I61" s="226"/>
      <c r="J61" s="226"/>
      <c r="K61" s="150"/>
      <c r="L61" s="226"/>
      <c r="M61" s="226"/>
      <c r="N61" s="226"/>
      <c r="O61" s="184"/>
      <c r="P61" s="257"/>
      <c r="Q61" s="257"/>
      <c r="R61" s="257"/>
      <c r="S61" s="184"/>
      <c r="T61" s="257"/>
      <c r="U61" s="257"/>
      <c r="V61" s="257"/>
      <c r="W61" s="184"/>
      <c r="X61" s="257"/>
      <c r="Y61" s="257"/>
      <c r="Z61" s="257"/>
      <c r="AA61" s="184"/>
      <c r="AB61" s="257"/>
    </row>
    <row r="62" spans="1:28" ht="19" x14ac:dyDescent="0.25">
      <c r="A62" s="105" t="s">
        <v>192</v>
      </c>
      <c r="B62" s="105"/>
      <c r="D62" s="102"/>
      <c r="E62" s="104"/>
      <c r="F62" s="104"/>
      <c r="G62" s="149"/>
      <c r="H62" s="104"/>
      <c r="I62" s="104"/>
      <c r="J62" s="104"/>
      <c r="K62" s="149"/>
      <c r="L62" s="104"/>
      <c r="M62" s="104"/>
      <c r="N62" s="104"/>
      <c r="P62" s="95"/>
      <c r="Q62" s="95"/>
      <c r="R62" s="95"/>
      <c r="T62" s="95"/>
      <c r="U62" s="95"/>
      <c r="V62" s="95"/>
      <c r="X62" s="95"/>
      <c r="Y62" s="95"/>
      <c r="Z62" s="95"/>
      <c r="AB62" s="95"/>
    </row>
    <row r="63" spans="1:28" x14ac:dyDescent="0.2">
      <c r="B63" t="s">
        <v>213</v>
      </c>
      <c r="D63" s="100"/>
      <c r="E63" s="104">
        <f>main!J46/1000</f>
        <v>1086.548</v>
      </c>
      <c r="F63" s="104">
        <f>main!K46/1000</f>
        <v>1212.346</v>
      </c>
      <c r="G63" s="149">
        <f>main!N46/1000</f>
        <v>382.93200834658188</v>
      </c>
      <c r="H63" s="104">
        <f>main!O46/1000</f>
        <v>100.25024999999999</v>
      </c>
      <c r="I63" s="104">
        <f>main!P46/1000</f>
        <v>100.25024999999999</v>
      </c>
      <c r="J63" s="104">
        <f>main!Q46/1000</f>
        <v>100.25024999999999</v>
      </c>
      <c r="K63" s="149">
        <f>main!R46/1000</f>
        <v>100.25024999999999</v>
      </c>
      <c r="L63" s="233">
        <f>main!S46/1000</f>
        <v>74.830250000000007</v>
      </c>
      <c r="M63" s="243">
        <f>L63*(1+M65)</f>
        <v>75.157160582543426</v>
      </c>
      <c r="N63" s="243">
        <f>M63*(1+N65)</f>
        <v>75.488247723051742</v>
      </c>
      <c r="O63" s="260">
        <f>N63*(1+O65)</f>
        <v>75.823511421525581</v>
      </c>
      <c r="P63" s="243">
        <f>O63*(1+P65)</f>
        <v>76.163711052139888</v>
      </c>
      <c r="Q63" s="243">
        <f t="shared" ref="Q63:AA63" si="87">P63*(1+Q65)</f>
        <v>76.50542943110527</v>
      </c>
      <c r="R63" s="243">
        <f t="shared" si="87"/>
        <v>76.852083742211136</v>
      </c>
      <c r="S63" s="260">
        <f t="shared" si="87"/>
        <v>77.203673985458053</v>
      </c>
      <c r="T63" s="243">
        <f t="shared" si="87"/>
        <v>77.559061099581498</v>
      </c>
      <c r="U63" s="243">
        <f t="shared" si="87"/>
        <v>77.915207587881099</v>
      </c>
      <c r="V63" s="243">
        <f t="shared" si="87"/>
        <v>78.273252511618978</v>
      </c>
      <c r="W63" s="260">
        <f t="shared" si="87"/>
        <v>78.633195870796328</v>
      </c>
      <c r="X63" s="243">
        <f t="shared" si="87"/>
        <v>78.993898604148015</v>
      </c>
      <c r="Y63" s="243">
        <f t="shared" si="87"/>
        <v>79.352702902062035</v>
      </c>
      <c r="Z63" s="243">
        <f t="shared" si="87"/>
        <v>79.71188688706323</v>
      </c>
      <c r="AA63" s="260">
        <f t="shared" si="87"/>
        <v>80.071070872064439</v>
      </c>
      <c r="AB63" s="95"/>
    </row>
    <row r="64" spans="1:28" x14ac:dyDescent="0.2">
      <c r="B64" t="s">
        <v>179</v>
      </c>
      <c r="D64" s="102">
        <f t="shared" ref="D64:AA64" si="88">D19</f>
        <v>74.5</v>
      </c>
      <c r="E64" s="104">
        <f t="shared" si="88"/>
        <v>1085.9000000000001</v>
      </c>
      <c r="F64" s="104">
        <f t="shared" si="88"/>
        <v>1211.7</v>
      </c>
      <c r="G64" s="149">
        <f t="shared" si="88"/>
        <v>1215.66820949049</v>
      </c>
      <c r="H64" s="104">
        <f t="shared" si="88"/>
        <v>1219.78734929441</v>
      </c>
      <c r="I64" s="104">
        <f t="shared" si="88"/>
        <v>1224.19577219907</v>
      </c>
      <c r="J64" s="104">
        <f t="shared" si="88"/>
        <v>1228.9563658350501</v>
      </c>
      <c r="K64" s="149">
        <f t="shared" si="88"/>
        <v>1234.08799649154</v>
      </c>
      <c r="L64" s="233">
        <f t="shared" si="88"/>
        <v>1239.41457880287</v>
      </c>
      <c r="M64" s="104">
        <f t="shared" si="88"/>
        <v>1244.82920379703</v>
      </c>
      <c r="N64" s="104">
        <f t="shared" si="88"/>
        <v>1250.31300518484</v>
      </c>
      <c r="O64" s="149">
        <f t="shared" si="88"/>
        <v>1255.86598296631</v>
      </c>
      <c r="P64" s="104">
        <f t="shared" si="88"/>
        <v>1261.50071466755</v>
      </c>
      <c r="Q64" s="104">
        <f t="shared" si="88"/>
        <v>1267.1606014210299</v>
      </c>
      <c r="R64" s="104">
        <f t="shared" si="88"/>
        <v>1272.9022420942799</v>
      </c>
      <c r="S64" s="149">
        <f t="shared" si="88"/>
        <v>1278.72563668731</v>
      </c>
      <c r="T64" s="104">
        <f t="shared" si="88"/>
        <v>1284.6119189109199</v>
      </c>
      <c r="U64" s="104">
        <f t="shared" si="88"/>
        <v>1290.51077866066</v>
      </c>
      <c r="V64" s="104">
        <f t="shared" si="88"/>
        <v>1296.44108222569</v>
      </c>
      <c r="W64" s="149">
        <f t="shared" si="88"/>
        <v>1302.4028296060301</v>
      </c>
      <c r="X64" s="104">
        <f t="shared" si="88"/>
        <v>1308.37715451247</v>
      </c>
      <c r="Y64" s="104">
        <f t="shared" si="88"/>
        <v>1314.32003560363</v>
      </c>
      <c r="Z64" s="104">
        <f t="shared" si="88"/>
        <v>1320.2692054578399</v>
      </c>
      <c r="AA64" s="149">
        <f t="shared" si="88"/>
        <v>1326.2183753120501</v>
      </c>
      <c r="AB64" s="95"/>
    </row>
    <row r="65" spans="1:32" s="171" customFormat="1" ht="12" x14ac:dyDescent="0.15">
      <c r="B65" s="214" t="s">
        <v>283</v>
      </c>
      <c r="D65" s="240"/>
      <c r="E65" s="255"/>
      <c r="F65" s="255"/>
      <c r="G65" s="241"/>
      <c r="H65" s="255"/>
      <c r="I65" s="255"/>
      <c r="J65" s="255"/>
      <c r="K65" s="241"/>
      <c r="L65" s="242"/>
      <c r="M65" s="242">
        <f t="shared" ref="M65:AA65" si="89">(M64/L64)-1</f>
        <v>4.3686955815784856E-3</v>
      </c>
      <c r="N65" s="242">
        <f t="shared" si="89"/>
        <v>4.4052640885055006E-3</v>
      </c>
      <c r="O65" s="259">
        <f t="shared" si="89"/>
        <v>4.4412701127178877E-3</v>
      </c>
      <c r="P65" s="242">
        <f t="shared" si="89"/>
        <v>4.4867300951421107E-3</v>
      </c>
      <c r="Q65" s="242">
        <f t="shared" si="89"/>
        <v>4.4866298430685791E-3</v>
      </c>
      <c r="R65" s="242">
        <f t="shared" si="89"/>
        <v>4.5311073172660254E-3</v>
      </c>
      <c r="S65" s="259">
        <f t="shared" si="89"/>
        <v>4.574895385091704E-3</v>
      </c>
      <c r="T65" s="242">
        <f t="shared" si="89"/>
        <v>4.6032409570351263E-3</v>
      </c>
      <c r="U65" s="242">
        <f t="shared" si="89"/>
        <v>4.5919391396749276E-3</v>
      </c>
      <c r="V65" s="242">
        <f t="shared" si="89"/>
        <v>4.5953150202935333E-3</v>
      </c>
      <c r="W65" s="259">
        <f t="shared" si="89"/>
        <v>4.5985486437263301E-3</v>
      </c>
      <c r="X65" s="242">
        <f t="shared" si="89"/>
        <v>4.5871559632952863E-3</v>
      </c>
      <c r="Y65" s="242">
        <f t="shared" si="89"/>
        <v>4.5421773612168703E-3</v>
      </c>
      <c r="Z65" s="242">
        <f t="shared" si="89"/>
        <v>4.5264240771294428E-3</v>
      </c>
      <c r="AA65" s="259">
        <f t="shared" si="89"/>
        <v>4.5060278840232115E-3</v>
      </c>
      <c r="AB65" s="256"/>
    </row>
    <row r="66" spans="1:32" s="97" customFormat="1" x14ac:dyDescent="0.2">
      <c r="B66" s="99" t="s">
        <v>180</v>
      </c>
      <c r="D66" s="103"/>
      <c r="E66" s="226"/>
      <c r="F66" s="226">
        <f>F63-F64</f>
        <v>0.64599999999995816</v>
      </c>
      <c r="G66" s="150">
        <f t="shared" ref="G66:AA66" si="90">G63-G64</f>
        <v>-832.73620114390815</v>
      </c>
      <c r="H66" s="226">
        <f t="shared" si="90"/>
        <v>-1119.5370992944099</v>
      </c>
      <c r="I66" s="226">
        <f t="shared" si="90"/>
        <v>-1123.94552219907</v>
      </c>
      <c r="J66" s="226">
        <f t="shared" si="90"/>
        <v>-1128.70611583505</v>
      </c>
      <c r="K66" s="150">
        <f t="shared" si="90"/>
        <v>-1133.83774649154</v>
      </c>
      <c r="L66" s="226">
        <f t="shared" si="90"/>
        <v>-1164.58432880287</v>
      </c>
      <c r="M66" s="226">
        <f t="shared" si="90"/>
        <v>-1169.6720432144866</v>
      </c>
      <c r="N66" s="226">
        <f t="shared" si="90"/>
        <v>-1174.8247574617883</v>
      </c>
      <c r="O66" s="150">
        <f t="shared" si="90"/>
        <v>-1180.0424715447843</v>
      </c>
      <c r="P66" s="226">
        <f t="shared" si="90"/>
        <v>-1185.3370036154101</v>
      </c>
      <c r="Q66" s="226">
        <f t="shared" si="90"/>
        <v>-1190.6551719899246</v>
      </c>
      <c r="R66" s="226">
        <f t="shared" si="90"/>
        <v>-1196.0501583520688</v>
      </c>
      <c r="S66" s="150">
        <f t="shared" si="90"/>
        <v>-1201.5219627018521</v>
      </c>
      <c r="T66" s="226">
        <f t="shared" si="90"/>
        <v>-1207.0528578113385</v>
      </c>
      <c r="U66" s="226">
        <f t="shared" si="90"/>
        <v>-1212.595571072779</v>
      </c>
      <c r="V66" s="226">
        <f t="shared" si="90"/>
        <v>-1218.1678297140711</v>
      </c>
      <c r="W66" s="150">
        <f t="shared" si="90"/>
        <v>-1223.7696337352338</v>
      </c>
      <c r="X66" s="226">
        <f t="shared" si="90"/>
        <v>-1229.3832559083221</v>
      </c>
      <c r="Y66" s="226">
        <f t="shared" si="90"/>
        <v>-1234.967332701568</v>
      </c>
      <c r="Z66" s="226">
        <f t="shared" si="90"/>
        <v>-1240.5573185707767</v>
      </c>
      <c r="AA66" s="150">
        <f t="shared" si="90"/>
        <v>-1246.1473044399856</v>
      </c>
      <c r="AB66" s="226"/>
      <c r="AC66" s="226"/>
      <c r="AD66" s="150"/>
      <c r="AE66" s="150"/>
      <c r="AF66" s="150"/>
    </row>
    <row r="67" spans="1:32" x14ac:dyDescent="0.2"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32" x14ac:dyDescent="0.2">
      <c r="D68" s="102"/>
      <c r="E68" s="104"/>
      <c r="F68" s="104"/>
      <c r="G68" s="149"/>
      <c r="H68" s="104"/>
      <c r="I68" s="104"/>
      <c r="J68" s="104"/>
      <c r="K68" s="149"/>
      <c r="L68" s="104"/>
      <c r="M68" s="104"/>
      <c r="N68" s="104"/>
      <c r="P68" s="95"/>
      <c r="Q68" s="95"/>
      <c r="R68" s="95"/>
      <c r="T68" s="95"/>
      <c r="U68" s="95"/>
      <c r="V68" s="95"/>
      <c r="X68" s="95"/>
      <c r="Y68" s="95"/>
      <c r="Z68" s="95"/>
      <c r="AB68" s="95"/>
    </row>
    <row r="69" spans="1:32" ht="19" x14ac:dyDescent="0.25">
      <c r="A69" s="105" t="s">
        <v>198</v>
      </c>
      <c r="B69" s="105"/>
      <c r="D69" s="102"/>
      <c r="E69" s="104"/>
      <c r="F69" s="104"/>
      <c r="G69" s="149"/>
      <c r="H69" s="104"/>
      <c r="I69" s="104"/>
      <c r="J69" s="104"/>
      <c r="K69" s="149"/>
      <c r="L69" s="104"/>
      <c r="M69" s="104"/>
      <c r="N69" s="104"/>
      <c r="P69" s="95"/>
      <c r="Q69" s="95"/>
      <c r="R69" s="95"/>
      <c r="T69" s="95"/>
      <c r="U69" s="95"/>
      <c r="V69" s="95"/>
      <c r="X69" s="95"/>
      <c r="Y69" s="95"/>
      <c r="Z69" s="95"/>
      <c r="AB69" s="95"/>
    </row>
    <row r="70" spans="1:32" x14ac:dyDescent="0.2">
      <c r="B70" t="s">
        <v>210</v>
      </c>
      <c r="D70" s="100"/>
      <c r="E70" s="227">
        <f>main!J62/1000</f>
        <v>279.25</v>
      </c>
      <c r="F70" s="227">
        <f>main!K62/1000</f>
        <v>286.92480728335994</v>
      </c>
      <c r="G70" s="151">
        <f>main!N62/1000</f>
        <v>298.37288477706733</v>
      </c>
      <c r="H70" s="227">
        <f>main!O62/1000</f>
        <v>282.14099544764292</v>
      </c>
      <c r="I70" s="227">
        <f>main!P62/1000</f>
        <v>255.02243392207248</v>
      </c>
      <c r="J70" s="227">
        <f>main!Q62/1000</f>
        <v>256.05497613497749</v>
      </c>
      <c r="K70" s="151">
        <f>main!R62/1000</f>
        <v>251.54437969325105</v>
      </c>
      <c r="L70" s="227">
        <f>main!S62/1000</f>
        <v>247.24080684971526</v>
      </c>
      <c r="M70" s="227">
        <f>main!T62/1000</f>
        <v>248.95857178194771</v>
      </c>
      <c r="N70" s="227">
        <f>main!U62/1000</f>
        <v>250.86680125051296</v>
      </c>
      <c r="O70" s="151">
        <f>main!V62/1000</f>
        <v>252.62247677399648</v>
      </c>
      <c r="P70" s="258">
        <f>main!W62/1000</f>
        <v>254.57245802602733</v>
      </c>
      <c r="Q70" s="261">
        <f>P70*(1+Q72)</f>
        <v>266.84554035043868</v>
      </c>
      <c r="R70" s="261">
        <f t="shared" ref="R70:AA70" si="91">Q70*(1+R72)</f>
        <v>279.86369412126004</v>
      </c>
      <c r="S70" s="262">
        <f t="shared" si="91"/>
        <v>281.7269716982471</v>
      </c>
      <c r="T70" s="261">
        <f t="shared" si="91"/>
        <v>283.66604178001614</v>
      </c>
      <c r="U70" s="261">
        <f t="shared" si="91"/>
        <v>285.64989666947559</v>
      </c>
      <c r="V70" s="261">
        <f t="shared" si="91"/>
        <v>287.69056277877843</v>
      </c>
      <c r="W70" s="262">
        <f t="shared" si="91"/>
        <v>288.25036038684794</v>
      </c>
      <c r="X70" s="261">
        <f t="shared" si="91"/>
        <v>289.5388549275047</v>
      </c>
      <c r="Y70" s="261">
        <f t="shared" si="91"/>
        <v>290.16440875152392</v>
      </c>
      <c r="Z70" s="261">
        <f t="shared" si="91"/>
        <v>290.83125325773699</v>
      </c>
      <c r="AA70" s="262">
        <f t="shared" si="91"/>
        <v>291.23889600882188</v>
      </c>
      <c r="AB70" s="95"/>
    </row>
    <row r="71" spans="1:32" x14ac:dyDescent="0.2">
      <c r="B71" t="s">
        <v>179</v>
      </c>
      <c r="D71" s="102">
        <f t="shared" ref="D71:O71" si="92">D20</f>
        <v>204.37100000000001</v>
      </c>
      <c r="E71" s="104">
        <f t="shared" si="92"/>
        <v>884.26</v>
      </c>
      <c r="F71" s="104">
        <f t="shared" si="92"/>
        <v>241.428</v>
      </c>
      <c r="G71" s="149">
        <f t="shared" si="92"/>
        <v>228.42538380464799</v>
      </c>
      <c r="H71" s="104">
        <f t="shared" si="92"/>
        <v>212.81817966260101</v>
      </c>
      <c r="I71" s="104">
        <f t="shared" si="92"/>
        <v>197.64507351167001</v>
      </c>
      <c r="J71" s="104">
        <f t="shared" si="92"/>
        <v>183.050764682226</v>
      </c>
      <c r="K71" s="149">
        <f t="shared" si="92"/>
        <v>194.33260834913199</v>
      </c>
      <c r="L71" s="104">
        <f t="shared" si="92"/>
        <v>206.40744830671201</v>
      </c>
      <c r="M71" s="104">
        <f t="shared" si="92"/>
        <v>218.56402183082099</v>
      </c>
      <c r="N71" s="104">
        <f t="shared" si="92"/>
        <v>231.450162767232</v>
      </c>
      <c r="O71" s="149">
        <f t="shared" si="92"/>
        <v>243.697218746837</v>
      </c>
      <c r="P71" s="233">
        <f t="shared" ref="P71:AA71" si="93">P20</f>
        <v>256.68855568447401</v>
      </c>
      <c r="Q71" s="243">
        <f t="shared" si="93"/>
        <v>269.06365627500099</v>
      </c>
      <c r="R71" s="243">
        <f t="shared" si="93"/>
        <v>282.19002161326898</v>
      </c>
      <c r="S71" s="260">
        <f t="shared" si="93"/>
        <v>284.06878742236199</v>
      </c>
      <c r="T71" s="243">
        <f t="shared" si="93"/>
        <v>286.02397575074502</v>
      </c>
      <c r="U71" s="243">
        <f t="shared" si="93"/>
        <v>288.02432115421698</v>
      </c>
      <c r="V71" s="243">
        <f t="shared" si="93"/>
        <v>290.08195001278602</v>
      </c>
      <c r="W71" s="260">
        <f t="shared" si="93"/>
        <v>290.64640085953198</v>
      </c>
      <c r="X71" s="243">
        <f t="shared" si="93"/>
        <v>291.94560582935901</v>
      </c>
      <c r="Y71" s="243">
        <f t="shared" si="93"/>
        <v>292.57635948132702</v>
      </c>
      <c r="Z71" s="243">
        <f t="shared" si="93"/>
        <v>293.248747038462</v>
      </c>
      <c r="AA71" s="260">
        <f t="shared" si="93"/>
        <v>293.65977826243102</v>
      </c>
      <c r="AB71" s="95"/>
    </row>
    <row r="72" spans="1:32" s="171" customFormat="1" ht="12" x14ac:dyDescent="0.15">
      <c r="B72" s="214" t="s">
        <v>283</v>
      </c>
      <c r="D72" s="240"/>
      <c r="E72" s="255"/>
      <c r="F72" s="255"/>
      <c r="G72" s="241"/>
      <c r="H72" s="255"/>
      <c r="I72" s="255"/>
      <c r="J72" s="255"/>
      <c r="K72" s="241"/>
      <c r="L72" s="242"/>
      <c r="M72" s="242"/>
      <c r="N72" s="242"/>
      <c r="O72" s="259"/>
      <c r="P72" s="242"/>
      <c r="Q72" s="242">
        <f t="shared" ref="Q72" si="94">(Q71/P71)-1</f>
        <v>4.8210566137349309E-2</v>
      </c>
      <c r="R72" s="242">
        <f t="shared" ref="R72" si="95">(R71/Q71)-1</f>
        <v>4.8785352581591113E-2</v>
      </c>
      <c r="S72" s="259">
        <f t="shared" ref="S72" si="96">(S71/R71)-1</f>
        <v>6.6578038385347593E-3</v>
      </c>
      <c r="T72" s="242">
        <f t="shared" ref="T72" si="97">(T71/S71)-1</f>
        <v>6.8827988675714824E-3</v>
      </c>
      <c r="U72" s="242">
        <f t="shared" ref="U72" si="98">(U71/T71)-1</f>
        <v>6.9936284125187154E-3</v>
      </c>
      <c r="V72" s="242">
        <f t="shared" ref="V72" si="99">(V71/U71)-1</f>
        <v>7.143941353019656E-3</v>
      </c>
      <c r="W72" s="259">
        <f t="shared" ref="W72" si="100">(W71/V71)-1</f>
        <v>1.9458323646854847E-3</v>
      </c>
      <c r="X72" s="242">
        <f t="shared" ref="X72" si="101">(X71/W71)-1</f>
        <v>4.4700535289097232E-3</v>
      </c>
      <c r="Y72" s="242">
        <f t="shared" ref="Y72" si="102">(Y71/X71)-1</f>
        <v>2.160517710743326E-3</v>
      </c>
      <c r="Z72" s="242">
        <f t="shared" ref="Z72" si="103">(Z71/Y71)-1</f>
        <v>2.2981609256707003E-3</v>
      </c>
      <c r="AA72" s="259">
        <f t="shared" ref="AA72" si="104">(AA71/Z71)-1</f>
        <v>1.4016469912319085E-3</v>
      </c>
      <c r="AB72" s="256"/>
    </row>
    <row r="73" spans="1:32" s="97" customFormat="1" x14ac:dyDescent="0.2">
      <c r="B73" s="99" t="s">
        <v>180</v>
      </c>
      <c r="D73" s="103"/>
      <c r="E73" s="226"/>
      <c r="F73" s="226">
        <f>F70-F71</f>
        <v>45.496807283359942</v>
      </c>
      <c r="G73" s="150">
        <f t="shared" ref="G73:K73" si="105">G70-G71</f>
        <v>69.947500972419334</v>
      </c>
      <c r="H73" s="226">
        <f t="shared" si="105"/>
        <v>69.322815785041911</v>
      </c>
      <c r="I73" s="226">
        <f t="shared" si="105"/>
        <v>57.377360410402474</v>
      </c>
      <c r="J73" s="226">
        <f t="shared" si="105"/>
        <v>73.004211452751491</v>
      </c>
      <c r="K73" s="150">
        <f t="shared" si="105"/>
        <v>57.211771344119057</v>
      </c>
      <c r="L73" s="226">
        <f t="shared" ref="L73:N73" si="106">L70-L71</f>
        <v>40.833358543003243</v>
      </c>
      <c r="M73" s="226">
        <f t="shared" si="106"/>
        <v>30.39454995112672</v>
      </c>
      <c r="N73" s="226">
        <f t="shared" si="106"/>
        <v>19.416638483280963</v>
      </c>
      <c r="O73" s="150">
        <f t="shared" ref="O73:AA73" si="107">O70-O71</f>
        <v>8.9252580271594866</v>
      </c>
      <c r="P73" s="252">
        <f t="shared" si="107"/>
        <v>-2.1160976584466766</v>
      </c>
      <c r="Q73" s="263">
        <f t="shared" si="107"/>
        <v>-2.2181159245623121</v>
      </c>
      <c r="R73" s="263">
        <f t="shared" si="107"/>
        <v>-2.326327492008943</v>
      </c>
      <c r="S73" s="264">
        <f t="shared" si="107"/>
        <v>-2.3418157241148947</v>
      </c>
      <c r="T73" s="263">
        <f t="shared" si="107"/>
        <v>-2.3579339707288796</v>
      </c>
      <c r="U73" s="263">
        <f t="shared" si="107"/>
        <v>-2.3744244847413825</v>
      </c>
      <c r="V73" s="263">
        <f t="shared" si="107"/>
        <v>-2.3913872340075955</v>
      </c>
      <c r="W73" s="264">
        <f t="shared" si="107"/>
        <v>-2.3960404726840352</v>
      </c>
      <c r="X73" s="263">
        <f t="shared" si="107"/>
        <v>-2.4067509018543092</v>
      </c>
      <c r="Y73" s="263">
        <f t="shared" si="107"/>
        <v>-2.4119507298030953</v>
      </c>
      <c r="Z73" s="263">
        <f t="shared" si="107"/>
        <v>-2.4174937807250103</v>
      </c>
      <c r="AA73" s="264">
        <f t="shared" si="107"/>
        <v>-2.4208822536091361</v>
      </c>
      <c r="AB73" s="257"/>
    </row>
    <row r="74" spans="1:32" x14ac:dyDescent="0.2">
      <c r="E74" s="95"/>
      <c r="F74" s="95"/>
      <c r="L74" s="95"/>
      <c r="M74" s="95"/>
      <c r="N74" s="95"/>
      <c r="P74" s="95"/>
      <c r="Q74" s="95"/>
      <c r="R74" s="95"/>
      <c r="T74" s="95"/>
      <c r="U74" s="95"/>
      <c r="V74" s="95"/>
      <c r="X74" s="95"/>
      <c r="Y74" s="95"/>
      <c r="Z74" s="95"/>
      <c r="AB74" s="95"/>
    </row>
    <row r="75" spans="1:32" x14ac:dyDescent="0.2">
      <c r="E75" s="95"/>
      <c r="F75" s="95"/>
      <c r="L75" s="95"/>
      <c r="M75" s="95"/>
      <c r="N75" s="95"/>
      <c r="P75" s="95"/>
      <c r="Q75" s="95"/>
      <c r="R75" s="95"/>
      <c r="T75" s="95"/>
      <c r="U75" s="95"/>
      <c r="V75" s="95"/>
      <c r="X75" s="95"/>
      <c r="Y75" s="95"/>
      <c r="Z75" s="95"/>
      <c r="AB75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J23"/>
  <sheetViews>
    <sheetView tabSelected="1" topLeftCell="H1" zoomScale="120" zoomScaleNormal="120" workbookViewId="0">
      <selection activeCell="L2" sqref="L2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0" x14ac:dyDescent="0.2">
      <c r="A1" t="s">
        <v>259</v>
      </c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295</v>
      </c>
      <c r="J1" t="s">
        <v>278</v>
      </c>
    </row>
    <row r="2" spans="1:10" x14ac:dyDescent="0.2">
      <c r="A2" s="191">
        <v>44104</v>
      </c>
      <c r="B2" s="102">
        <f t="array" ref="B2:B23">TRANSPOSE('add-ons calculations'!F27:AA27)</f>
        <v>-27.915058409198195</v>
      </c>
      <c r="C2">
        <f t="array" ref="C2:C23">TRANSPOSE('add-ons calculations'!F34:AA34)</f>
        <v>-594.30799999999999</v>
      </c>
      <c r="D2">
        <f t="array" ref="D2:D23">TRANSPOSE('add-ons calculations'!F40:AA40)</f>
        <v>7.6999999999998181E-2</v>
      </c>
      <c r="E2">
        <f t="array" ref="E2:E23">TRANSPOSE('add-ons calculations'!F46:AA46)</f>
        <v>-3.8866096997453567</v>
      </c>
      <c r="F2">
        <f t="array" ref="F2:F23">TRANSPOSE('add-ons calculations'!F53:AA53)</f>
        <v>3.3000000000129148E-2</v>
      </c>
      <c r="G2">
        <f t="array" ref="G2:G23">TRANSPOSE('add-ons calculations'!F59:AA59)</f>
        <v>594.75700000000006</v>
      </c>
      <c r="H2">
        <f t="array" ref="H2:H23">TRANSPOSE('add-ons calculations'!F66:AA66)</f>
        <v>0.64599999999995816</v>
      </c>
      <c r="I2">
        <f t="array" ref="I2:I23">TRANSPOSE('add-ons calculations'!F73:AA73)</f>
        <v>45.496807283359942</v>
      </c>
      <c r="J2" s="102">
        <f>'add-ons calculations'!E70</f>
        <v>279.25</v>
      </c>
    </row>
    <row r="3" spans="1:10" x14ac:dyDescent="0.2">
      <c r="A3" s="191">
        <v>44196</v>
      </c>
      <c r="B3">
        <v>-32.704327813286227</v>
      </c>
      <c r="C3">
        <v>-692.55713474998106</v>
      </c>
      <c r="D3">
        <v>7.8557069878570474E-2</v>
      </c>
      <c r="E3">
        <v>-3.9652035032282242</v>
      </c>
      <c r="F3">
        <v>45.096857065685981</v>
      </c>
      <c r="G3">
        <v>318.14292016330819</v>
      </c>
      <c r="H3">
        <v>-832.73620114390815</v>
      </c>
      <c r="I3">
        <v>69.947500972419334</v>
      </c>
      <c r="J3" s="102">
        <f>'add-ons calculations'!F70</f>
        <v>286.92480728335994</v>
      </c>
    </row>
    <row r="4" spans="1:10" x14ac:dyDescent="0.2">
      <c r="A4" s="191">
        <v>44286</v>
      </c>
      <c r="B4">
        <v>-38.950540496437895</v>
      </c>
      <c r="C4">
        <v>-711.52675339946904</v>
      </c>
      <c r="D4">
        <v>7.9859932081717488E-2</v>
      </c>
      <c r="E4">
        <v>-4.0309660602918527</v>
      </c>
      <c r="F4">
        <v>59.279892038303615</v>
      </c>
      <c r="G4">
        <v>446.59185155977002</v>
      </c>
      <c r="H4">
        <v>-1119.5370992944099</v>
      </c>
      <c r="I4">
        <v>69.322815785041911</v>
      </c>
    </row>
    <row r="5" spans="1:10" x14ac:dyDescent="0.2">
      <c r="A5" s="191">
        <v>44377</v>
      </c>
      <c r="B5">
        <v>-47.076274386846876</v>
      </c>
      <c r="C5">
        <v>-728.46752464265205</v>
      </c>
      <c r="D5">
        <v>8.112982013653891E-2</v>
      </c>
      <c r="E5">
        <v>-4.09506423245044</v>
      </c>
      <c r="F5">
        <v>69.44417195254664</v>
      </c>
      <c r="G5">
        <v>524.1640779158954</v>
      </c>
      <c r="H5">
        <v>-1123.94552219907</v>
      </c>
      <c r="I5">
        <v>57.377360410402474</v>
      </c>
    </row>
    <row r="6" spans="1:10" x14ac:dyDescent="0.2">
      <c r="A6" s="191">
        <v>44469</v>
      </c>
      <c r="B6">
        <v>-55.202008277255885</v>
      </c>
      <c r="C6">
        <v>-722.69424287645336</v>
      </c>
      <c r="D6">
        <v>8.2487128032880719E-2</v>
      </c>
      <c r="E6">
        <v>-4.1635749599387637</v>
      </c>
      <c r="F6">
        <v>74.388541651348987</v>
      </c>
      <c r="G6">
        <v>503.13755341871888</v>
      </c>
      <c r="H6">
        <v>-1128.70611583505</v>
      </c>
      <c r="I6">
        <v>73.004211452751491</v>
      </c>
    </row>
    <row r="7" spans="1:10" x14ac:dyDescent="0.2">
      <c r="A7" s="191">
        <v>44561</v>
      </c>
      <c r="B7">
        <v>-52.759070450709885</v>
      </c>
      <c r="C7">
        <v>-747.52664805631559</v>
      </c>
      <c r="D7">
        <v>8.3396217589097432E-2</v>
      </c>
      <c r="E7">
        <v>-4.2094616647054508</v>
      </c>
      <c r="F7">
        <v>76.280953080059362</v>
      </c>
      <c r="G7">
        <v>471.38040129975207</v>
      </c>
      <c r="H7">
        <v>-1133.83774649154</v>
      </c>
      <c r="I7">
        <v>57.211771344119057</v>
      </c>
    </row>
    <row r="8" spans="1:10" x14ac:dyDescent="0.2">
      <c r="A8" s="191">
        <v>44651</v>
      </c>
      <c r="B8">
        <v>-6.4171494046923101</v>
      </c>
      <c r="C8">
        <v>-773.81361871247486</v>
      </c>
      <c r="D8">
        <v>0</v>
      </c>
      <c r="E8">
        <v>0</v>
      </c>
      <c r="F8">
        <v>78.173364508769737</v>
      </c>
      <c r="G8">
        <v>473.58933024706289</v>
      </c>
      <c r="H8">
        <v>-1164.58432880287</v>
      </c>
      <c r="I8">
        <v>40.833358543003243</v>
      </c>
    </row>
    <row r="9" spans="1:10" x14ac:dyDescent="0.2">
      <c r="A9" s="191">
        <v>44742</v>
      </c>
      <c r="B9">
        <v>-3.9742115781463099</v>
      </c>
      <c r="C9">
        <v>-798.76605954490742</v>
      </c>
      <c r="D9">
        <v>0</v>
      </c>
      <c r="E9">
        <v>0</v>
      </c>
      <c r="F9">
        <v>80.065775937479884</v>
      </c>
      <c r="G9">
        <v>470.17503572431679</v>
      </c>
      <c r="H9">
        <v>-1169.6720432144866</v>
      </c>
      <c r="I9">
        <v>30.39454995112672</v>
      </c>
    </row>
    <row r="10" spans="1:10" x14ac:dyDescent="0.2">
      <c r="A10" s="191">
        <v>44834</v>
      </c>
      <c r="B10">
        <v>-3.9334359995413877</v>
      </c>
      <c r="C10">
        <v>-822.04530225717781</v>
      </c>
      <c r="D10">
        <v>0</v>
      </c>
      <c r="E10">
        <v>0</v>
      </c>
      <c r="F10">
        <v>81.958187366190259</v>
      </c>
      <c r="G10">
        <v>458.97438045798049</v>
      </c>
      <c r="H10">
        <v>-1174.8247574617883</v>
      </c>
      <c r="I10">
        <v>19.416638483280963</v>
      </c>
    </row>
    <row r="11" spans="1:10" x14ac:dyDescent="0.2">
      <c r="A11" s="191">
        <v>44926</v>
      </c>
      <c r="B11">
        <v>-3.8930606112205055</v>
      </c>
      <c r="C11">
        <v>-843.43878221200498</v>
      </c>
      <c r="D11">
        <v>0</v>
      </c>
      <c r="E11">
        <v>0</v>
      </c>
      <c r="F11">
        <v>82.189929792666817</v>
      </c>
      <c r="G11">
        <v>458.78539286982527</v>
      </c>
      <c r="H11">
        <v>-1180.0424715447843</v>
      </c>
      <c r="I11">
        <v>8.9252580271594866</v>
      </c>
    </row>
    <row r="12" spans="1:10" x14ac:dyDescent="0.2">
      <c r="A12" s="191">
        <v>45016</v>
      </c>
      <c r="B12">
        <v>-3.8526852228995949</v>
      </c>
      <c r="C12">
        <v>-1060.4855909462101</v>
      </c>
      <c r="D12">
        <v>0</v>
      </c>
      <c r="E12">
        <v>0</v>
      </c>
      <c r="F12">
        <v>82.421672219143829</v>
      </c>
      <c r="G12">
        <v>458.92145981148656</v>
      </c>
      <c r="H12">
        <v>-1185.3370036154101</v>
      </c>
      <c r="I12">
        <v>-2.1160976584466766</v>
      </c>
    </row>
    <row r="13" spans="1:10" x14ac:dyDescent="0.2">
      <c r="A13" s="191">
        <v>45107</v>
      </c>
      <c r="B13">
        <v>-3.8123098345787128</v>
      </c>
      <c r="C13">
        <v>-1084.2029188339</v>
      </c>
      <c r="D13">
        <v>0</v>
      </c>
      <c r="E13">
        <v>0</v>
      </c>
      <c r="F13">
        <v>82.653414645620387</v>
      </c>
      <c r="G13">
        <v>459.27983126244203</v>
      </c>
      <c r="H13">
        <v>-1190.6551719899246</v>
      </c>
      <c r="I13">
        <v>-2.2181159245623121</v>
      </c>
    </row>
    <row r="14" spans="1:10" x14ac:dyDescent="0.2">
      <c r="A14" s="191">
        <v>45199</v>
      </c>
      <c r="B14">
        <v>-3.7719344462578306</v>
      </c>
      <c r="C14">
        <v>-1107.7741693066</v>
      </c>
      <c r="D14">
        <v>0</v>
      </c>
      <c r="E14">
        <v>0</v>
      </c>
      <c r="F14">
        <v>82.885157072096945</v>
      </c>
      <c r="G14">
        <v>460.27515024546528</v>
      </c>
      <c r="H14">
        <v>-1196.0501583520688</v>
      </c>
      <c r="I14">
        <v>-2.326327492008943</v>
      </c>
    </row>
    <row r="15" spans="1:10" x14ac:dyDescent="0.2">
      <c r="A15" s="191">
        <v>45291</v>
      </c>
      <c r="B15">
        <v>-3.8144384657560408</v>
      </c>
      <c r="C15">
        <v>-1115.1909072671201</v>
      </c>
      <c r="D15">
        <v>0</v>
      </c>
      <c r="E15">
        <v>0</v>
      </c>
      <c r="F15">
        <v>83.516344011266938</v>
      </c>
      <c r="G15">
        <v>465.28142201329092</v>
      </c>
      <c r="H15">
        <v>-1201.5219627018521</v>
      </c>
      <c r="I15">
        <v>-2.3418157241148947</v>
      </c>
    </row>
    <row r="16" spans="1:10" x14ac:dyDescent="0.2">
      <c r="A16" s="191">
        <v>45382</v>
      </c>
      <c r="B16">
        <v>-3.8569424852543079</v>
      </c>
      <c r="C16">
        <v>-1123.4841097175899</v>
      </c>
      <c r="D16">
        <v>0</v>
      </c>
      <c r="E16">
        <v>0</v>
      </c>
      <c r="F16">
        <v>84.147530950436703</v>
      </c>
      <c r="G16">
        <v>470.07385225677626</v>
      </c>
      <c r="H16">
        <v>-1207.0528578113385</v>
      </c>
      <c r="I16">
        <v>-2.3579339707288796</v>
      </c>
    </row>
    <row r="17" spans="1:9" x14ac:dyDescent="0.2">
      <c r="A17" s="191">
        <v>45473</v>
      </c>
      <c r="B17">
        <v>-3.8994465047525466</v>
      </c>
      <c r="C17">
        <v>-1132.5807379505</v>
      </c>
      <c r="D17">
        <v>0</v>
      </c>
      <c r="E17">
        <v>0</v>
      </c>
      <c r="F17">
        <v>84.778717889606924</v>
      </c>
      <c r="G17">
        <v>473.8692222311181</v>
      </c>
      <c r="H17">
        <v>-1212.595571072779</v>
      </c>
      <c r="I17">
        <v>-2.3744244847413825</v>
      </c>
    </row>
    <row r="18" spans="1:9" x14ac:dyDescent="0.2">
      <c r="A18" s="191">
        <v>45565</v>
      </c>
      <c r="B18">
        <v>-3.9419505242507569</v>
      </c>
      <c r="C18">
        <v>-1142.84598550333</v>
      </c>
      <c r="D18">
        <v>0</v>
      </c>
      <c r="E18">
        <v>0</v>
      </c>
      <c r="F18">
        <v>85.409904828776689</v>
      </c>
      <c r="G18">
        <v>477.05342484323</v>
      </c>
      <c r="H18">
        <v>-1218.1678297140711</v>
      </c>
      <c r="I18">
        <v>-2.3913872340075955</v>
      </c>
    </row>
    <row r="19" spans="1:9" x14ac:dyDescent="0.2">
      <c r="A19" s="191">
        <v>45657</v>
      </c>
      <c r="B19">
        <v>-3.9957932684627337</v>
      </c>
      <c r="C19">
        <v>-1151.10026686124</v>
      </c>
      <c r="D19">
        <v>0</v>
      </c>
      <c r="E19">
        <v>0</v>
      </c>
      <c r="F19">
        <v>87.449710174266329</v>
      </c>
      <c r="G19">
        <v>487.54964040751406</v>
      </c>
      <c r="H19">
        <v>-1223.7696337352338</v>
      </c>
      <c r="I19">
        <v>-2.3960404726840352</v>
      </c>
    </row>
    <row r="20" spans="1:9" x14ac:dyDescent="0.2">
      <c r="A20" s="191">
        <v>45747</v>
      </c>
      <c r="B20">
        <v>-4.0496360126746538</v>
      </c>
      <c r="C20">
        <v>-1159.20847080416</v>
      </c>
      <c r="D20">
        <v>0</v>
      </c>
      <c r="E20">
        <v>0</v>
      </c>
      <c r="F20">
        <v>89.489515519755287</v>
      </c>
      <c r="G20">
        <v>496.03413901799036</v>
      </c>
      <c r="H20">
        <v>-1229.3832559083221</v>
      </c>
      <c r="I20">
        <v>-2.4067509018543092</v>
      </c>
    </row>
    <row r="21" spans="1:9" x14ac:dyDescent="0.2">
      <c r="A21" s="191">
        <v>45838</v>
      </c>
      <c r="B21">
        <v>-4.1034787568866022</v>
      </c>
      <c r="C21">
        <v>-1167.9009844070299</v>
      </c>
      <c r="D21">
        <v>0</v>
      </c>
      <c r="E21">
        <v>0</v>
      </c>
      <c r="F21">
        <v>91.529320865244472</v>
      </c>
      <c r="G21">
        <v>502.73652774968809</v>
      </c>
      <c r="H21">
        <v>-1234.967332701568</v>
      </c>
      <c r="I21">
        <v>-2.4119507298030953</v>
      </c>
    </row>
    <row r="22" spans="1:9" x14ac:dyDescent="0.2">
      <c r="A22" s="191">
        <v>45930</v>
      </c>
      <c r="B22">
        <v>-4.1573215010985507</v>
      </c>
      <c r="C22">
        <v>-1177.2508463773599</v>
      </c>
      <c r="D22">
        <v>0</v>
      </c>
      <c r="E22">
        <v>0</v>
      </c>
      <c r="F22">
        <v>93.569126210734112</v>
      </c>
      <c r="G22">
        <v>507.46502580481706</v>
      </c>
      <c r="H22">
        <v>-1240.5573185707767</v>
      </c>
      <c r="I22">
        <v>-2.4174937807250103</v>
      </c>
    </row>
    <row r="23" spans="1:9" x14ac:dyDescent="0.2">
      <c r="A23" s="191">
        <v>46022</v>
      </c>
      <c r="B23">
        <v>-4.2133500465284044</v>
      </c>
      <c r="C23">
        <v>-1186.75511810546</v>
      </c>
      <c r="D23">
        <v>0</v>
      </c>
      <c r="E23">
        <v>0</v>
      </c>
      <c r="F23">
        <v>95.092661589469117</v>
      </c>
      <c r="G23">
        <v>509.68572475740962</v>
      </c>
      <c r="H23">
        <v>-1246.1473044399856</v>
      </c>
      <c r="I23">
        <v>-2.4208822536091361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D15" sqref="D15"/>
    </sheetView>
  </sheetViews>
  <sheetFormatPr baseColWidth="10" defaultColWidth="12" defaultRowHeight="16" x14ac:dyDescent="0.2"/>
  <cols>
    <col min="1" max="1" width="24.6640625" style="158" customWidth="1"/>
    <col min="2" max="2" width="16.6640625" style="158" customWidth="1"/>
    <col min="3" max="3" width="7.5" style="158" bestFit="1" customWidth="1"/>
    <col min="4" max="16384" width="12" style="158"/>
  </cols>
  <sheetData>
    <row r="2" spans="1:16" x14ac:dyDescent="0.2">
      <c r="B2" s="158" t="s">
        <v>234</v>
      </c>
    </row>
    <row r="3" spans="1:16" x14ac:dyDescent="0.2">
      <c r="B3" s="158" t="s">
        <v>235</v>
      </c>
    </row>
    <row r="4" spans="1:16" x14ac:dyDescent="0.2">
      <c r="A4" s="158" t="s">
        <v>236</v>
      </c>
      <c r="C4" s="158" t="s">
        <v>237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2">
      <c r="A5" s="158" t="s">
        <v>238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2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2">
      <c r="B7" s="158" t="s">
        <v>239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2">
      <c r="B8" s="161" t="s">
        <v>240</v>
      </c>
      <c r="C8" s="161"/>
      <c r="D8" s="162">
        <f>SUMPRODUCT(B5:B6,C5:C6)</f>
        <v>0.45</v>
      </c>
    </row>
    <row r="9" spans="1:16" x14ac:dyDescent="0.2">
      <c r="B9" s="158" t="s">
        <v>241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2">
      <c r="D11" s="164"/>
    </row>
    <row r="14" spans="1:16" x14ac:dyDescent="0.2">
      <c r="A14" s="158" t="s">
        <v>242</v>
      </c>
      <c r="C14" s="158" t="s">
        <v>237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2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2">
      <c r="A16" s="158" t="s">
        <v>243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2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2">
      <c r="B18" s="158" t="s">
        <v>239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2">
      <c r="B19" s="158" t="s">
        <v>244</v>
      </c>
      <c r="D19" s="158">
        <f>SUMPRODUCT(C15:C17,B15:B17)</f>
        <v>0.86186821348990206</v>
      </c>
    </row>
    <row r="20" spans="1:12" x14ac:dyDescent="0.2">
      <c r="B20" s="162" t="s">
        <v>241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2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2">
      <c r="A22" s="158" t="s">
        <v>245</v>
      </c>
    </row>
    <row r="23" spans="1:12" x14ac:dyDescent="0.2">
      <c r="A23" s="158" t="s">
        <v>246</v>
      </c>
    </row>
    <row r="24" spans="1:12" x14ac:dyDescent="0.2">
      <c r="C24" s="158" t="s">
        <v>111</v>
      </c>
    </row>
    <row r="25" spans="1:12" x14ac:dyDescent="0.2">
      <c r="B25" s="158" t="s">
        <v>34</v>
      </c>
      <c r="C25" s="158">
        <v>5654.6</v>
      </c>
    </row>
    <row r="26" spans="1:12" x14ac:dyDescent="0.2">
      <c r="B26" s="158" t="s">
        <v>247</v>
      </c>
      <c r="C26" s="158">
        <v>1065.5</v>
      </c>
      <c r="D26" s="158">
        <f>C26/C25</f>
        <v>0.18843065822516181</v>
      </c>
    </row>
    <row r="27" spans="1:12" x14ac:dyDescent="0.2">
      <c r="B27" s="158" t="s">
        <v>248</v>
      </c>
      <c r="C27" s="158">
        <v>1078.0999999999999</v>
      </c>
      <c r="D27" s="158">
        <f>C27/C25</f>
        <v>0.19065893255048985</v>
      </c>
    </row>
    <row r="28" spans="1:12" x14ac:dyDescent="0.2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15" t="s">
        <v>32</v>
      </c>
      <c r="B5" s="316"/>
      <c r="C5" s="316"/>
      <c r="D5" s="316"/>
      <c r="E5" s="316"/>
      <c r="F5" s="316"/>
      <c r="G5" s="316"/>
      <c r="H5" s="316"/>
      <c r="I5" s="316"/>
      <c r="J5" s="316"/>
      <c r="K5" s="316"/>
      <c r="L5" s="316"/>
      <c r="M5" s="316"/>
      <c r="N5" s="316"/>
      <c r="O5" s="316"/>
      <c r="P5" s="316"/>
      <c r="Q5" s="316"/>
      <c r="R5" s="316"/>
      <c r="S5" s="316"/>
    </row>
    <row r="6" spans="1:19" s="6" customFormat="1" ht="15" customHeight="1" x14ac:dyDescent="0.15">
      <c r="A6" s="317" t="s">
        <v>33</v>
      </c>
      <c r="B6" s="317"/>
      <c r="C6" s="317"/>
      <c r="D6" s="317"/>
      <c r="E6" s="317"/>
      <c r="F6" s="317"/>
      <c r="G6" s="317"/>
      <c r="H6" s="317"/>
      <c r="I6" s="317"/>
      <c r="J6" s="317"/>
      <c r="K6" s="317"/>
      <c r="L6" s="317"/>
      <c r="M6" s="317"/>
      <c r="N6" s="317"/>
      <c r="O6" s="317"/>
      <c r="P6" s="317"/>
      <c r="Q6" s="317"/>
      <c r="R6" s="317"/>
      <c r="S6" s="317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18"/>
      <c r="S8" s="319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15">
      <c r="A12" s="130"/>
      <c r="B12" s="28"/>
      <c r="C12" s="28"/>
      <c r="D12" s="28" t="s">
        <v>222</v>
      </c>
      <c r="E12" s="28" t="s">
        <v>220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228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221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227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226</v>
      </c>
    </row>
    <row r="15" spans="1:19" x14ac:dyDescent="0.2">
      <c r="A15" t="s">
        <v>225</v>
      </c>
      <c r="F15" s="94">
        <f>main!I76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2">
      <c r="A19" t="s">
        <v>223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02" t="s">
        <v>209</v>
      </c>
      <c r="B1" s="302"/>
      <c r="C1" s="35"/>
      <c r="H1"/>
      <c r="I1"/>
      <c r="J1"/>
      <c r="X1" t="s">
        <v>28</v>
      </c>
      <c r="Z1" s="320" t="s">
        <v>84</v>
      </c>
      <c r="AA1" s="320"/>
      <c r="AB1" s="320"/>
      <c r="AC1" s="301"/>
      <c r="AD1" s="301"/>
      <c r="AE1" s="301"/>
      <c r="AF1" s="301"/>
    </row>
    <row r="2" spans="1:32" x14ac:dyDescent="0.2">
      <c r="A2" s="321" t="s">
        <v>193</v>
      </c>
      <c r="B2" s="107"/>
      <c r="C2" t="s">
        <v>194</v>
      </c>
    </row>
    <row r="3" spans="1:32" x14ac:dyDescent="0.2">
      <c r="A3" s="321"/>
      <c r="B3" s="108"/>
      <c r="C3" t="s">
        <v>195</v>
      </c>
    </row>
    <row r="4" spans="1:32" x14ac:dyDescent="0.2">
      <c r="A4" s="321"/>
      <c r="B4" s="109"/>
      <c r="C4" t="s">
        <v>196</v>
      </c>
    </row>
    <row r="5" spans="1:32" x14ac:dyDescent="0.2">
      <c r="A5" s="321"/>
      <c r="B5" s="98"/>
      <c r="C5" t="s">
        <v>183</v>
      </c>
    </row>
    <row r="7" spans="1:32" x14ac:dyDescent="0.2">
      <c r="C7" s="311" t="s">
        <v>161</v>
      </c>
      <c r="D7" s="312"/>
      <c r="E7" s="312"/>
      <c r="F7" s="313"/>
      <c r="G7" s="311" t="s">
        <v>167</v>
      </c>
      <c r="H7" s="312"/>
      <c r="I7" s="312"/>
      <c r="J7" s="313"/>
      <c r="K7" s="311" t="s">
        <v>178</v>
      </c>
      <c r="L7" s="312"/>
      <c r="M7" s="312"/>
      <c r="N7" s="313"/>
    </row>
    <row r="8" spans="1:32" s="2" customFormat="1" x14ac:dyDescent="0.2">
      <c r="B8" s="2" t="s">
        <v>201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166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172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173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174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175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176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177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168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169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170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171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197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186</v>
      </c>
      <c r="B23" s="110"/>
    </row>
    <row r="24" spans="1:12" x14ac:dyDescent="0.2">
      <c r="B24" t="s">
        <v>187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188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181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179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180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189</v>
      </c>
      <c r="B31" s="110"/>
    </row>
    <row r="32" spans="1:12" x14ac:dyDescent="0.2">
      <c r="B32" t="s">
        <v>187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188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181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179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180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185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181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182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179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180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184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181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182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179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180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190</v>
      </c>
      <c r="B53" s="105"/>
    </row>
    <row r="54" spans="1:12" x14ac:dyDescent="0.2">
      <c r="B54" t="s">
        <v>187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188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181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179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180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191</v>
      </c>
      <c r="B61" s="105"/>
    </row>
    <row r="62" spans="1:12" x14ac:dyDescent="0.2">
      <c r="B62" t="s">
        <v>187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188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181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179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180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192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main!J46/1000</f>
        <v>1086.548</v>
      </c>
      <c r="F70" s="102">
        <f>main!K46/1000</f>
        <v>1212.346</v>
      </c>
      <c r="G70" s="102">
        <f>main!N46/1000</f>
        <v>382.93200834658188</v>
      </c>
      <c r="H70" s="102">
        <f>main!O46/1000</f>
        <v>100.25024999999999</v>
      </c>
      <c r="I70" s="102">
        <f>main!P46/1000</f>
        <v>100.25024999999999</v>
      </c>
      <c r="J70" s="102">
        <f>main!Q46/1000</f>
        <v>100.25024999999999</v>
      </c>
      <c r="K70" s="102">
        <f>main!R46/1000</f>
        <v>100.25024999999999</v>
      </c>
    </row>
    <row r="71" spans="1:11" x14ac:dyDescent="0.2">
      <c r="B71" t="s">
        <v>179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180</v>
      </c>
      <c r="D72" s="103"/>
      <c r="E72" s="103"/>
      <c r="F72" s="103">
        <f>F70-F71</f>
        <v>122.53170595403003</v>
      </c>
      <c r="G72" s="103">
        <f t="shared" ref="G72:K72" si="23">G70-G71</f>
        <v>-710.45133036762809</v>
      </c>
      <c r="H72" s="103">
        <f t="shared" si="23"/>
        <v>-996.83788151563999</v>
      </c>
      <c r="I72" s="103">
        <f t="shared" si="23"/>
        <v>-1000.80285823899</v>
      </c>
      <c r="J72" s="103">
        <f t="shared" si="23"/>
        <v>-1005.0845806064399</v>
      </c>
      <c r="K72" s="103">
        <f t="shared" si="23"/>
        <v>-1009.7000171346299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198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187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188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199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200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181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179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180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40"/>
  <sheetViews>
    <sheetView topLeftCell="H15" zoomScale="110" zoomScaleNormal="110" workbookViewId="0">
      <selection activeCell="N38" sqref="N38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</cols>
  <sheetData>
    <row r="1" spans="1:24" x14ac:dyDescent="0.2">
      <c r="L1" s="46"/>
      <c r="M1" s="46"/>
    </row>
    <row r="2" spans="1:24" x14ac:dyDescent="0.2">
      <c r="A2" s="327" t="s">
        <v>104</v>
      </c>
      <c r="B2" s="327"/>
      <c r="C2" s="327"/>
      <c r="D2" s="327"/>
      <c r="E2" s="327"/>
      <c r="F2" s="327"/>
      <c r="G2" s="327"/>
      <c r="H2" s="327"/>
      <c r="I2" s="327"/>
      <c r="J2" s="327"/>
      <c r="K2" s="77"/>
    </row>
    <row r="3" spans="1:24" x14ac:dyDescent="0.2">
      <c r="A3" s="327" t="s">
        <v>105</v>
      </c>
      <c r="B3" s="327"/>
      <c r="C3" s="327"/>
      <c r="D3" s="327"/>
      <c r="E3" s="327"/>
      <c r="F3" s="327"/>
      <c r="G3" s="327"/>
      <c r="H3" s="327"/>
      <c r="I3" s="327"/>
      <c r="J3" s="327"/>
      <c r="K3" s="77"/>
    </row>
    <row r="4" spans="1:24" ht="16" thickBot="1" x14ac:dyDescent="0.25">
      <c r="A4" s="328"/>
      <c r="B4" s="328"/>
      <c r="C4" s="328"/>
      <c r="D4" s="328"/>
      <c r="E4" s="328"/>
      <c r="F4" s="328"/>
      <c r="G4" s="328"/>
      <c r="H4" s="328"/>
      <c r="I4" s="328"/>
      <c r="J4" s="328"/>
      <c r="K4" s="333" t="s">
        <v>161</v>
      </c>
      <c r="L4" s="333"/>
      <c r="M4" s="333"/>
      <c r="N4" s="333"/>
    </row>
    <row r="5" spans="1:24" x14ac:dyDescent="0.2">
      <c r="A5" s="47"/>
      <c r="B5" s="48"/>
      <c r="C5" s="329" t="s">
        <v>106</v>
      </c>
      <c r="D5" s="330"/>
      <c r="E5" s="330"/>
      <c r="F5" s="330"/>
      <c r="G5" s="330"/>
      <c r="H5" s="330"/>
      <c r="I5" s="330"/>
      <c r="J5" s="331"/>
      <c r="K5" s="78"/>
      <c r="L5" s="332" t="s">
        <v>107</v>
      </c>
      <c r="M5" s="301"/>
      <c r="N5" s="301"/>
    </row>
    <row r="6" spans="1:24" x14ac:dyDescent="0.2">
      <c r="A6" s="1" t="s">
        <v>109</v>
      </c>
      <c r="B6" s="49"/>
      <c r="C6" s="323">
        <v>2020</v>
      </c>
      <c r="D6" s="324"/>
      <c r="E6" s="324"/>
      <c r="F6" s="324"/>
      <c r="G6" s="324"/>
      <c r="H6" s="324"/>
      <c r="I6" s="324"/>
      <c r="J6" s="325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4"/>
      <c r="J8" s="61">
        <v>1364</v>
      </c>
      <c r="K8" s="82">
        <v>27.8</v>
      </c>
      <c r="L8" s="73">
        <v>43.4</v>
      </c>
      <c r="M8" s="73">
        <f>AVERAGE(F8:H8)</f>
        <v>1112.5333333333333</v>
      </c>
      <c r="N8" s="73">
        <f>4*N26</f>
        <v>772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5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5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37.413333333333327</v>
      </c>
      <c r="O10">
        <f t="shared" si="1"/>
        <v>60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4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146.10666666666663</v>
      </c>
      <c r="O11">
        <f t="shared" si="1"/>
        <v>40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5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456.1733333333334</v>
      </c>
      <c r="O12">
        <f t="shared" si="1"/>
        <v>20</v>
      </c>
    </row>
    <row r="13" spans="1:24" x14ac:dyDescent="0.2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632</v>
      </c>
      <c r="O17" s="80">
        <f t="shared" si="3"/>
        <v>188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277.60000000000002</v>
      </c>
      <c r="N18" s="80">
        <f t="shared" ref="N18:W18" si="5">4*N38</f>
        <v>140</v>
      </c>
      <c r="O18" s="80">
        <f t="shared" si="5"/>
        <v>80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48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01" t="s">
        <v>9</v>
      </c>
      <c r="L22" s="301"/>
      <c r="M22" s="301"/>
      <c r="N22" s="301"/>
      <c r="O22" s="301" t="s">
        <v>10</v>
      </c>
      <c r="P22" s="301"/>
      <c r="Q22" s="301"/>
      <c r="R22" s="301"/>
      <c r="S22" s="301" t="s">
        <v>11</v>
      </c>
      <c r="T22" s="301"/>
      <c r="U22" s="301"/>
      <c r="V22" s="301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26" t="s">
        <v>108</v>
      </c>
      <c r="L23" s="326"/>
      <c r="M23" s="326"/>
      <c r="N23" s="326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278.13333333333333</v>
      </c>
      <c r="N26" s="83">
        <f>N37+N38</f>
        <v>193</v>
      </c>
      <c r="O26" s="84">
        <f>O33+O34</f>
        <v>57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25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22" t="s">
        <v>261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f>F24-M28</f>
        <v>9.3533333333333317</v>
      </c>
      <c r="O28" s="84">
        <v>15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22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f>F23-M29</f>
        <v>36.526666666666657</v>
      </c>
      <c r="O29" s="84">
        <v>10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22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f>F22-M30</f>
        <v>114.04333333333335</v>
      </c>
      <c r="O30" s="84">
        <v>5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8" t="s">
        <v>128</v>
      </c>
      <c r="F31" s="72">
        <f>F24</f>
        <v>11.12</v>
      </c>
      <c r="G31" s="72">
        <f>G24</f>
        <v>47.8</v>
      </c>
      <c r="H31">
        <f>24</f>
        <v>24</v>
      </c>
      <c r="I31" s="322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8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22" t="s">
        <v>141</v>
      </c>
      <c r="J33" s="85" t="s">
        <v>261</v>
      </c>
      <c r="M33" s="72">
        <f t="shared" ref="M33:V33" si="9">SUM(M28:M31)</f>
        <v>206.96666666666664</v>
      </c>
      <c r="N33" s="72">
        <f t="shared" si="9"/>
        <v>162.92333333333335</v>
      </c>
      <c r="O33" s="72">
        <f t="shared" si="9"/>
        <v>32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22"/>
      <c r="J34" t="s">
        <v>262</v>
      </c>
      <c r="K34" s="72">
        <f>K26-K33</f>
        <v>6.95</v>
      </c>
      <c r="L34" s="72">
        <f>L26-L33</f>
        <v>10.85</v>
      </c>
      <c r="M34" s="72">
        <f>M26-M33</f>
        <v>71.166666666666686</v>
      </c>
      <c r="N34" s="72">
        <f>N26-N33</f>
        <v>30.076666666666654</v>
      </c>
      <c r="O34" s="72">
        <v>25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119.04333333333334</v>
      </c>
      <c r="R35" s="72"/>
    </row>
    <row r="36" spans="3:23" x14ac:dyDescent="0.2">
      <c r="C36" t="s">
        <v>271</v>
      </c>
    </row>
    <row r="37" spans="3:23" x14ac:dyDescent="0.2">
      <c r="C37" t="s">
        <v>272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:M37" si="10">L33+L28</f>
        <v>0</v>
      </c>
      <c r="M37" s="72">
        <f t="shared" si="10"/>
        <v>208.73333333333332</v>
      </c>
      <c r="N37" s="72">
        <v>158</v>
      </c>
      <c r="O37" s="72">
        <f>O33+O28</f>
        <v>47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M38" si="13">L26-L37</f>
        <v>10.85</v>
      </c>
      <c r="M38" s="72">
        <f t="shared" si="13"/>
        <v>69.400000000000006</v>
      </c>
      <c r="N38" s="72">
        <v>35</v>
      </c>
      <c r="O38" s="72">
        <v>20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>
        <f>O37-O28</f>
        <v>32</v>
      </c>
      <c r="P40" s="72">
        <f t="shared" ref="P40:S40" si="14">P37-P28</f>
        <v>26</v>
      </c>
      <c r="Q40" s="72">
        <f t="shared" si="14"/>
        <v>14</v>
      </c>
      <c r="R40" s="72">
        <f t="shared" si="14"/>
        <v>0</v>
      </c>
      <c r="S40" s="72">
        <f t="shared" si="14"/>
        <v>0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35" t="s">
        <v>87</v>
      </c>
      <c r="F6" s="335"/>
      <c r="G6" s="335"/>
      <c r="H6" s="335"/>
      <c r="I6" s="335"/>
      <c r="J6" s="335"/>
      <c r="K6" s="335"/>
      <c r="L6" s="335"/>
      <c r="M6" s="335"/>
      <c r="N6" s="335"/>
      <c r="O6" s="335"/>
      <c r="P6" s="335"/>
      <c r="Q6" s="335"/>
      <c r="R6" s="335"/>
    </row>
    <row r="7" spans="1:18" x14ac:dyDescent="0.2">
      <c r="A7" s="334" t="s">
        <v>88</v>
      </c>
      <c r="B7" s="334"/>
      <c r="C7" s="334"/>
      <c r="D7" s="334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34" t="s">
        <v>89</v>
      </c>
      <c r="C8" s="334"/>
      <c r="D8" s="334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34" t="s">
        <v>90</v>
      </c>
      <c r="C9" s="334"/>
      <c r="D9" s="334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34" t="s">
        <v>91</v>
      </c>
      <c r="C10" s="334"/>
      <c r="D10" s="334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34" t="s">
        <v>58</v>
      </c>
      <c r="C11" s="334"/>
      <c r="D11" s="334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34" t="s">
        <v>34</v>
      </c>
      <c r="D13" s="334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34" t="s">
        <v>89</v>
      </c>
      <c r="C19" s="334"/>
      <c r="D19" s="334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34" t="s">
        <v>90</v>
      </c>
      <c r="C20" s="334"/>
      <c r="D20" s="334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34" t="s">
        <v>91</v>
      </c>
      <c r="C21" s="334"/>
      <c r="D21" s="334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34" t="s">
        <v>58</v>
      </c>
      <c r="C22" s="334"/>
      <c r="D22" s="334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36" t="s">
        <v>95</v>
      </c>
      <c r="I27" s="336"/>
      <c r="J27" s="336"/>
      <c r="K27" s="336"/>
      <c r="L27" s="336"/>
      <c r="M27" s="336"/>
      <c r="N27" s="336"/>
      <c r="O27" s="336"/>
      <c r="P27" s="336"/>
      <c r="Q27" s="336"/>
      <c r="R27" s="336"/>
      <c r="S27" s="336"/>
      <c r="T27" s="336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37" t="s">
        <v>99</v>
      </c>
      <c r="G37" s="337"/>
      <c r="H37" s="337"/>
      <c r="I37" s="337"/>
      <c r="J37" s="337"/>
      <c r="K37" s="337"/>
      <c r="L37" s="337"/>
      <c r="M37" s="337"/>
      <c r="N37" s="337"/>
      <c r="O37" s="337"/>
      <c r="P37" s="337"/>
      <c r="Q37" s="337"/>
      <c r="R37" s="337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36" t="s">
        <v>101</v>
      </c>
      <c r="G48" s="336"/>
      <c r="H48" s="336"/>
      <c r="I48" s="336"/>
      <c r="J48" s="336"/>
      <c r="K48" s="336"/>
      <c r="L48" s="336"/>
      <c r="M48" s="336"/>
      <c r="N48" s="336"/>
      <c r="O48" s="336"/>
      <c r="P48" s="336"/>
      <c r="Q48" s="336"/>
      <c r="R48" s="336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15" t="s">
        <v>32</v>
      </c>
      <c r="B5" s="316"/>
      <c r="C5" s="316"/>
      <c r="D5" s="316"/>
      <c r="E5" s="316"/>
      <c r="F5" s="316"/>
      <c r="G5" s="316"/>
      <c r="H5" s="316"/>
      <c r="I5" s="316"/>
      <c r="J5" s="316"/>
      <c r="K5" s="316"/>
      <c r="L5" s="316"/>
      <c r="M5" s="316"/>
      <c r="N5" s="316"/>
      <c r="O5" s="316"/>
      <c r="P5" s="316"/>
      <c r="Q5" s="316"/>
      <c r="R5" s="316"/>
      <c r="S5" s="316"/>
    </row>
    <row r="6" spans="1:19" s="6" customFormat="1" ht="15" customHeight="1" x14ac:dyDescent="0.15">
      <c r="A6" s="317" t="s">
        <v>33</v>
      </c>
      <c r="B6" s="317"/>
      <c r="C6" s="317"/>
      <c r="D6" s="317"/>
      <c r="E6" s="317"/>
      <c r="F6" s="317"/>
      <c r="G6" s="317"/>
      <c r="H6" s="317"/>
      <c r="I6" s="317"/>
      <c r="J6" s="317"/>
      <c r="K6" s="317"/>
      <c r="L6" s="317"/>
      <c r="M6" s="317"/>
      <c r="N6" s="317"/>
      <c r="O6" s="317"/>
      <c r="P6" s="317"/>
      <c r="Q6" s="317"/>
      <c r="R6" s="317"/>
      <c r="S6" s="317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18" t="s">
        <v>34</v>
      </c>
      <c r="S8" s="319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38" t="s">
        <v>42</v>
      </c>
      <c r="E75" s="339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0E13C6-C717-4C73-9EC5-EE5855C1B9D0}">
  <ds:schemaRefs>
    <ds:schemaRef ds:uri="http://purl.org/dc/dcmitype/"/>
    <ds:schemaRef ds:uri="66951ee6-cd93-49c7-9437-e871b2a117d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cac5d118-ba7b-4807-b700-df6f95cfff5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add-ons calculations</vt:lpstr>
      <vt:lpstr>FIM Add Factors</vt:lpstr>
      <vt:lpstr>MPC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2020-11-18T16:55:17Z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