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DA0B2CDF-1BDD-4301-B563-65227E2F3576}" xr6:coauthVersionLast="44" xr6:coauthVersionMax="44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4" i="1" l="1"/>
  <c r="M86" i="1" s="1"/>
  <c r="N74" i="1"/>
  <c r="M73" i="1"/>
  <c r="L73" i="1"/>
  <c r="L70" i="1" s="1"/>
  <c r="O93" i="1"/>
  <c r="O94" i="1"/>
  <c r="O95" i="1"/>
  <c r="D22" i="5"/>
  <c r="D29" i="5"/>
  <c r="D36" i="5"/>
  <c r="D42" i="5"/>
  <c r="D48" i="5"/>
  <c r="D55" i="5"/>
  <c r="O75" i="1"/>
  <c r="P75" i="1"/>
  <c r="Q75" i="1"/>
  <c r="R75" i="1"/>
  <c r="S75" i="1"/>
  <c r="O92" i="1" l="1"/>
  <c r="L8" i="1"/>
  <c r="K8" i="1"/>
  <c r="J8" i="1"/>
  <c r="I8" i="1"/>
  <c r="H8" i="1"/>
  <c r="G8" i="1"/>
  <c r="M13" i="4" l="1"/>
  <c r="M12" i="4"/>
  <c r="M11" i="4"/>
  <c r="M10" i="4"/>
  <c r="T75" i="1"/>
  <c r="U75" i="1"/>
  <c r="V75" i="1"/>
  <c r="W75" i="1"/>
  <c r="X75" i="1"/>
  <c r="Y75" i="1"/>
  <c r="Z75" i="1"/>
  <c r="L74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3" i="1"/>
  <c r="N109" i="1"/>
  <c r="N106" i="1"/>
  <c r="N103" i="1"/>
  <c r="N100" i="1"/>
  <c r="N96" i="1"/>
  <c r="N89" i="1"/>
  <c r="N88" i="1"/>
  <c r="N90" i="1" s="1"/>
  <c r="N69" i="1"/>
  <c r="N62" i="1"/>
  <c r="N61" i="1"/>
  <c r="N60" i="1"/>
  <c r="N58" i="1"/>
  <c r="N55" i="1"/>
  <c r="N50" i="1"/>
  <c r="N48" i="1"/>
  <c r="N41" i="1"/>
  <c r="N35" i="1"/>
  <c r="N34" i="1"/>
  <c r="N18" i="1"/>
  <c r="N15" i="1"/>
  <c r="N12" i="1"/>
  <c r="N7" i="1"/>
  <c r="N5" i="1"/>
  <c r="N29" i="1"/>
  <c r="N28" i="1"/>
  <c r="N27" i="1"/>
  <c r="L105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7" i="1"/>
  <c r="N111" i="1"/>
  <c r="N98" i="1"/>
  <c r="N26" i="1"/>
  <c r="G35" i="5" s="1"/>
  <c r="G37" i="5" s="1"/>
  <c r="N105" i="1"/>
  <c r="N101" i="1"/>
  <c r="O101" i="1" s="1"/>
  <c r="P101" i="1" s="1"/>
  <c r="Q101" i="1" s="1"/>
  <c r="R101" i="1" s="1"/>
  <c r="S101" i="1" s="1"/>
  <c r="N115" i="1"/>
  <c r="N71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N59" i="1"/>
  <c r="N47" i="1"/>
  <c r="N40" i="1"/>
  <c r="N11" i="1"/>
  <c r="N6" i="1"/>
  <c r="N30" i="1" s="1"/>
  <c r="G41" i="5" s="1"/>
  <c r="G43" i="5" s="1"/>
  <c r="N91" i="1"/>
  <c r="N86" i="1" l="1"/>
  <c r="F21" i="5"/>
  <c r="F24" i="5" s="1"/>
  <c r="G47" i="5"/>
  <c r="G50" i="5" s="1"/>
  <c r="N56" i="1"/>
  <c r="N51" i="1"/>
  <c r="N31" i="1"/>
  <c r="O26" i="4"/>
  <c r="N26" i="4"/>
  <c r="L115" i="1"/>
  <c r="D21" i="5" s="1"/>
  <c r="K115" i="1"/>
  <c r="J115" i="1"/>
  <c r="I115" i="1"/>
  <c r="H115" i="1"/>
  <c r="G115" i="1"/>
  <c r="F115" i="1"/>
  <c r="N52" i="1" l="1"/>
  <c r="B21" i="16"/>
  <c r="C20" i="16"/>
  <c r="S67" i="1" s="1"/>
  <c r="S56" i="1" s="1"/>
  <c r="C19" i="16"/>
  <c r="R39" i="1" s="1"/>
  <c r="C18" i="16"/>
  <c r="R66" i="1" s="1"/>
  <c r="C17" i="16"/>
  <c r="B16" i="16"/>
  <c r="C16" i="16" s="1"/>
  <c r="C15" i="16"/>
  <c r="P38" i="1" s="1"/>
  <c r="B13" i="16"/>
  <c r="C13" i="16" s="1"/>
  <c r="V82" i="1" s="1"/>
  <c r="B10" i="16"/>
  <c r="C10" i="16" s="1"/>
  <c r="U84" i="1" s="1"/>
  <c r="C9" i="16"/>
  <c r="P95" i="1" s="1"/>
  <c r="C8" i="16"/>
  <c r="Q94" i="1" s="1"/>
  <c r="C7" i="16"/>
  <c r="C14" i="16"/>
  <c r="C12" i="16"/>
  <c r="P65" i="1" s="1"/>
  <c r="C11" i="16"/>
  <c r="C6" i="16"/>
  <c r="C5" i="16"/>
  <c r="T83" i="1" s="1"/>
  <c r="C4" i="16"/>
  <c r="O37" i="1" s="1"/>
  <c r="P5" i="9" s="1"/>
  <c r="C3" i="16"/>
  <c r="O45" i="1" s="1"/>
  <c r="C2" i="16"/>
  <c r="R95" i="1"/>
  <c r="AD96" i="1"/>
  <c r="AC96" i="1"/>
  <c r="AI96" i="1"/>
  <c r="AJ96" i="1"/>
  <c r="AK96" i="1"/>
  <c r="W97" i="1"/>
  <c r="X97" i="1"/>
  <c r="Y97" i="1"/>
  <c r="Z97" i="1"/>
  <c r="P82" i="1" l="1"/>
  <c r="P93" i="1"/>
  <c r="O82" i="1"/>
  <c r="W82" i="1"/>
  <c r="W83" i="1"/>
  <c r="T67" i="1"/>
  <c r="X83" i="1"/>
  <c r="Q93" i="1"/>
  <c r="P64" i="1"/>
  <c r="O64" i="1"/>
  <c r="Q95" i="1"/>
  <c r="Z83" i="1"/>
  <c r="X82" i="1"/>
  <c r="V84" i="1"/>
  <c r="Y82" i="1"/>
  <c r="W84" i="1"/>
  <c r="Z82" i="1"/>
  <c r="X84" i="1"/>
  <c r="Y83" i="1"/>
  <c r="O83" i="1"/>
  <c r="Y84" i="1"/>
  <c r="R93" i="1"/>
  <c r="O66" i="1"/>
  <c r="P83" i="1"/>
  <c r="Z84" i="1"/>
  <c r="P66" i="1"/>
  <c r="Q83" i="1"/>
  <c r="Q66" i="1"/>
  <c r="U83" i="1"/>
  <c r="V83" i="1"/>
  <c r="Z85" i="1"/>
  <c r="Y85" i="1"/>
  <c r="X85" i="1"/>
  <c r="W85" i="1"/>
  <c r="V85" i="1"/>
  <c r="O85" i="1"/>
  <c r="U85" i="1"/>
  <c r="T85" i="1"/>
  <c r="S85" i="1"/>
  <c r="R85" i="1"/>
  <c r="Q85" i="1"/>
  <c r="P85" i="1"/>
  <c r="O65" i="1"/>
  <c r="U67" i="1"/>
  <c r="Q65" i="1"/>
  <c r="V67" i="1"/>
  <c r="O39" i="1"/>
  <c r="O67" i="1"/>
  <c r="P39" i="1"/>
  <c r="R94" i="1"/>
  <c r="Q39" i="1"/>
  <c r="O84" i="1"/>
  <c r="Q82" i="1"/>
  <c r="P84" i="1"/>
  <c r="O38" i="1"/>
  <c r="R82" i="1"/>
  <c r="Q84" i="1"/>
  <c r="R67" i="1"/>
  <c r="S82" i="1"/>
  <c r="R84" i="1"/>
  <c r="Q67" i="1"/>
  <c r="T82" i="1"/>
  <c r="R83" i="1"/>
  <c r="S84" i="1"/>
  <c r="P67" i="1"/>
  <c r="U82" i="1"/>
  <c r="S83" i="1"/>
  <c r="T84" i="1"/>
  <c r="P94" i="1"/>
  <c r="W55" i="1"/>
  <c r="X55" i="1"/>
  <c r="Y55" i="1"/>
  <c r="Z55" i="1"/>
  <c r="Z9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92" i="1" l="1"/>
  <c r="Q92" i="1"/>
  <c r="V81" i="1"/>
  <c r="V74" i="1" s="1"/>
  <c r="O56" i="1"/>
  <c r="W81" i="1"/>
  <c r="W74" i="1" s="1"/>
  <c r="Y81" i="1"/>
  <c r="Y74" i="1" s="1"/>
  <c r="Z81" i="1"/>
  <c r="Z74" i="1" s="1"/>
  <c r="U81" i="1"/>
  <c r="U74" i="1" s="1"/>
  <c r="X81" i="1"/>
  <c r="X74" i="1" s="1"/>
  <c r="P81" i="1"/>
  <c r="P74" i="1" s="1"/>
  <c r="Q81" i="1"/>
  <c r="Q74" i="1" s="1"/>
  <c r="O81" i="1"/>
  <c r="O74" i="1" s="1"/>
  <c r="T81" i="1"/>
  <c r="T74" i="1" s="1"/>
  <c r="R92" i="1"/>
  <c r="S81" i="1"/>
  <c r="S74" i="1" s="1"/>
  <c r="R81" i="1"/>
  <c r="R74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10" i="1" l="1"/>
  <c r="P110" i="1" s="1"/>
  <c r="Q110" i="1" s="1"/>
  <c r="R110" i="1" s="1"/>
  <c r="S110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5" i="1"/>
  <c r="X115" i="1"/>
  <c r="W115" i="1"/>
  <c r="Y114" i="1"/>
  <c r="X114" i="1"/>
  <c r="W114" i="1"/>
  <c r="G107" i="1"/>
  <c r="H107" i="1"/>
  <c r="I107" i="1"/>
  <c r="J107" i="1"/>
  <c r="K107" i="1"/>
  <c r="L107" i="1"/>
  <c r="L111" i="1"/>
  <c r="K111" i="1"/>
  <c r="W116" i="1" l="1"/>
  <c r="X116" i="1"/>
  <c r="Y116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8" i="1" s="1"/>
  <c r="T4" i="10"/>
  <c r="Q64" i="5"/>
  <c r="R61" i="5"/>
  <c r="X35" i="1" l="1"/>
  <c r="X98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8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101" i="1" l="1"/>
  <c r="K101" i="1"/>
  <c r="J101" i="1"/>
  <c r="I101" i="1"/>
  <c r="H101" i="1"/>
  <c r="G101" i="1"/>
  <c r="F101" i="1"/>
  <c r="G71" i="1"/>
  <c r="H71" i="1"/>
  <c r="I71" i="1"/>
  <c r="J71" i="1"/>
  <c r="K71" i="1"/>
  <c r="L71" i="1"/>
  <c r="L72" i="1" s="1"/>
  <c r="F71" i="1"/>
  <c r="J105" i="1"/>
  <c r="K105" i="1"/>
  <c r="G105" i="1"/>
  <c r="H105" i="1"/>
  <c r="I105" i="1"/>
  <c r="F105" i="1"/>
  <c r="F15" i="7" l="1"/>
  <c r="F13" i="7" s="1"/>
  <c r="L86" i="1"/>
  <c r="E68" i="5" s="1"/>
  <c r="J2" i="9" s="1"/>
  <c r="K86" i="1"/>
  <c r="T110" i="1"/>
  <c r="I15" i="7" l="1"/>
  <c r="I13" i="7" s="1"/>
  <c r="AK103" i="1" s="1"/>
  <c r="K15" i="7"/>
  <c r="K13" i="7" s="1"/>
  <c r="H15" i="7"/>
  <c r="H13" i="7" s="1"/>
  <c r="AJ103" i="1" s="1"/>
  <c r="G15" i="7"/>
  <c r="G13" i="7" s="1"/>
  <c r="AI103" i="1" s="1"/>
  <c r="J15" i="7"/>
  <c r="J13" i="7" s="1"/>
  <c r="U110" i="1"/>
  <c r="V110" i="1" s="1"/>
  <c r="O106" i="1"/>
  <c r="P106" i="1" s="1"/>
  <c r="Q106" i="1" s="1"/>
  <c r="R106" i="1" s="1"/>
  <c r="S106" i="1" s="1"/>
  <c r="T106" i="1" s="1"/>
  <c r="U106" i="1" s="1"/>
  <c r="V106" i="1" s="1"/>
  <c r="L15" i="7"/>
  <c r="L13" i="7" s="1"/>
  <c r="AD103" i="1"/>
  <c r="F114" i="1"/>
  <c r="F116" i="1" s="1"/>
  <c r="L47" i="1"/>
  <c r="L6" i="10" l="1"/>
  <c r="G24" i="11" s="1"/>
  <c r="G27" i="11" s="1"/>
  <c r="O103" i="1"/>
  <c r="O96" i="1" s="1"/>
  <c r="O98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6" i="1"/>
  <c r="F54" i="6"/>
  <c r="Q10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6" i="1"/>
  <c r="AE96" i="1" s="1"/>
  <c r="G54" i="6"/>
  <c r="F56" i="6"/>
  <c r="F58" i="6" s="1"/>
  <c r="R103" i="1"/>
  <c r="AE10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6" i="1"/>
  <c r="G56" i="6"/>
  <c r="G58" i="6" s="1"/>
  <c r="H54" i="6"/>
  <c r="S103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6" i="1"/>
  <c r="H56" i="6"/>
  <c r="H58" i="6" s="1"/>
  <c r="I54" i="6"/>
  <c r="T103" i="1"/>
  <c r="S86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6" i="1"/>
  <c r="I56" i="6"/>
  <c r="I58" i="6" s="1"/>
  <c r="J54" i="6"/>
  <c r="U103" i="1"/>
  <c r="T86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6" i="1"/>
  <c r="AF96" i="1" s="1"/>
  <c r="M27" i="11"/>
  <c r="K54" i="6"/>
  <c r="K56" i="6" s="1"/>
  <c r="K58" i="6" s="1"/>
  <c r="J56" i="6"/>
  <c r="J58" i="6" s="1"/>
  <c r="O24" i="11"/>
  <c r="N27" i="11"/>
  <c r="V103" i="1"/>
  <c r="AF103" i="1"/>
  <c r="U86" i="1"/>
  <c r="N68" i="5" s="1"/>
  <c r="N71" i="5" s="1"/>
  <c r="O86" i="1"/>
  <c r="P86" i="1"/>
  <c r="Q86" i="1"/>
  <c r="R86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6" i="1"/>
  <c r="V115" i="1" s="1"/>
  <c r="P24" i="11"/>
  <c r="O27" i="11"/>
  <c r="L49" i="5"/>
  <c r="V86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6" i="1" l="1"/>
  <c r="P68" i="5" s="1"/>
  <c r="P71" i="5" s="1"/>
  <c r="H2" i="12" a="1"/>
  <c r="H12" i="12" s="1"/>
  <c r="Q24" i="11"/>
  <c r="P27" i="11"/>
  <c r="H3" i="9" a="1"/>
  <c r="X86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6" i="1" l="1"/>
  <c r="Y86" i="1"/>
  <c r="S24" i="11"/>
  <c r="R27" i="11"/>
  <c r="R71" i="5"/>
  <c r="T24" i="11" l="1"/>
  <c r="S27" i="11"/>
  <c r="T68" i="5"/>
  <c r="S71" i="5"/>
  <c r="G114" i="1"/>
  <c r="G116" i="1" s="1"/>
  <c r="H114" i="1"/>
  <c r="H116" i="1" s="1"/>
  <c r="I114" i="1"/>
  <c r="I116" i="1" s="1"/>
  <c r="J114" i="1"/>
  <c r="J116" i="1" s="1"/>
  <c r="K114" i="1"/>
  <c r="K116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1" i="1"/>
  <c r="K51" i="1"/>
  <c r="J51" i="1"/>
  <c r="AD47" i="1"/>
  <c r="G48" i="2"/>
  <c r="AI47" i="1" s="1"/>
  <c r="AI53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7" i="1"/>
  <c r="K97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7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7" i="1"/>
  <c r="I51" i="1"/>
  <c r="F51" i="1"/>
  <c r="AC40" i="1"/>
  <c r="I47" i="2"/>
  <c r="H47" i="2"/>
  <c r="F24" i="2"/>
  <c r="N114" i="1" l="1"/>
  <c r="AF40" i="1"/>
  <c r="AE46" i="1"/>
  <c r="N37" i="4"/>
  <c r="N38" i="4" s="1"/>
  <c r="N18" i="4" s="1"/>
  <c r="L97" i="1"/>
  <c r="E54" i="5" s="1"/>
  <c r="L40" i="1"/>
  <c r="Y24" i="11"/>
  <c r="X27" i="11"/>
  <c r="F97" i="1"/>
  <c r="G97" i="1"/>
  <c r="G52" i="1"/>
  <c r="H52" i="1"/>
  <c r="I97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4" i="1"/>
  <c r="L116" i="1" s="1"/>
  <c r="E28" i="5" s="1"/>
  <c r="AE40" i="1"/>
  <c r="H49" i="2"/>
  <c r="H50" i="2" s="1"/>
  <c r="I49" i="2"/>
  <c r="I50" i="2" s="1"/>
  <c r="N116" i="1" l="1"/>
  <c r="N17" i="4"/>
  <c r="Z24" i="11"/>
  <c r="Y27" i="11"/>
  <c r="AD40" i="1"/>
  <c r="Z68" i="5"/>
  <c r="Y71" i="5"/>
  <c r="AE15" i="1"/>
  <c r="AF18" i="1"/>
  <c r="AE18" i="1"/>
  <c r="AC69" i="1"/>
  <c r="AC55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5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8" i="1"/>
  <c r="AC51" i="1"/>
  <c r="O21" i="1"/>
  <c r="AD51" i="1"/>
  <c r="AO51" i="1" s="1"/>
  <c r="AE35" i="1"/>
  <c r="F54" i="5" l="1"/>
  <c r="F57" i="5" s="1"/>
  <c r="AN51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5" i="1"/>
  <c r="G21" i="5" s="1"/>
  <c r="G24" i="5" s="1"/>
  <c r="H68" i="5"/>
  <c r="H71" i="5" s="1"/>
  <c r="H47" i="5"/>
  <c r="H50" i="5" s="1"/>
  <c r="I68" i="5" l="1"/>
  <c r="I71" i="5" s="1"/>
  <c r="P115" i="1"/>
  <c r="H21" i="5" s="1"/>
  <c r="H24" i="5" s="1"/>
  <c r="P98" i="1"/>
  <c r="I47" i="5" s="1"/>
  <c r="I50" i="5" s="1"/>
  <c r="J68" i="5" l="1"/>
  <c r="J71" i="5" s="1"/>
  <c r="Q115" i="1"/>
  <c r="I21" i="5" s="1"/>
  <c r="I24" i="5" s="1"/>
  <c r="Q98" i="1"/>
  <c r="J47" i="5" s="1"/>
  <c r="K47" i="5" l="1"/>
  <c r="K50" i="5" s="1"/>
  <c r="J50" i="5"/>
  <c r="K68" i="5"/>
  <c r="K71" i="5" s="1"/>
  <c r="R98" i="1"/>
  <c r="R115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5" i="1"/>
  <c r="K21" i="5" s="1"/>
  <c r="K24" i="5" s="1"/>
  <c r="S98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5" i="1"/>
  <c r="L21" i="5" s="1"/>
  <c r="L24" i="5" s="1"/>
  <c r="T98" i="1"/>
  <c r="M50" i="5" s="1"/>
  <c r="R47" i="5" l="1"/>
  <c r="Q50" i="5"/>
  <c r="U98" i="1"/>
  <c r="N50" i="5" s="1"/>
  <c r="U115" i="1"/>
  <c r="M21" i="5" s="1"/>
  <c r="M24" i="5" l="1"/>
  <c r="N21" i="5"/>
  <c r="S47" i="5"/>
  <c r="R50" i="5"/>
  <c r="O100" i="1" l="1"/>
  <c r="O21" i="5"/>
  <c r="N24" i="5"/>
  <c r="S50" i="5"/>
  <c r="T47" i="5"/>
  <c r="O114" i="1" l="1"/>
  <c r="M5" i="10"/>
  <c r="H31" i="11" s="1"/>
  <c r="H34" i="11" s="1"/>
  <c r="L5" i="10"/>
  <c r="G31" i="11" s="1"/>
  <c r="G34" i="11" s="1"/>
  <c r="O24" i="5"/>
  <c r="P21" i="5"/>
  <c r="T50" i="5"/>
  <c r="U47" i="5"/>
  <c r="P100" i="1"/>
  <c r="O116" i="1" l="1"/>
  <c r="H28" i="5" s="1"/>
  <c r="H31" i="5" s="1"/>
  <c r="P114" i="1"/>
  <c r="N5" i="10"/>
  <c r="I31" i="11" s="1"/>
  <c r="I34" i="11" s="1"/>
  <c r="Q21" i="5"/>
  <c r="P24" i="5"/>
  <c r="U50" i="5"/>
  <c r="V47" i="5"/>
  <c r="Q100" i="1"/>
  <c r="P116" i="1" l="1"/>
  <c r="I28" i="5" s="1"/>
  <c r="I31" i="5" s="1"/>
  <c r="Q114" i="1"/>
  <c r="O5" i="10"/>
  <c r="J31" i="11" s="1"/>
  <c r="J34" i="11" s="1"/>
  <c r="R21" i="5"/>
  <c r="Q24" i="5"/>
  <c r="W47" i="5"/>
  <c r="V50" i="5"/>
  <c r="R100" i="1"/>
  <c r="Q116" i="1" l="1"/>
  <c r="J28" i="5" s="1"/>
  <c r="J31" i="5" s="1"/>
  <c r="R114" i="1"/>
  <c r="P5" i="10"/>
  <c r="K31" i="11" s="1"/>
  <c r="K34" i="11" s="1"/>
  <c r="R24" i="5"/>
  <c r="S21" i="5"/>
  <c r="X47" i="5"/>
  <c r="W50" i="5"/>
  <c r="S100" i="1"/>
  <c r="T101" i="1"/>
  <c r="R116" i="1" l="1"/>
  <c r="K28" i="5" s="1"/>
  <c r="K31" i="5" s="1"/>
  <c r="S114" i="1"/>
  <c r="Q5" i="10"/>
  <c r="L31" i="11" s="1"/>
  <c r="S24" i="5"/>
  <c r="T21" i="5"/>
  <c r="Y47" i="5"/>
  <c r="X50" i="5"/>
  <c r="T100" i="1"/>
  <c r="U101" i="1"/>
  <c r="S116" i="1" l="1"/>
  <c r="L28" i="5" s="1"/>
  <c r="L34" i="11"/>
  <c r="M31" i="11"/>
  <c r="T114" i="1"/>
  <c r="T116" i="1" s="1"/>
  <c r="R5" i="10"/>
  <c r="U100" i="1"/>
  <c r="V101" i="1"/>
  <c r="V10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4" i="1"/>
  <c r="V116" i="1" s="1"/>
  <c r="T5" i="10"/>
  <c r="U114" i="1"/>
  <c r="U11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1" i="1"/>
  <c r="O34" i="1" l="1"/>
  <c r="M3" i="10" s="1"/>
  <c r="H45" i="11" s="1"/>
  <c r="H48" i="11" s="1"/>
  <c r="O97" i="1"/>
  <c r="H54" i="5" s="1"/>
  <c r="H57" i="5" s="1"/>
  <c r="P51" i="1"/>
  <c r="L3" i="10"/>
  <c r="G45" i="11" s="1"/>
  <c r="G48" i="11" s="1"/>
  <c r="Q51" i="1" l="1"/>
  <c r="P34" i="1"/>
  <c r="N3" i="10" s="1"/>
  <c r="I45" i="11" s="1"/>
  <c r="I48" i="11" s="1"/>
  <c r="P97" i="1"/>
  <c r="I54" i="5" s="1"/>
  <c r="I57" i="5" s="1"/>
  <c r="Q34" i="1" l="1"/>
  <c r="O3" i="10" s="1"/>
  <c r="J45" i="11" s="1"/>
  <c r="J48" i="11" s="1"/>
  <c r="Q97" i="1"/>
  <c r="J54" i="5" s="1"/>
  <c r="J57" i="5" s="1"/>
  <c r="R51" i="1"/>
  <c r="AE51" i="1"/>
  <c r="R97" i="1" l="1"/>
  <c r="K54" i="5" s="1"/>
  <c r="S51" i="1"/>
  <c r="R34" i="1"/>
  <c r="P3" i="10" s="1"/>
  <c r="K45" i="11" s="1"/>
  <c r="K48" i="11" l="1"/>
  <c r="L45" i="11"/>
  <c r="S97" i="1"/>
  <c r="S34" i="1"/>
  <c r="Q3" i="10" s="1"/>
  <c r="T51" i="1"/>
  <c r="K57" i="5"/>
  <c r="L54" i="5"/>
  <c r="M54" i="5" l="1"/>
  <c r="L57" i="5"/>
  <c r="T97" i="1"/>
  <c r="T34" i="1"/>
  <c r="R3" i="10" s="1"/>
  <c r="U51" i="1"/>
  <c r="AF51" i="1" s="1"/>
  <c r="M45" i="11"/>
  <c r="L48" i="11"/>
  <c r="M48" i="11" l="1"/>
  <c r="N45" i="11"/>
  <c r="V51" i="1"/>
  <c r="V97" i="1" s="1"/>
  <c r="U34" i="1"/>
  <c r="S3" i="10" s="1"/>
  <c r="U9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tc={40167970-C0F0-4C09-9098-80E03CD0CE14}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2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7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L78" authorId="15" shapeId="0" xr:uid="{40167970-C0F0-4C09-9098-80E03CD0C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82" authorId="16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3" authorId="17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4" authorId="18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5" authorId="19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101" authorId="20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3" authorId="21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3" authorId="22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<sst xmlns="http://schemas.openxmlformats.org/spreadsheetml/2006/main" count="1025" uniqueCount="386">
  <si>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</si>
  <si>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</si>
  <si>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</si>
  <si>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</si>
  <si>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</si>
  <si>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</si>
  <si>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</si>
  <si>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</si>
  <si>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</si>
  <si>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</si>
  <si>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</si>
  <si>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</si>
  <si>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</si>
  <si>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</si>
  <si>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</si>
  <si>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</si>
  <si>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</si>
  <si>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</si>
  <si>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</si>
  <si>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</si>
  <si>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</si>
  <si>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</si>
  <si>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</si>
  <si>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</si>
  <si>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</si>
  <si>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</si>
  <si>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</si>
  <si>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</si>
  <si>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</si>
  <si>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</si>
  <si>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</si>
  <si>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</si>
  <si>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</si>
  <si>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</si>
  <si>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</si>
  <si>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</si>
  <si>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</si>
  <si>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</si>
  <si>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</si>
  <si>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</si>
  <si>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</si>
  <si>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</si>
  <si>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</si>
  <si>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</si>
  <si>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</si>
  <si>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</si>
  <si>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</si>
  <si>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</si>
  <si>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</si>
  <si>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</si>
  <si>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</si>
  <si>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</si>
  <si>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</si>
  <si>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</si>
  <si>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</si>
  <si>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</si>
  <si>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</si>
  <si>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</si>
  <si>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</si>
  <si>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</si>
  <si>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</si>
  <si>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</si>
  <si>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</si>
  <si>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</si>
  <si>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</si>
  <si>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</si>
  <si>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</si>
  <si>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</si>
  <si>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</si>
  <si>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</si>
  <si>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</si>
  <si>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</si>
  <si>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</si>
  <si>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</si>
  <si>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</si>
  <si>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</si>
  <si>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</si>
  <si>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</si>
  <si>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</si>
  <si>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</si>
  <si>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</si>
  <si>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</si>
  <si>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</si>
  <si>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</si>
  <si>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</si>
  <si>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</si>
  <si>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</si>
  <si>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</si>
  <si>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</si>
  <si>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</si>
  <si>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</si>
  <si>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</si>
  <si>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</si>
  <si>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</si>
  <si>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</si>
  <si>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</si>
  <si>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</si>
  <si>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</si>
  <si>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</si>
  <si>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</si>
  <si>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</si>
  <si>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</si>
  <si>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</si>
  <si>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</si>
  <si>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</si>
  <si>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</si>
  <si>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</si>
  <si>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</si>
  <si>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</si>
  <si>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</si>
  <si>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</si>
  <si>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</si>
  <si>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</si>
  <si>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</si>
  <si>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</si>
  <si>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</si>
  <si>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</si>
  <si>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</si>
  <si>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</si>
  <si>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</si>
  <si>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</si>
  <si>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</si>
  <si>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</si>
  <si>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</si>
  <si>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</si>
  <si>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</si>
  <si>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</si>
  <si>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</si>
  <si>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</si>
  <si>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</si>
  <si>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</si>
  <si>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</si>
  <si>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</si>
  <si>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</si>
  <si>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</si>
  <si>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</si>
  <si>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</si>
  <si>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</si>
  <si>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</si>
  <si>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</si>
  <si>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</si>
  <si>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</si>
  <si>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</si>
  <si>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</si>
  <si>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</si>
  <si>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</si>
  <si>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</si>
  <si>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</si>
  <si>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</si>
  <si>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</si>
  <si>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</si>
  <si>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</si>
  <si>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</si>
  <si>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</si>
  <si>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</si>
  <si>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</si>
  <si>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</si>
  <si>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</si>
  <si>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</si>
  <si>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</si>
  <si>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</si>
  <si>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</si>
  <si>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</si>
  <si>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</si>
  <si>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</si>
  <si>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</si>
  <si>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</si>
  <si>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</si>
  <si>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</si>
  <si>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</si>
  <si>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</si>
  <si>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</si>
  <si>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</si>
  <si>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</si>
  <si>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</si>
  <si>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</si>
  <si>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</si>
  <si>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</si>
  <si>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</si>
  <si>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</si>
  <si>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</si>
  <si>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</si>
  <si>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</si>
  <si>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</si>
  <si>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</si>
  <si>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</si>
  <si>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</si>
  <si>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</si>
  <si>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</si>
  <si>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</si>
  <si>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</si>
  <si>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</si>
  <si>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</si>
  <si>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</si>
  <si>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</si>
  <si>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</si>
  <si>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</si>
  <si>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</si>
  <si>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</si>
  <si>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</si>
  <si>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</si>
  <si>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</si>
  <si>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</si>
  <si>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</si>
  <si>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</si>
  <si>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</si>
  <si>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</si>
  <si>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</si>
  <si>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</si>
  <si>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</si>
  <si>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</si>
  <si>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</si>
  <si>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</si>
  <si>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</si>
  <si>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</si>
  <si>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</si>
  <si>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</si>
  <si>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</si>
  <si>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</si>
  <si>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</si>
  <si>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</si>
  <si>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</si>
  <si>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</si>
  <si>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</si>
  <si>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</si>
  <si>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</si>
  <si>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</si>
  <si>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</si>
  <si>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</si>
  <si>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</si>
  <si>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</si>
  <si>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</si>
  <si>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</si>
  <si>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</si>
  <si>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</si>
  <si>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</si>
  <si>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</si>
  <si>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</si>
  <si>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</si>
  <si>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</si>
  <si>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</si>
  <si>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</si>
  <si>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</si>
  <si>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</si>
  <si>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</si>
  <si>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</si>
  <si>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</si>
  <si>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</si>
  <si>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</si>
  <si>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</si>
  <si>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</si>
  <si>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</si>
  <si>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</si>
  <si>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</si>
  <si>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</si>
  <si>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</si>
  <si>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</si>
  <si>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</si>
  <si>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</si>
  <si>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</si>
  <si>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</si>
  <si>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</si>
  <si>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</si>
  <si>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</si>
  <si>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</si>
  <si>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</si>
  <si>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</si>
  <si>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</si>
  <si>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</si>
  <si>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</si>
  <si>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</si>
  <si>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</si>
  <si>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</si>
  <si>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</si>
  <si>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</si>
  <si>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</si>
  <si>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</si>
  <si>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</si>
  <si>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</si>
  <si>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</si>
  <si>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</si>
  <si>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</si>
  <si>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</si>
  <si>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</si>
  <si>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</si>
  <si>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</si>
  <si>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</si>
  <si>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</si>
  <si>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</si>
  <si>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</si>
  <si>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</si>
  <si>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</si>
  <si>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</si>
  <si>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</si>
  <si>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</si>
  <si>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</si>
  <si>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</si>
  <si>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</si>
  <si>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</si>
  <si>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</si>
  <si>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</si>
  <si>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</si>
  <si>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</si>
  <si>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</si>
  <si>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</si>
  <si>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</si>
  <si>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</si>
  <si>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</si>
  <si>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</si>
  <si>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</si>
  <si>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</si>
  <si>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</si>
  <si>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</si>
  <si>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</si>
  <si>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</si>
  <si>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</si>
  <si>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</si>
  <si>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</si>
  <si>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</si>
  <si>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</si>
  <si>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</si>
  <si>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</si>
  <si>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</si>
  <si>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</si>
  <si>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</si>
  <si>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</si>
  <si>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</si>
  <si>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</si>
  <si>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</si>
  <si>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</si>
  <si>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</si>
  <si>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</si>
  <si>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</si>
  <si>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</si>
  <si>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</si>
  <si>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</si>
  <si>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</si>
  <si>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</si>
  <si>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</si>
  <si>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</si>
  <si>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</si>
  <si>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</si>
  <si>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</si>
  <si>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</si>
  <si>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</si>
  <si>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</si>
  <si>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</si>
  <si>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</si>
  <si>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</si>
  <si>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</si>
  <si>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</si>
  <si>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</si>
  <si>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</si>
  <si>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</si>
  <si>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</si>
  <si>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</si>
  <si>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</si>
  <si>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</si>
  <si>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</si>
  <si>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</si>
  <si>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</si>
  <si>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</si>
  <si>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</si>
  <si>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</si>
  <si>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</si>
  <si>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</si>
  <si>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</si>
  <si>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</si>
  <si>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</si>
  <si>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</si>
  <si>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</si>
  <si>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</si>
  <si>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</si>
  <si>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</si>
  <si>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</si>
  <si>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</si>
  <si>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</si>
  <si>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</si>
  <si>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</si>
  <si>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</si>
  <si>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</si>
  <si>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</si>
  <si>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Nonprofit PPP Sophia</t>
  </si>
  <si>
    <t>Non profit Provider relief Sophia (correct)</t>
  </si>
  <si>
    <t>Education Sophia</t>
  </si>
  <si>
    <t>Support for hospitals (state)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</si>
</sst>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2" dT="2020-09-10T19:09:05.64" personId="{2D35AFA9-F227-4AE7-B9A7-D673D9D18C70}" id="{2D81BDF9-A0D8-4A1A-915B-91D32E8E61FF}">
    <text>grow with nom purchases</text>
  </threadedComment>
  <threadedComment ref="L77" dT="2020-10-27T15:26:37.39" personId="{2D35AFA9-F227-4AE7-B9A7-D673D9D18C70}" id="{33EF6DF5-9556-47EC-86E1-A12FDBDC0AA8}">
    <text>CBO indicated 17 for q2? why do we split the quarter 3 payments into q2?</text>
  </threadedComment>
  <threadedComment ref="L77" dT="2020-10-28T16:31:53.35" personId="{2D35AFA9-F227-4AE7-B9A7-D673D9D18C70}" id="{1079BF34-6E2F-4888-8715-72B28B28D9AA}" parentId="{33EF6DF5-9556-47EC-86E1-A12FDBDC0AA8}">
    <text>we're comfortable leaving this as is</text>
  </threadedComment>
  <threadedComment ref="L78" dT="2020-10-27T15:26:37.39" personId="{2D35AFA9-F227-4AE7-B9A7-D673D9D18C70}" id="{40167970-C0F0-4C09-9098-80E03CD0CE14}">
    <text>CBO indicated 17 for q2? why do we split the quarter 3 payments into q2?</text>
  </threadedComment>
  <threadedComment ref="L78" dT="2020-10-28T16:31:53.35" personId="{2D35AFA9-F227-4AE7-B9A7-D673D9D18C70}" id="{E1C08428-8D2F-4F91-B16A-33C4F07D6062}" parentId="{40167970-C0F0-4C09-9098-80E03CD0CE14}">
    <text>we're comfortable leaving this as is</text>
  </threadedComment>
  <threadedComment ref="O82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3" dT="2020-12-21T21:00:34.35" personId="{2D35AFA9-F227-4AE7-B9A7-D673D9D18C70}" id="{DA48DE65-66E5-4DD8-819A-2F757A61D389}">
    <text>CRFB: estimates $82B. According to the Louise x Wendy, MPC is 100% over 3 years.</text>
  </threadedComment>
  <threadedComment ref="O84" dT="2020-12-21T21:03:38.65" personId="{2D35AFA9-F227-4AE7-B9A7-D673D9D18C70}" id="{1FC8F5D3-F5DD-4502-A8BF-AD36B99CFAF5}">
    <text>CRFB: estimates $63B. MPC is 100% over 12 quarters and then annualize</text>
  </threadedComment>
  <threadedComment ref="O85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101" dT="2020-09-11T20:43:00.49" personId="{2D35AFA9-F227-4AE7-B9A7-D673D9D18C70}" id="{11731043-8530-4DAC-9476-3C98D0D836BB}">
    <text>grow with S&amp;L nom purchases</text>
  </threadedComment>
  <threadedComment ref="O113" dT="2020-09-30T15:34:25.90" personId="{2D35AFA9-F227-4AE7-B9A7-D673D9D18C70}" id="{D84F0053-F219-4B69-8181-0F12AE7D3FC2}">
    <text>overide in the fim with 4%</text>
  </threadedComment>
  <threadedComment ref="O11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3" dT="2020-09-30T15:34:25.90" personId="{2D35AFA9-F227-4AE7-B9A7-D673D9D18C70}" id="{3B711313-D2C6-42FC-83C8-BA827015079B}">
    <text>overide in the fim with 4%</text>
  </threadedComment>
  <threadedComment ref="P11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4"/>
  <sheetViews>
    <sheetView tabSelected="1" zoomScale="134" zoomScaleNormal="110" workbookViewId="0">
      <pane xSplit="2" ySplit="3" topLeftCell="L47" activePane="bottomRight" state="frozen"/>
      <selection pane="topRight" activeCell="C1" sqref="C1"/>
      <selection pane="bottomLeft" activeCell="A4" sqref="A4"/>
      <selection pane="bottomRight" activeCell="O49" sqref="O49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2" t="s">
        <v>371</v>
      </c>
      <c r="B1" s="342"/>
      <c r="C1" s="268"/>
      <c r="D1" s="268"/>
      <c r="E1" s="35"/>
      <c r="N1" t="s">
        <v>373</v>
      </c>
      <c r="AC1" s="348" t="s">
        <v>247</v>
      </c>
      <c r="AD1" s="348"/>
      <c r="AE1" s="346" t="s">
        <v>245</v>
      </c>
      <c r="AF1" s="347"/>
      <c r="AG1" t="s">
        <v>28</v>
      </c>
      <c r="AI1" s="344" t="s">
        <v>278</v>
      </c>
      <c r="AJ1" s="344"/>
      <c r="AK1" s="344"/>
      <c r="AL1" s="344"/>
      <c r="AM1" s="343" t="s">
        <v>276</v>
      </c>
      <c r="AN1" s="343"/>
      <c r="AO1" s="343"/>
      <c r="AP1" s="343"/>
    </row>
    <row r="2" spans="1:43" ht="23" customHeight="1" x14ac:dyDescent="0.35">
      <c r="F2" s="341" t="s">
        <v>21</v>
      </c>
      <c r="G2" s="341"/>
      <c r="H2" s="341"/>
      <c r="I2" s="341"/>
      <c r="J2" s="341" t="s">
        <v>9</v>
      </c>
      <c r="K2" s="341"/>
      <c r="L2" s="341"/>
      <c r="M2" s="341"/>
      <c r="N2" s="341" t="s">
        <v>10</v>
      </c>
      <c r="O2" s="341"/>
      <c r="P2" s="341"/>
      <c r="Q2" s="341"/>
      <c r="R2" s="341" t="s">
        <v>11</v>
      </c>
      <c r="S2" s="341"/>
      <c r="T2" s="341"/>
      <c r="U2" s="341"/>
      <c r="V2" s="341" t="s">
        <v>265</v>
      </c>
      <c r="W2" s="341"/>
      <c r="X2" s="341"/>
      <c r="Y2" s="341"/>
      <c r="Z2" s="221"/>
      <c r="AA2" s="283"/>
      <c r="AB2" s="221"/>
      <c r="AC2" s="341" t="s">
        <v>102</v>
      </c>
      <c r="AD2" s="341"/>
      <c r="AE2" s="341"/>
      <c r="AF2" s="341"/>
      <c r="AG2" s="341"/>
      <c r="AH2" s="341"/>
      <c r="AI2" s="341"/>
      <c r="AJ2" s="341"/>
      <c r="AK2" s="341"/>
      <c r="AL2" s="345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40" t="s">
        <v>261</v>
      </c>
      <c r="B4" s="34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O35+O40+O51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1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SUM(L48:L50)</f>
        <v>179900</v>
      </c>
      <c r="M47" s="327">
        <v>85400</v>
      </c>
      <c r="N47" s="328">
        <f>SUM(N48:N50)</f>
        <v>45300</v>
      </c>
      <c r="O47" s="329">
        <f t="shared" ref="O47:R47" si="34">SUM(O48:O50)</f>
        <v>54177.595548489669</v>
      </c>
      <c r="P47" s="329">
        <f t="shared" si="34"/>
        <v>43000</v>
      </c>
      <c r="Q47" s="329">
        <f t="shared" si="34"/>
        <v>43000</v>
      </c>
      <c r="R47" s="329">
        <f t="shared" si="34"/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46.369398887122415</v>
      </c>
      <c r="AF47" s="331">
        <f t="shared" ref="AF47" si="35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377.5955484896661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305</v>
      </c>
      <c r="F49" s="326"/>
      <c r="G49" s="326"/>
      <c r="H49" s="326"/>
      <c r="I49" s="326"/>
      <c r="J49" s="326"/>
      <c r="K49" s="326"/>
      <c r="L49" s="326"/>
      <c r="M49" s="327"/>
      <c r="N49" s="328"/>
      <c r="O49" s="329">
        <v>10800</v>
      </c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s="107" customFormat="1" ht="29" x14ac:dyDescent="0.35">
      <c r="A50" s="333" t="s">
        <v>383</v>
      </c>
      <c r="B50" s="107" t="s">
        <v>280</v>
      </c>
      <c r="C50" s="107" t="s">
        <v>306</v>
      </c>
      <c r="F50" s="326"/>
      <c r="G50" s="326"/>
      <c r="H50" s="326"/>
      <c r="I50" s="326"/>
      <c r="J50" s="326"/>
      <c r="K50" s="326"/>
      <c r="L50" s="326">
        <v>160900</v>
      </c>
      <c r="M50" s="327">
        <v>58400</v>
      </c>
      <c r="N50" s="328">
        <f>VLOOKUP($C$50,'Haver NA'!$A$1:$J$34,10,0)</f>
        <v>34500</v>
      </c>
      <c r="O50" s="329">
        <v>43000</v>
      </c>
      <c r="P50" s="329">
        <v>43000</v>
      </c>
      <c r="Q50" s="329">
        <v>43000</v>
      </c>
      <c r="R50" s="329">
        <v>15000</v>
      </c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29"/>
      <c r="AF50" s="329"/>
      <c r="AG50" s="329"/>
      <c r="AI50" s="330"/>
      <c r="AJ50" s="330"/>
      <c r="AK50" s="330"/>
      <c r="AL50" s="330"/>
      <c r="AM50" s="332"/>
    </row>
    <row r="51" spans="1:41" ht="43.5" x14ac:dyDescent="0.35">
      <c r="A51" s="86" t="s">
        <v>149</v>
      </c>
      <c r="F51" s="197">
        <f>F34-F36-F40-F35</f>
        <v>1440187</v>
      </c>
      <c r="G51" s="197">
        <f>G34-G36-G40-G35</f>
        <v>1503410</v>
      </c>
      <c r="H51" s="201">
        <f>H34-H36-H40-H35</f>
        <v>1508652</v>
      </c>
      <c r="I51" s="197">
        <f>I34-I36-I40-I35</f>
        <v>1513957</v>
      </c>
      <c r="J51" s="201">
        <f>J34-J36-J40-J35-J47</f>
        <v>1521941</v>
      </c>
      <c r="K51" s="201">
        <f>K34-K36-K40-K35-K47</f>
        <v>1574462</v>
      </c>
      <c r="L51" s="201">
        <f>L34-L36-L41-L35-L47</f>
        <v>1648724</v>
      </c>
      <c r="M51" s="303">
        <v>1669801</v>
      </c>
      <c r="N51" s="306">
        <f>N34-N36-N40-N35-N47-N37</f>
        <v>1675893</v>
      </c>
      <c r="O51" s="88">
        <f>N51*(1+O53)</f>
        <v>1663323.8025</v>
      </c>
      <c r="P51" s="88">
        <f t="shared" ref="P51:Q51" si="36">O51*(1+P53)</f>
        <v>1650848.87398125</v>
      </c>
      <c r="Q51" s="88">
        <f t="shared" si="36"/>
        <v>1638467.5074263907</v>
      </c>
      <c r="R51" s="88">
        <f>Q51*(1+R53)</f>
        <v>1663044.5200377863</v>
      </c>
      <c r="S51" s="88">
        <f t="shared" ref="S51:U51" si="37">R51*(1+S53)</f>
        <v>1687990.187838353</v>
      </c>
      <c r="T51" s="88">
        <f t="shared" si="37"/>
        <v>1713310.0406559282</v>
      </c>
      <c r="U51" s="88">
        <f t="shared" si="37"/>
        <v>1739009.691265767</v>
      </c>
      <c r="V51" s="88">
        <f>U51*(1+V53)</f>
        <v>1756399.7881784246</v>
      </c>
      <c r="W51" s="44"/>
      <c r="X51" s="3"/>
      <c r="Y51" s="3"/>
      <c r="Z51" s="3"/>
      <c r="AA51" s="3"/>
      <c r="AB51" s="3"/>
      <c r="AC51" s="3">
        <f>AD34-AD36-AD40-AD35-AD47</f>
        <v>-1666.23125</v>
      </c>
      <c r="AD51" s="45">
        <f>AVERAGE(J51:M51)/1000</f>
        <v>1603.732</v>
      </c>
      <c r="AE51" s="45">
        <f>AVERAGE(N51:Q51)/1000</f>
        <v>1657.1332959769102</v>
      </c>
      <c r="AF51" s="45">
        <f t="shared" si="31"/>
        <v>1700.8386099494589</v>
      </c>
      <c r="AG51" s="3"/>
      <c r="AI51" s="3">
        <f>AI34-AI36-AI40-AI35-AI47</f>
        <v>1571.7041322167745</v>
      </c>
      <c r="AJ51" s="3">
        <f>AJ34-AJ36-AJ40-AJ35</f>
        <v>1644.9470557811208</v>
      </c>
      <c r="AK51" s="3">
        <f>AK34-AK36-AK40-AK35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3">
      <c r="A52" s="169" t="s">
        <v>214</v>
      </c>
      <c r="C52" s="269"/>
      <c r="D52" s="269"/>
      <c r="F52" s="225"/>
      <c r="G52" s="227">
        <f>G51/F51-1</f>
        <v>4.3899160317375507E-2</v>
      </c>
      <c r="H52" s="227">
        <f t="shared" ref="H52:L52" si="38">H51/G51-1</f>
        <v>3.4867401440725754E-3</v>
      </c>
      <c r="I52" s="227">
        <f t="shared" si="38"/>
        <v>3.5163841628156334E-3</v>
      </c>
      <c r="J52" s="227">
        <f t="shared" si="38"/>
        <v>5.2735975988749129E-3</v>
      </c>
      <c r="K52" s="227">
        <f t="shared" si="38"/>
        <v>3.4509222105193249E-2</v>
      </c>
      <c r="L52" s="227">
        <f t="shared" si="38"/>
        <v>4.7166587697893059E-2</v>
      </c>
      <c r="M52" s="227">
        <v>1.2783825552366457E-2</v>
      </c>
      <c r="N52" s="227">
        <f t="shared" ref="N52" si="39">N51/M51-1</f>
        <v>3.6483389338011207E-3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35">
      <c r="A53" s="169" t="s">
        <v>268</v>
      </c>
      <c r="F53" s="207"/>
      <c r="G53" s="207"/>
      <c r="H53" s="207"/>
      <c r="I53" s="207"/>
      <c r="J53" s="200"/>
      <c r="K53" s="200"/>
      <c r="L53" s="200"/>
      <c r="M53" s="301"/>
      <c r="N53" s="302"/>
      <c r="O53" s="175">
        <v>-7.4999999999999997E-3</v>
      </c>
      <c r="P53" s="175">
        <v>-7.4999999999999997E-3</v>
      </c>
      <c r="Q53" s="175">
        <v>-7.4999999999999997E-3</v>
      </c>
      <c r="R53" s="175">
        <v>1.4999999999999999E-2</v>
      </c>
      <c r="S53" s="175">
        <v>1.4999999999999999E-2</v>
      </c>
      <c r="T53" s="175">
        <v>1.4999999999999999E-2</v>
      </c>
      <c r="U53" s="175">
        <v>1.4999999999999999E-2</v>
      </c>
      <c r="V53" s="175">
        <v>0.01</v>
      </c>
      <c r="W53" s="175"/>
      <c r="AD53" s="187">
        <f>AD35+AD36+AD40+AD47</f>
        <v>1666.23125</v>
      </c>
      <c r="AI53" s="187">
        <f>AI35+AI36+AI40+AI47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35">
      <c r="A54"/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"/>
      <c r="P54" s="3"/>
      <c r="Q54" s="3"/>
      <c r="R54" s="3"/>
      <c r="S54" s="3"/>
      <c r="T54" s="3"/>
      <c r="U54" s="3"/>
      <c r="V54" s="3"/>
      <c r="W54" s="44"/>
      <c r="X54" s="44"/>
      <c r="Y54" s="44"/>
      <c r="Z54" s="44"/>
      <c r="AA54" s="44"/>
      <c r="AB54" s="44"/>
      <c r="AC54" s="44"/>
      <c r="AD54" s="45"/>
      <c r="AE54" s="45"/>
      <c r="AF54" s="45"/>
      <c r="AG54" s="44"/>
      <c r="AI54" s="44"/>
      <c r="AJ54" s="44"/>
      <c r="AK54" s="44"/>
      <c r="AL54" s="44"/>
      <c r="AM54" s="235"/>
    </row>
    <row r="55" spans="1:41" s="35" customFormat="1" x14ac:dyDescent="0.35">
      <c r="A55" s="141" t="s">
        <v>4</v>
      </c>
      <c r="B55" s="141" t="s">
        <v>280</v>
      </c>
      <c r="C55" t="s">
        <v>307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40">O56+AVERAGE($H$55:$K$55)</f>
        <v>794083.58333333337</v>
      </c>
      <c r="P55" s="144">
        <f t="shared" si="40"/>
        <v>794083.58333333337</v>
      </c>
      <c r="Q55" s="144">
        <f t="shared" si="40"/>
        <v>144083.58333333331</v>
      </c>
      <c r="R55" s="144">
        <f t="shared" si="40"/>
        <v>122750.25</v>
      </c>
      <c r="S55" s="144">
        <f t="shared" si="40"/>
        <v>77330.25</v>
      </c>
      <c r="T55" s="144">
        <f t="shared" si="40"/>
        <v>77330.25</v>
      </c>
      <c r="U55" s="144">
        <f t="shared" si="40"/>
        <v>77330.25</v>
      </c>
      <c r="V55" s="144">
        <f t="shared" si="40"/>
        <v>77330.25</v>
      </c>
      <c r="W55" s="144">
        <f t="shared" si="40"/>
        <v>74830.25</v>
      </c>
      <c r="X55" s="144">
        <f t="shared" si="40"/>
        <v>74830.25</v>
      </c>
      <c r="Y55" s="144">
        <f t="shared" si="40"/>
        <v>74830.25</v>
      </c>
      <c r="Z55" s="144">
        <f t="shared" si="40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x14ac:dyDescent="0.35">
      <c r="A56" s="134" t="s">
        <v>200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1">N58+N59+N64</f>
        <v>473700</v>
      </c>
      <c r="O56" s="116">
        <f>O58+O59+SUM(O64:O67)</f>
        <v>719253.33333333337</v>
      </c>
      <c r="P56" s="116">
        <f t="shared" ref="P56:V56" si="42">P58+P59+SUM(P64:P67)</f>
        <v>719253.33333333337</v>
      </c>
      <c r="Q56" s="116">
        <f t="shared" si="42"/>
        <v>69253.333333333328</v>
      </c>
      <c r="R56" s="116">
        <f t="shared" si="42"/>
        <v>47920</v>
      </c>
      <c r="S56" s="116">
        <f t="shared" si="42"/>
        <v>2500</v>
      </c>
      <c r="T56" s="116">
        <f t="shared" si="42"/>
        <v>2500</v>
      </c>
      <c r="U56" s="116">
        <f t="shared" si="42"/>
        <v>2500</v>
      </c>
      <c r="V56" s="116">
        <f t="shared" si="42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19" t="s">
        <v>336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x14ac:dyDescent="0.35">
      <c r="A58" s="271" t="s">
        <v>334</v>
      </c>
      <c r="C58" t="s">
        <v>308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35">
      <c r="A59" s="113" t="s">
        <v>271</v>
      </c>
      <c r="C59" t="s">
        <v>333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35">
      <c r="A60" s="272" t="s">
        <v>281</v>
      </c>
      <c r="B60" s="185" t="s">
        <v>280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280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72" t="s">
        <v>283</v>
      </c>
      <c r="B62" s="185" t="s">
        <v>280</v>
      </c>
      <c r="C62" t="s">
        <v>311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x14ac:dyDescent="0.35">
      <c r="A63" s="219" t="s">
        <v>337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x14ac:dyDescent="0.35">
      <c r="A64" s="273" t="s">
        <v>335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348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282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x14ac:dyDescent="0.35">
      <c r="A67" s="273" t="s">
        <v>351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35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35">
      <c r="A69" s="35" t="s">
        <v>16</v>
      </c>
      <c r="B69" s="35" t="s">
        <v>280</v>
      </c>
      <c r="C69" t="s">
        <v>312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35">
      <c r="C70"/>
      <c r="D70"/>
      <c r="F70" s="197"/>
      <c r="G70" s="197"/>
      <c r="H70" s="197"/>
      <c r="I70" s="202"/>
      <c r="J70" s="202"/>
      <c r="K70" s="202"/>
      <c r="L70" s="202">
        <f>L73-L76-L77-L79</f>
        <v>562900</v>
      </c>
      <c r="M70" s="301"/>
      <c r="N70" s="308"/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M70" s="233"/>
    </row>
    <row r="71" spans="1:39" s="35" customFormat="1" x14ac:dyDescent="0.35">
      <c r="A71" s="35" t="s">
        <v>227</v>
      </c>
      <c r="F71" s="203">
        <f t="shared" ref="F71:L71" si="43">F69-F96</f>
        <v>196851</v>
      </c>
      <c r="G71" s="203">
        <f t="shared" si="43"/>
        <v>189684</v>
      </c>
      <c r="H71" s="203">
        <f t="shared" si="43"/>
        <v>192875</v>
      </c>
      <c r="I71" s="203">
        <f t="shared" si="43"/>
        <v>191507</v>
      </c>
      <c r="J71" s="203">
        <f t="shared" si="43"/>
        <v>203997</v>
      </c>
      <c r="K71" s="203">
        <f t="shared" si="43"/>
        <v>204376</v>
      </c>
      <c r="L71" s="203">
        <f t="shared" si="43"/>
        <v>884250</v>
      </c>
      <c r="M71" s="301">
        <v>242100</v>
      </c>
      <c r="N71" s="308">
        <f>N69-N96</f>
        <v>225951</v>
      </c>
      <c r="O71" s="116"/>
      <c r="P71" s="116"/>
      <c r="Q71" s="116"/>
      <c r="R71" s="116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33"/>
    </row>
    <row r="72" spans="1:39" s="35" customFormat="1" x14ac:dyDescent="0.35">
      <c r="A72" s="136" t="s">
        <v>228</v>
      </c>
      <c r="F72" s="197"/>
      <c r="G72" s="197"/>
      <c r="H72" s="197"/>
      <c r="I72" s="202"/>
      <c r="J72" s="202"/>
      <c r="K72" s="202"/>
      <c r="L72" s="202">
        <f>L71-L73</f>
        <v>230950</v>
      </c>
      <c r="M72" s="303">
        <v>203600</v>
      </c>
      <c r="N72" s="308">
        <f>N71-N73</f>
        <v>196951</v>
      </c>
      <c r="O72" s="116">
        <f>N72*(1+O90)</f>
        <v>197738.804</v>
      </c>
      <c r="P72" s="116">
        <f t="shared" ref="P72:Z72" si="44">O72*(1+P90)</f>
        <v>198529.75921600001</v>
      </c>
      <c r="Q72" s="116">
        <f t="shared" si="44"/>
        <v>199323.878252864</v>
      </c>
      <c r="R72" s="116">
        <f t="shared" si="44"/>
        <v>200121.17376587546</v>
      </c>
      <c r="S72" s="116">
        <f t="shared" si="44"/>
        <v>200921.65846093895</v>
      </c>
      <c r="T72" s="116">
        <f t="shared" si="44"/>
        <v>201725.34509478271</v>
      </c>
      <c r="U72" s="116">
        <f t="shared" si="44"/>
        <v>202532.24647516184</v>
      </c>
      <c r="V72" s="116">
        <f t="shared" si="44"/>
        <v>203342.37546106247</v>
      </c>
      <c r="W72" s="116">
        <f t="shared" si="44"/>
        <v>204155.74496290673</v>
      </c>
      <c r="X72" s="116">
        <f t="shared" si="44"/>
        <v>204972.36794275834</v>
      </c>
      <c r="Y72" s="116">
        <f t="shared" si="44"/>
        <v>205792.25741452936</v>
      </c>
      <c r="Z72" s="116">
        <f t="shared" si="44"/>
        <v>206615.42644418747</v>
      </c>
      <c r="AA72" s="44"/>
      <c r="AB72" s="44"/>
      <c r="AC72" s="44"/>
      <c r="AD72" s="44"/>
      <c r="AE72" s="44"/>
      <c r="AF72" s="44"/>
      <c r="AG72" s="44"/>
      <c r="AM72" s="233"/>
    </row>
    <row r="73" spans="1:39" s="138" customFormat="1" x14ac:dyDescent="0.35">
      <c r="A73" s="137" t="s">
        <v>208</v>
      </c>
      <c r="B73" s="138" t="s">
        <v>280</v>
      </c>
      <c r="C73" t="s">
        <v>313</v>
      </c>
      <c r="D73"/>
      <c r="F73" s="204"/>
      <c r="G73" s="204"/>
      <c r="H73" s="204"/>
      <c r="I73" s="205"/>
      <c r="J73" s="205"/>
      <c r="K73" s="205"/>
      <c r="L73" s="205">
        <f>597.9*1000 +L79+L77</f>
        <v>653300</v>
      </c>
      <c r="M73" s="205">
        <f>M76+M77+M79</f>
        <v>87800</v>
      </c>
      <c r="N73" s="205">
        <f>VLOOKUP($C$73,'Haver NA'!$A$1:$J$34,10,0)</f>
        <v>29000</v>
      </c>
      <c r="O73" s="139"/>
      <c r="P73" s="139"/>
      <c r="Q73" s="139"/>
      <c r="R73" s="139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M73" s="236"/>
    </row>
    <row r="74" spans="1:39" s="35" customFormat="1" x14ac:dyDescent="0.35">
      <c r="A74" s="134" t="s">
        <v>209</v>
      </c>
      <c r="F74" s="197"/>
      <c r="G74" s="197"/>
      <c r="H74" s="197"/>
      <c r="I74" s="202"/>
      <c r="J74" s="202"/>
      <c r="K74" s="202"/>
      <c r="L74" s="206">
        <f>SUM(L76:L79)</f>
        <v>118800</v>
      </c>
      <c r="M74" s="206">
        <f t="shared" ref="M74:N74" si="45">SUM(M76:M79)</f>
        <v>103600</v>
      </c>
      <c r="N74" s="206">
        <f t="shared" si="45"/>
        <v>102400</v>
      </c>
      <c r="O74" s="116">
        <f t="shared" ref="O74:Z74" si="46">O75+O81</f>
        <v>177900</v>
      </c>
      <c r="P74" s="116">
        <f t="shared" si="46"/>
        <v>121000</v>
      </c>
      <c r="Q74" s="116">
        <f t="shared" si="46"/>
        <v>121000</v>
      </c>
      <c r="R74" s="116">
        <f t="shared" si="46"/>
        <v>115000</v>
      </c>
      <c r="S74" s="116">
        <f t="shared" si="46"/>
        <v>109000</v>
      </c>
      <c r="T74" s="116">
        <f t="shared" si="46"/>
        <v>109000</v>
      </c>
      <c r="U74" s="116">
        <f t="shared" si="46"/>
        <v>109000</v>
      </c>
      <c r="V74" s="116">
        <f t="shared" si="46"/>
        <v>109000</v>
      </c>
      <c r="W74" s="116">
        <f t="shared" si="46"/>
        <v>109000</v>
      </c>
      <c r="X74" s="116">
        <f t="shared" si="46"/>
        <v>59000</v>
      </c>
      <c r="Y74" s="116">
        <f t="shared" si="46"/>
        <v>59000</v>
      </c>
      <c r="Z74" s="116">
        <f t="shared" si="46"/>
        <v>59000</v>
      </c>
      <c r="AA74" s="116"/>
      <c r="AB74" s="116"/>
      <c r="AC74" s="44"/>
      <c r="AD74" s="44"/>
      <c r="AE74" s="44"/>
      <c r="AF74" s="44"/>
      <c r="AG74" s="44"/>
      <c r="AM74" s="233"/>
    </row>
    <row r="75" spans="1:39" s="35" customFormat="1" x14ac:dyDescent="0.35">
      <c r="A75" s="219" t="s">
        <v>340</v>
      </c>
      <c r="F75" s="197"/>
      <c r="G75" s="197"/>
      <c r="H75" s="197"/>
      <c r="I75" s="202"/>
      <c r="J75" s="202"/>
      <c r="K75" s="202"/>
      <c r="L75" s="206"/>
      <c r="M75" s="301"/>
      <c r="N75" s="308"/>
      <c r="O75" s="116">
        <f>SUM(O76:O79)</f>
        <v>118900</v>
      </c>
      <c r="P75" s="116">
        <f t="shared" ref="P75:Z75" si="47">SUM(P76:P79)</f>
        <v>62000</v>
      </c>
      <c r="Q75" s="116">
        <f t="shared" si="47"/>
        <v>62000</v>
      </c>
      <c r="R75" s="116">
        <f t="shared" si="47"/>
        <v>56000</v>
      </c>
      <c r="S75" s="116">
        <f t="shared" si="47"/>
        <v>50000</v>
      </c>
      <c r="T75" s="116">
        <f t="shared" si="47"/>
        <v>50000</v>
      </c>
      <c r="U75" s="116">
        <f t="shared" si="47"/>
        <v>50000</v>
      </c>
      <c r="V75" s="116">
        <f t="shared" si="47"/>
        <v>50000</v>
      </c>
      <c r="W75" s="116">
        <f t="shared" si="47"/>
        <v>50000</v>
      </c>
      <c r="X75" s="116">
        <f t="shared" si="47"/>
        <v>0</v>
      </c>
      <c r="Y75" s="116">
        <f t="shared" si="47"/>
        <v>0</v>
      </c>
      <c r="Z75" s="116">
        <f t="shared" si="47"/>
        <v>0</v>
      </c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35">
      <c r="A76" s="113" t="s">
        <v>197</v>
      </c>
      <c r="B76" s="35" t="s">
        <v>280</v>
      </c>
      <c r="C76" s="35" t="s">
        <v>377</v>
      </c>
      <c r="F76" s="197"/>
      <c r="G76" s="197"/>
      <c r="H76" s="197"/>
      <c r="I76" s="202"/>
      <c r="J76" s="202"/>
      <c r="K76" s="202"/>
      <c r="L76" s="206">
        <v>35000</v>
      </c>
      <c r="M76" s="301">
        <v>45000</v>
      </c>
      <c r="N76" s="308">
        <v>60000</v>
      </c>
      <c r="O76" s="116">
        <v>60000</v>
      </c>
      <c r="P76" s="116">
        <v>50000</v>
      </c>
      <c r="Q76" s="116">
        <v>50000</v>
      </c>
      <c r="R76" s="116">
        <v>50000</v>
      </c>
      <c r="S76" s="116">
        <v>50000</v>
      </c>
      <c r="T76" s="116">
        <v>50000</v>
      </c>
      <c r="U76" s="116">
        <v>50000</v>
      </c>
      <c r="V76" s="116">
        <v>50000</v>
      </c>
      <c r="W76" s="116">
        <v>50000</v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107" customFormat="1" x14ac:dyDescent="0.35">
      <c r="A77" s="334" t="s">
        <v>381</v>
      </c>
      <c r="B77" s="107" t="s">
        <v>280</v>
      </c>
      <c r="C77" s="107" t="s">
        <v>378</v>
      </c>
      <c r="F77" s="335"/>
      <c r="G77" s="335"/>
      <c r="H77" s="335"/>
      <c r="I77" s="326"/>
      <c r="J77" s="326"/>
      <c r="K77" s="326"/>
      <c r="L77" s="326">
        <v>28400</v>
      </c>
      <c r="M77" s="327">
        <v>15800</v>
      </c>
      <c r="N77" s="336">
        <v>15200</v>
      </c>
      <c r="O77" s="337">
        <v>18000</v>
      </c>
      <c r="P77" s="337">
        <v>0</v>
      </c>
      <c r="Q77" s="337">
        <v>0</v>
      </c>
      <c r="R77" s="337">
        <v>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107" customFormat="1" x14ac:dyDescent="0.35">
      <c r="A78" s="334" t="s">
        <v>384</v>
      </c>
      <c r="B78" s="107" t="s">
        <v>280</v>
      </c>
      <c r="C78" s="107" t="s">
        <v>378</v>
      </c>
      <c r="F78" s="335"/>
      <c r="G78" s="335"/>
      <c r="H78" s="335"/>
      <c r="I78" s="326"/>
      <c r="J78" s="326"/>
      <c r="K78" s="326"/>
      <c r="L78" s="326">
        <v>28400</v>
      </c>
      <c r="M78" s="327">
        <v>15800</v>
      </c>
      <c r="N78" s="336">
        <v>15200</v>
      </c>
      <c r="O78" s="337">
        <v>28900</v>
      </c>
      <c r="P78" s="337"/>
      <c r="Q78" s="337"/>
      <c r="R78" s="337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  <c r="AE78" s="330"/>
      <c r="AF78" s="330"/>
      <c r="AG78" s="330"/>
      <c r="AM78" s="338"/>
    </row>
    <row r="79" spans="1:39" s="107" customFormat="1" x14ac:dyDescent="0.35">
      <c r="A79" s="334" t="s">
        <v>201</v>
      </c>
      <c r="B79" s="107" t="s">
        <v>280</v>
      </c>
      <c r="C79" s="107" t="s">
        <v>379</v>
      </c>
      <c r="F79" s="335"/>
      <c r="G79" s="335"/>
      <c r="H79" s="335"/>
      <c r="I79" s="326"/>
      <c r="J79" s="326"/>
      <c r="K79" s="326"/>
      <c r="L79" s="326">
        <v>27000</v>
      </c>
      <c r="M79" s="327">
        <v>27000</v>
      </c>
      <c r="N79" s="336">
        <v>12000</v>
      </c>
      <c r="O79" s="337">
        <v>12000</v>
      </c>
      <c r="P79" s="337">
        <v>12000</v>
      </c>
      <c r="Q79" s="337">
        <v>12000</v>
      </c>
      <c r="R79" s="337">
        <v>6000</v>
      </c>
      <c r="S79" s="330"/>
      <c r="T79" s="330"/>
      <c r="U79" s="330"/>
      <c r="V79" s="330"/>
      <c r="W79" s="330"/>
      <c r="X79" s="330"/>
      <c r="Y79" s="330"/>
      <c r="Z79" s="330"/>
      <c r="AA79" s="330"/>
      <c r="AB79" s="330"/>
      <c r="AC79" s="330"/>
      <c r="AD79" s="330"/>
      <c r="AE79" s="330"/>
      <c r="AF79" s="330"/>
      <c r="AG79" s="330"/>
      <c r="AM79" s="338"/>
    </row>
    <row r="80" spans="1:39" s="107" customFormat="1" x14ac:dyDescent="0.35">
      <c r="A80" s="334" t="s">
        <v>385</v>
      </c>
      <c r="B80" s="107" t="s">
        <v>280</v>
      </c>
      <c r="C80" s="107" t="s">
        <v>379</v>
      </c>
      <c r="F80" s="335"/>
      <c r="G80" s="335"/>
      <c r="H80" s="335"/>
      <c r="I80" s="326"/>
      <c r="J80" s="326"/>
      <c r="K80" s="326"/>
      <c r="L80" s="326">
        <v>64400</v>
      </c>
      <c r="M80" s="339">
        <v>23400</v>
      </c>
      <c r="N80" s="336">
        <v>13800</v>
      </c>
      <c r="O80" s="337">
        <v>17100</v>
      </c>
      <c r="P80" s="337"/>
      <c r="Q80" s="337"/>
      <c r="R80" s="337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  <c r="AE80" s="330"/>
      <c r="AF80" s="330"/>
      <c r="AG80" s="330"/>
      <c r="AM80" s="338"/>
    </row>
    <row r="81" spans="1:39" s="35" customFormat="1" x14ac:dyDescent="0.35">
      <c r="A81" s="220" t="s">
        <v>341</v>
      </c>
      <c r="F81" s="197"/>
      <c r="G81" s="197"/>
      <c r="H81" s="197"/>
      <c r="I81" s="202"/>
      <c r="J81" s="202"/>
      <c r="K81" s="202"/>
      <c r="L81" s="202"/>
      <c r="M81" s="301"/>
      <c r="N81" s="308"/>
      <c r="O81" s="116">
        <f>SUM(O82:O85)</f>
        <v>59000</v>
      </c>
      <c r="P81" s="116">
        <f t="shared" ref="P81:Z81" si="48">SUM(P82:P85)</f>
        <v>59000</v>
      </c>
      <c r="Q81" s="116">
        <f t="shared" si="48"/>
        <v>59000</v>
      </c>
      <c r="R81" s="116">
        <f t="shared" si="48"/>
        <v>59000</v>
      </c>
      <c r="S81" s="116">
        <f t="shared" si="48"/>
        <v>59000</v>
      </c>
      <c r="T81" s="116">
        <f t="shared" si="48"/>
        <v>59000</v>
      </c>
      <c r="U81" s="116">
        <f t="shared" si="48"/>
        <v>59000</v>
      </c>
      <c r="V81" s="116">
        <f t="shared" si="48"/>
        <v>59000</v>
      </c>
      <c r="W81" s="116">
        <f t="shared" si="48"/>
        <v>59000</v>
      </c>
      <c r="X81" s="116">
        <f t="shared" si="48"/>
        <v>59000</v>
      </c>
      <c r="Y81" s="116">
        <f t="shared" si="48"/>
        <v>59000</v>
      </c>
      <c r="Z81" s="116">
        <f t="shared" si="48"/>
        <v>59000</v>
      </c>
      <c r="AA81" s="116"/>
      <c r="AB81" s="44"/>
      <c r="AC81" s="44"/>
      <c r="AD81" s="44"/>
      <c r="AE81" s="44"/>
      <c r="AF81" s="44"/>
      <c r="AG81" s="44"/>
      <c r="AM81" s="233"/>
    </row>
    <row r="82" spans="1:39" s="274" customFormat="1" x14ac:dyDescent="0.35">
      <c r="A82" s="282" t="s">
        <v>342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2'!$C$13*4/12</f>
        <v>9666.6666666666661</v>
      </c>
      <c r="P82" s="279">
        <f>'Stimulus Round 2'!$C$13*4/12</f>
        <v>9666.6666666666661</v>
      </c>
      <c r="Q82" s="279">
        <f>'Stimulus Round 2'!$C$13*4/12</f>
        <v>9666.6666666666661</v>
      </c>
      <c r="R82" s="279">
        <f>'Stimulus Round 2'!$C$13*4/12</f>
        <v>9666.6666666666661</v>
      </c>
      <c r="S82" s="279">
        <f>'Stimulus Round 2'!$C$13*4/12</f>
        <v>9666.6666666666661</v>
      </c>
      <c r="T82" s="279">
        <f>'Stimulus Round 2'!$C$13*4/12</f>
        <v>9666.6666666666661</v>
      </c>
      <c r="U82" s="279">
        <f>'Stimulus Round 2'!$C$13*4/12</f>
        <v>9666.6666666666661</v>
      </c>
      <c r="V82" s="279">
        <f>'Stimulus Round 2'!$C$13*4/12</f>
        <v>9666.6666666666661</v>
      </c>
      <c r="W82" s="279">
        <f>'Stimulus Round 2'!$C$13*4/12</f>
        <v>9666.6666666666661</v>
      </c>
      <c r="X82" s="279">
        <f>'Stimulus Round 2'!$C$13*4/12</f>
        <v>9666.6666666666661</v>
      </c>
      <c r="Y82" s="279">
        <f>'Stimulus Round 2'!$C$13*4/12</f>
        <v>9666.6666666666661</v>
      </c>
      <c r="Z82" s="279">
        <f>'Stimulus Round 2'!$C$13*4/12</f>
        <v>9666.6666666666661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274" customFormat="1" x14ac:dyDescent="0.35">
      <c r="A83" s="282" t="s">
        <v>343</v>
      </c>
      <c r="F83" s="197"/>
      <c r="G83" s="197"/>
      <c r="H83" s="197"/>
      <c r="I83" s="202"/>
      <c r="J83" s="202"/>
      <c r="K83" s="202"/>
      <c r="L83" s="202"/>
      <c r="M83" s="301"/>
      <c r="N83" s="308"/>
      <c r="O83" s="279">
        <f>'Stimulus Round 2'!$C$5*4/12</f>
        <v>27333.333333333332</v>
      </c>
      <c r="P83" s="279">
        <f>'Stimulus Round 2'!$C$5*4/12</f>
        <v>27333.333333333332</v>
      </c>
      <c r="Q83" s="279">
        <f>'Stimulus Round 2'!$C$5*4/12</f>
        <v>27333.333333333332</v>
      </c>
      <c r="R83" s="279">
        <f>'Stimulus Round 2'!$C$5*4/12</f>
        <v>27333.333333333332</v>
      </c>
      <c r="S83" s="279">
        <f>'Stimulus Round 2'!$C$5*4/12</f>
        <v>27333.333333333332</v>
      </c>
      <c r="T83" s="279">
        <f>'Stimulus Round 2'!$C$5*4/12</f>
        <v>27333.333333333332</v>
      </c>
      <c r="U83" s="279">
        <f>'Stimulus Round 2'!$C$5*4/12</f>
        <v>27333.333333333332</v>
      </c>
      <c r="V83" s="279">
        <f>'Stimulus Round 2'!$C$5*4/12</f>
        <v>27333.333333333332</v>
      </c>
      <c r="W83" s="279">
        <f>'Stimulus Round 2'!$C$5*4/12</f>
        <v>27333.333333333332</v>
      </c>
      <c r="X83" s="279">
        <f>'Stimulus Round 2'!$C$5*4/12</f>
        <v>27333.333333333332</v>
      </c>
      <c r="Y83" s="279">
        <f>'Stimulus Round 2'!$C$5*4/12</f>
        <v>27333.333333333332</v>
      </c>
      <c r="Z83" s="279">
        <f>'Stimulus Round 2'!$C$5*4/12</f>
        <v>27333.333333333332</v>
      </c>
      <c r="AA83" s="276"/>
      <c r="AB83" s="276"/>
      <c r="AC83" s="276"/>
      <c r="AD83" s="276"/>
      <c r="AE83" s="276"/>
      <c r="AF83" s="276"/>
      <c r="AG83" s="276"/>
      <c r="AM83" s="280"/>
    </row>
    <row r="84" spans="1:39" s="274" customFormat="1" x14ac:dyDescent="0.35">
      <c r="A84" s="282" t="s">
        <v>347</v>
      </c>
      <c r="F84" s="197"/>
      <c r="G84" s="197"/>
      <c r="H84" s="197"/>
      <c r="I84" s="202"/>
      <c r="J84" s="202"/>
      <c r="K84" s="202"/>
      <c r="L84" s="202"/>
      <c r="M84" s="301"/>
      <c r="N84" s="308"/>
      <c r="O84" s="279">
        <f>'Stimulus Round 2'!$C$10*4/12</f>
        <v>4000</v>
      </c>
      <c r="P84" s="279">
        <f>'Stimulus Round 2'!$C$10*4/12</f>
        <v>4000</v>
      </c>
      <c r="Q84" s="279">
        <f>'Stimulus Round 2'!$C$10*4/12</f>
        <v>4000</v>
      </c>
      <c r="R84" s="279">
        <f>'Stimulus Round 2'!$C$10*4/12</f>
        <v>4000</v>
      </c>
      <c r="S84" s="279">
        <f>'Stimulus Round 2'!$C$10*4/12</f>
        <v>4000</v>
      </c>
      <c r="T84" s="279">
        <f>'Stimulus Round 2'!$C$10*4/12</f>
        <v>4000</v>
      </c>
      <c r="U84" s="279">
        <f>'Stimulus Round 2'!$C$10*4/12</f>
        <v>4000</v>
      </c>
      <c r="V84" s="279">
        <f>'Stimulus Round 2'!$C$10*4/12</f>
        <v>4000</v>
      </c>
      <c r="W84" s="279">
        <f>'Stimulus Round 2'!$C$10*4/12</f>
        <v>4000</v>
      </c>
      <c r="X84" s="279">
        <f>'Stimulus Round 2'!$C$10*4/12</f>
        <v>4000</v>
      </c>
      <c r="Y84" s="279">
        <f>'Stimulus Round 2'!$C$10*4/12</f>
        <v>4000</v>
      </c>
      <c r="Z84" s="279">
        <f>'Stimulus Round 2'!$C$10*4/12</f>
        <v>4000</v>
      </c>
      <c r="AA84" s="276"/>
      <c r="AB84" s="276"/>
      <c r="AC84" s="276"/>
      <c r="AD84" s="276"/>
      <c r="AE84" s="276"/>
      <c r="AF84" s="276"/>
      <c r="AG84" s="276"/>
      <c r="AM84" s="280"/>
    </row>
    <row r="85" spans="1:39" s="274" customFormat="1" x14ac:dyDescent="0.35">
      <c r="A85" s="282" t="s">
        <v>349</v>
      </c>
      <c r="F85" s="197"/>
      <c r="G85" s="197"/>
      <c r="H85" s="197"/>
      <c r="I85" s="202"/>
      <c r="J85" s="202"/>
      <c r="K85" s="202"/>
      <c r="L85" s="202"/>
      <c r="M85" s="301"/>
      <c r="N85" s="308"/>
      <c r="O85" s="279">
        <f>'Stimulus Round 2'!$C$16*4/12</f>
        <v>18000</v>
      </c>
      <c r="P85" s="279">
        <f>'Stimulus Round 2'!$C$16*4/12</f>
        <v>18000</v>
      </c>
      <c r="Q85" s="279">
        <f>'Stimulus Round 2'!$C$16*4/12</f>
        <v>18000</v>
      </c>
      <c r="R85" s="279">
        <f>'Stimulus Round 2'!$C$16*4/12</f>
        <v>18000</v>
      </c>
      <c r="S85" s="279">
        <f>'Stimulus Round 2'!$C$16*4/12</f>
        <v>18000</v>
      </c>
      <c r="T85" s="279">
        <f>'Stimulus Round 2'!$C$16*4/12</f>
        <v>18000</v>
      </c>
      <c r="U85" s="279">
        <f>'Stimulus Round 2'!$C$16*4/12</f>
        <v>18000</v>
      </c>
      <c r="V85" s="279">
        <f>'Stimulus Round 2'!$C$16*4/12</f>
        <v>18000</v>
      </c>
      <c r="W85" s="279">
        <f>'Stimulus Round 2'!$C$16*4/12</f>
        <v>18000</v>
      </c>
      <c r="X85" s="279">
        <f>'Stimulus Round 2'!$C$16*4/12</f>
        <v>18000</v>
      </c>
      <c r="Y85" s="279">
        <f>'Stimulus Round 2'!$C$16*4/12</f>
        <v>18000</v>
      </c>
      <c r="Z85" s="279">
        <f>'Stimulus Round 2'!$C$16*4/12</f>
        <v>18000</v>
      </c>
      <c r="AA85" s="276"/>
      <c r="AB85" s="276"/>
      <c r="AC85" s="276"/>
      <c r="AD85" s="276"/>
      <c r="AE85" s="276"/>
      <c r="AF85" s="276"/>
      <c r="AG85" s="276"/>
      <c r="AM85" s="280"/>
    </row>
    <row r="86" spans="1:39" s="35" customFormat="1" x14ac:dyDescent="0.35">
      <c r="A86" s="145" t="s">
        <v>216</v>
      </c>
      <c r="B86" s="141"/>
      <c r="E86" s="141"/>
      <c r="F86" s="197"/>
      <c r="G86" s="197"/>
      <c r="H86" s="197"/>
      <c r="I86" s="202"/>
      <c r="J86" s="202"/>
      <c r="K86" s="202">
        <f>K69-K96</f>
        <v>204376</v>
      </c>
      <c r="L86" s="206">
        <f>L72+L74</f>
        <v>349750</v>
      </c>
      <c r="M86" s="206">
        <f>M72+M74</f>
        <v>307200</v>
      </c>
      <c r="N86" s="308">
        <f>N72+N74</f>
        <v>299351</v>
      </c>
      <c r="O86" s="144">
        <f t="shared" ref="O86:Z86" si="49">O72+O74</f>
        <v>375638.804</v>
      </c>
      <c r="P86" s="144">
        <f t="shared" si="49"/>
        <v>319529.75921599998</v>
      </c>
      <c r="Q86" s="144">
        <f t="shared" si="49"/>
        <v>320323.878252864</v>
      </c>
      <c r="R86" s="144">
        <f t="shared" si="49"/>
        <v>315121.17376587546</v>
      </c>
      <c r="S86" s="144">
        <f t="shared" si="49"/>
        <v>309921.65846093895</v>
      </c>
      <c r="T86" s="144">
        <f t="shared" si="49"/>
        <v>310725.34509478271</v>
      </c>
      <c r="U86" s="144">
        <f t="shared" si="49"/>
        <v>311532.24647516187</v>
      </c>
      <c r="V86" s="144">
        <f t="shared" si="49"/>
        <v>312342.37546106247</v>
      </c>
      <c r="W86" s="144">
        <f t="shared" si="49"/>
        <v>313155.7449629067</v>
      </c>
      <c r="X86" s="144">
        <f t="shared" si="49"/>
        <v>263972.36794275837</v>
      </c>
      <c r="Y86" s="144">
        <f t="shared" si="49"/>
        <v>264792.25741452933</v>
      </c>
      <c r="Z86" s="144">
        <f t="shared" si="49"/>
        <v>265615.42644418747</v>
      </c>
      <c r="AA86" s="44"/>
      <c r="AB86" s="44"/>
      <c r="AC86" s="44"/>
      <c r="AD86" s="44"/>
      <c r="AE86" s="44"/>
      <c r="AF86" s="44"/>
      <c r="AG86" s="44"/>
      <c r="AM86" s="233"/>
    </row>
    <row r="87" spans="1:39" s="35" customFormat="1" x14ac:dyDescent="0.35">
      <c r="F87" s="197"/>
      <c r="G87" s="197"/>
      <c r="H87" s="197"/>
      <c r="I87" s="197"/>
      <c r="J87" s="197"/>
      <c r="K87" s="197"/>
      <c r="L87" s="203"/>
      <c r="M87" s="301"/>
      <c r="N87" s="310"/>
      <c r="O87" s="135"/>
      <c r="P87" s="135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M87" s="233"/>
    </row>
    <row r="88" spans="1:39" s="35" customFormat="1" x14ac:dyDescent="0.35">
      <c r="A88" s="35" t="s">
        <v>17</v>
      </c>
      <c r="B88" s="35" t="s">
        <v>280</v>
      </c>
      <c r="C88" t="s">
        <v>314</v>
      </c>
      <c r="D88"/>
      <c r="F88" s="206">
        <v>1241.5999999999999</v>
      </c>
      <c r="G88" s="206">
        <v>1245.8</v>
      </c>
      <c r="H88" s="206">
        <v>1473.6</v>
      </c>
      <c r="I88" s="206">
        <v>1288.5</v>
      </c>
      <c r="J88" s="206">
        <v>1301.0999999999999</v>
      </c>
      <c r="K88" s="206">
        <v>1306.0999999999999</v>
      </c>
      <c r="L88" s="206">
        <v>1360.1</v>
      </c>
      <c r="M88" s="301">
        <v>1335.133</v>
      </c>
      <c r="N88" s="308">
        <f>VLOOKUP($C$88,'Haver NA'!$A$1:$J$34,10,0)/1000</f>
        <v>1333.307</v>
      </c>
      <c r="O88" s="116"/>
      <c r="P88" s="116"/>
      <c r="Q88" s="116"/>
      <c r="R88" s="116"/>
      <c r="S88" s="116"/>
      <c r="T88" s="116"/>
      <c r="U88" s="116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I88" s="44"/>
      <c r="AJ88" s="44"/>
      <c r="AK88" s="44"/>
      <c r="AL88" s="44"/>
      <c r="AM88" s="235"/>
    </row>
    <row r="89" spans="1:39" s="35" customFormat="1" x14ac:dyDescent="0.35">
      <c r="A89" s="114" t="s">
        <v>203</v>
      </c>
      <c r="B89" s="35" t="s">
        <v>280</v>
      </c>
      <c r="C89" t="s">
        <v>315</v>
      </c>
      <c r="D89"/>
      <c r="F89" s="197"/>
      <c r="G89" s="197"/>
      <c r="H89" s="197"/>
      <c r="I89" s="197"/>
      <c r="J89" s="197">
        <v>1447.9</v>
      </c>
      <c r="K89" s="197">
        <v>1452.6</v>
      </c>
      <c r="L89" s="197">
        <v>1504.8</v>
      </c>
      <c r="M89" s="301">
        <v>1487.0350000000001</v>
      </c>
      <c r="N89" s="301">
        <f>VLOOKUP($C$89,'Haver NA'!$A$1:$J$34,10,0)/1000</f>
        <v>1493.5530000000001</v>
      </c>
      <c r="O89">
        <v>1504.3514552807801</v>
      </c>
      <c r="P89">
        <v>1511.252602267454</v>
      </c>
      <c r="Q89">
        <v>1519.3368030232709</v>
      </c>
      <c r="R89">
        <v>1530.997960524671</v>
      </c>
      <c r="S89">
        <v>1544.2799915439159</v>
      </c>
      <c r="T89">
        <v>1557.72908484966</v>
      </c>
      <c r="U89">
        <v>1572.6694039177321</v>
      </c>
      <c r="V89">
        <v>1586.4153149483291</v>
      </c>
      <c r="W89">
        <v>1601.682526026475</v>
      </c>
      <c r="X89">
        <v>1615.690158481731</v>
      </c>
      <c r="Y89">
        <v>1631.2333657547081</v>
      </c>
      <c r="Z89">
        <v>1646.9554971985581</v>
      </c>
      <c r="AA89"/>
      <c r="AB89"/>
      <c r="AE89" s="44"/>
      <c r="AF89" s="44"/>
      <c r="AG89" s="44"/>
      <c r="AI89" s="44"/>
      <c r="AJ89" s="44"/>
      <c r="AK89" s="44"/>
      <c r="AL89" s="44"/>
      <c r="AM89" s="235"/>
    </row>
    <row r="90" spans="1:39" s="35" customFormat="1" x14ac:dyDescent="0.35">
      <c r="A90" s="114" t="s">
        <v>380</v>
      </c>
      <c r="C90"/>
      <c r="D90"/>
      <c r="F90" s="197"/>
      <c r="G90" s="197"/>
      <c r="H90" s="197"/>
      <c r="I90" s="197"/>
      <c r="J90" s="197"/>
      <c r="K90" s="197"/>
      <c r="L90" s="197"/>
      <c r="M90" s="302">
        <v>-1.1805555555555514E-2</v>
      </c>
      <c r="N90" s="311">
        <f>N88/M88-1</f>
        <v>-1.3676540090014067E-3</v>
      </c>
      <c r="O90" s="196">
        <v>4.0000000000000001E-3</v>
      </c>
      <c r="P90" s="196">
        <v>4.0000000000000001E-3</v>
      </c>
      <c r="Q90" s="196">
        <v>4.0000000000000001E-3</v>
      </c>
      <c r="R90" s="196">
        <v>4.0000000000000001E-3</v>
      </c>
      <c r="S90" s="196">
        <v>4.0000000000000001E-3</v>
      </c>
      <c r="T90" s="196">
        <v>4.0000000000000001E-3</v>
      </c>
      <c r="U90" s="196">
        <v>4.0000000000000001E-3</v>
      </c>
      <c r="V90" s="196">
        <v>4.0000000000000001E-3</v>
      </c>
      <c r="W90" s="196">
        <v>4.0000000000000001E-3</v>
      </c>
      <c r="X90" s="196">
        <v>4.0000000000000001E-3</v>
      </c>
      <c r="Y90" s="196">
        <v>4.0000000000000001E-3</v>
      </c>
      <c r="Z90" s="196">
        <v>4.0000000000000001E-3</v>
      </c>
      <c r="AA90"/>
      <c r="AB90"/>
      <c r="AE90" s="44"/>
      <c r="AF90" s="44"/>
      <c r="AG90" s="44"/>
      <c r="AI90" s="44"/>
      <c r="AJ90" s="44"/>
      <c r="AK90" s="44"/>
      <c r="AL90" s="44"/>
      <c r="AM90" s="235"/>
    </row>
    <row r="91" spans="1:39" s="185" customFormat="1" ht="12" x14ac:dyDescent="0.3">
      <c r="A91" s="169" t="s">
        <v>202</v>
      </c>
      <c r="F91" s="207"/>
      <c r="G91" s="207"/>
      <c r="H91" s="207"/>
      <c r="I91" s="207"/>
      <c r="J91" s="207"/>
      <c r="K91" s="207"/>
      <c r="L91" s="207"/>
      <c r="M91" s="302">
        <v>-1.1805555555555514E-2</v>
      </c>
      <c r="N91" s="311">
        <f>N89/M89-1</f>
        <v>4.3832189558417056E-3</v>
      </c>
      <c r="O91" s="196">
        <v>5.3394154743755307E-2</v>
      </c>
      <c r="P91" s="196">
        <v>-1.9703807284052632E-2</v>
      </c>
      <c r="Q91" s="196">
        <v>-4.084808403034379E-3</v>
      </c>
      <c r="R91" s="196">
        <v>0</v>
      </c>
      <c r="S91" s="196">
        <v>2.4739583333333037E-3</v>
      </c>
      <c r="T91" s="196">
        <v>1.6235874788934623E-3</v>
      </c>
      <c r="U91" s="196">
        <v>3.9551319457953316E-3</v>
      </c>
      <c r="V91" s="196">
        <v>3.8749677086025169E-3</v>
      </c>
      <c r="W91" s="196">
        <v>3.9243437982501295E-3</v>
      </c>
      <c r="X91" s="196">
        <v>3.0118551746236566E-3</v>
      </c>
      <c r="Y91" s="196">
        <v>3.9611551239457921E-3</v>
      </c>
      <c r="Z91" s="196">
        <v>5.027364133893153E-3</v>
      </c>
      <c r="AA91" s="186"/>
      <c r="AB91" s="186"/>
      <c r="AE91" s="187"/>
      <c r="AF91" s="187"/>
      <c r="AG91" s="187"/>
      <c r="AI91" s="187"/>
      <c r="AJ91" s="187"/>
      <c r="AK91" s="187"/>
      <c r="AL91" s="187"/>
      <c r="AM91" s="237"/>
    </row>
    <row r="92" spans="1:39" s="185" customFormat="1" x14ac:dyDescent="0.35">
      <c r="A92" s="114" t="s">
        <v>356</v>
      </c>
      <c r="F92" s="207"/>
      <c r="G92" s="207"/>
      <c r="H92" s="207"/>
      <c r="I92" s="207"/>
      <c r="J92" s="207"/>
      <c r="K92" s="207"/>
      <c r="L92" s="207"/>
      <c r="M92" s="302"/>
      <c r="N92" s="311"/>
      <c r="O92" s="102">
        <f>SUM(O93:O95)</f>
        <v>71400</v>
      </c>
      <c r="P92" s="102">
        <f t="shared" ref="P92:R92" si="50">SUM(P93:P95)</f>
        <v>71400</v>
      </c>
      <c r="Q92" s="102">
        <f t="shared" si="50"/>
        <v>30600</v>
      </c>
      <c r="R92" s="102">
        <f t="shared" si="50"/>
        <v>30600</v>
      </c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E92" s="187"/>
      <c r="AF92" s="187"/>
      <c r="AG92" s="187"/>
      <c r="AI92" s="187"/>
      <c r="AJ92" s="187"/>
      <c r="AK92" s="187"/>
      <c r="AL92" s="187"/>
      <c r="AM92" s="237"/>
    </row>
    <row r="93" spans="1:39" s="285" customFormat="1" x14ac:dyDescent="0.35">
      <c r="A93" s="284" t="s">
        <v>352</v>
      </c>
      <c r="F93" s="300"/>
      <c r="G93" s="300"/>
      <c r="H93" s="300"/>
      <c r="I93" s="300"/>
      <c r="J93" s="300"/>
      <c r="K93" s="300"/>
      <c r="L93" s="300"/>
      <c r="M93" s="305"/>
      <c r="N93" s="312"/>
      <c r="O93" s="279">
        <f>('Stimulus Round 2'!$C7*0.7*4)/2</f>
        <v>30799.999999999996</v>
      </c>
      <c r="P93" s="279">
        <f>('Stimulus Round 2'!$C7*0.7*4)/2</f>
        <v>30799.999999999996</v>
      </c>
      <c r="Q93" s="279">
        <f>('Stimulus Round 2'!$C7*0.3*4)/2</f>
        <v>13200</v>
      </c>
      <c r="R93" s="279">
        <f>('Stimulus Round 2'!$C7*0.3*4)/2</f>
        <v>13200</v>
      </c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E93" s="287"/>
      <c r="AF93" s="287"/>
      <c r="AG93" s="287"/>
      <c r="AI93" s="287"/>
      <c r="AJ93" s="287"/>
      <c r="AK93" s="287"/>
      <c r="AL93" s="287"/>
      <c r="AM93" s="288"/>
    </row>
    <row r="94" spans="1:39" s="285" customFormat="1" x14ac:dyDescent="0.35">
      <c r="A94" s="284" t="s">
        <v>353</v>
      </c>
      <c r="F94" s="300"/>
      <c r="G94" s="300"/>
      <c r="H94" s="300"/>
      <c r="I94" s="300"/>
      <c r="J94" s="300"/>
      <c r="K94" s="300"/>
      <c r="L94" s="300"/>
      <c r="M94" s="305"/>
      <c r="N94" s="312"/>
      <c r="O94" s="279">
        <f>('Stimulus Round 2'!$C8*0.7*4)/2</f>
        <v>28000</v>
      </c>
      <c r="P94" s="279">
        <f>('Stimulus Round 2'!$C8*0.7*4)/2</f>
        <v>28000</v>
      </c>
      <c r="Q94" s="279">
        <f>('Stimulus Round 2'!$C8*0.3*4)/2</f>
        <v>12000</v>
      </c>
      <c r="R94" s="279">
        <f>('Stimulus Round 2'!$C8*0.3*4)/2</f>
        <v>12000</v>
      </c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E94" s="287"/>
      <c r="AF94" s="287"/>
      <c r="AG94" s="287"/>
      <c r="AI94" s="287"/>
      <c r="AJ94" s="287"/>
      <c r="AK94" s="287"/>
      <c r="AL94" s="287"/>
      <c r="AM94" s="288"/>
    </row>
    <row r="95" spans="1:39" s="285" customFormat="1" x14ac:dyDescent="0.35">
      <c r="A95" s="284" t="s">
        <v>354</v>
      </c>
      <c r="F95" s="300"/>
      <c r="G95" s="300"/>
      <c r="H95" s="300"/>
      <c r="I95" s="300"/>
      <c r="J95" s="300"/>
      <c r="K95" s="300"/>
      <c r="L95" s="300"/>
      <c r="M95" s="305"/>
      <c r="N95" s="312"/>
      <c r="O95" s="279">
        <f>('Stimulus Round 2'!$C9*0.7*4)/2</f>
        <v>12600</v>
      </c>
      <c r="P95" s="279">
        <f>('Stimulus Round 2'!$C9*0.7*4)/2</f>
        <v>12600</v>
      </c>
      <c r="Q95" s="279">
        <f>('Stimulus Round 2'!$C9*0.3*4)/2</f>
        <v>5400</v>
      </c>
      <c r="R95" s="279">
        <f>('Stimulus Round 2'!$C9*0.3*4)/2</f>
        <v>5400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E95" s="287"/>
      <c r="AF95" s="287"/>
      <c r="AG95" s="287"/>
      <c r="AI95" s="287"/>
      <c r="AJ95" s="287"/>
      <c r="AK95" s="287"/>
      <c r="AL95" s="287"/>
      <c r="AM95" s="288"/>
    </row>
    <row r="96" spans="1:39" s="35" customFormat="1" x14ac:dyDescent="0.35">
      <c r="A96" s="35" t="s">
        <v>204</v>
      </c>
      <c r="B96" s="35" t="s">
        <v>280</v>
      </c>
      <c r="C96" t="s">
        <v>316</v>
      </c>
      <c r="D96"/>
      <c r="F96" s="206">
        <v>389624</v>
      </c>
      <c r="G96" s="206">
        <v>404529</v>
      </c>
      <c r="H96" s="206">
        <v>419672</v>
      </c>
      <c r="I96" s="206">
        <v>418824</v>
      </c>
      <c r="J96" s="206">
        <v>411409</v>
      </c>
      <c r="K96" s="206">
        <v>423429</v>
      </c>
      <c r="L96" s="206">
        <v>512640</v>
      </c>
      <c r="M96" s="301">
        <v>486072</v>
      </c>
      <c r="N96" s="308">
        <f>VLOOKUP($C$96,'Haver NA'!$A$1:$J$34,10,0)</f>
        <v>512193</v>
      </c>
      <c r="O96" s="116">
        <f t="shared" ref="O96:S96" si="51">O103*0.74</f>
        <v>507477.24811825115</v>
      </c>
      <c r="P96" s="116">
        <f t="shared" si="51"/>
        <v>512541.31638321205</v>
      </c>
      <c r="Q96" s="116">
        <f t="shared" si="51"/>
        <v>512541.31638321205</v>
      </c>
      <c r="R96" s="116">
        <f t="shared" si="51"/>
        <v>512541.31638321205</v>
      </c>
      <c r="S96" s="116">
        <f t="shared" si="51"/>
        <v>512541.31638321205</v>
      </c>
      <c r="T96" s="116">
        <f>T103*0.68</f>
        <v>470983.91235214088</v>
      </c>
      <c r="U96" s="116">
        <f>U103*0.68</f>
        <v>470983.91235214088</v>
      </c>
      <c r="V96" s="116">
        <f>V103*0.68</f>
        <v>470983.91235214088</v>
      </c>
      <c r="W96" s="116"/>
      <c r="X96" s="116"/>
      <c r="Y96" s="116"/>
      <c r="Z96" s="116"/>
      <c r="AA96" s="116"/>
      <c r="AB96" s="116"/>
      <c r="AC96" s="44">
        <f>AVERAGE(F96:I96)/1000</f>
        <v>408.16224999999997</v>
      </c>
      <c r="AD96" s="45">
        <f>AVERAGE(J96:M96)</f>
        <v>458387.5</v>
      </c>
      <c r="AE96" s="45">
        <f>AVERAGE(N96:Q96)</f>
        <v>511188.22022116883</v>
      </c>
      <c r="AF96" s="45">
        <f>AVERAGE(R96:U96)</f>
        <v>491762.61436767643</v>
      </c>
      <c r="AH96" s="35">
        <v>409.42</v>
      </c>
      <c r="AI96" s="84">
        <f>'figuring out Medicaid'!G11</f>
        <v>466.24400000000003</v>
      </c>
      <c r="AJ96" s="84">
        <f>'figuring out Medicaid'!H11</f>
        <v>537.41499999999996</v>
      </c>
      <c r="AK96" s="84">
        <f>'figuring out Medicaid'!I11</f>
        <v>516.01800000000003</v>
      </c>
      <c r="AL96" s="84"/>
      <c r="AM96" s="233"/>
    </row>
    <row r="97" spans="1:39" s="35" customFormat="1" x14ac:dyDescent="0.35">
      <c r="A97" s="141" t="s">
        <v>161</v>
      </c>
      <c r="B97" s="141"/>
      <c r="E97" s="141"/>
      <c r="F97" s="201">
        <f t="shared" ref="F97:L97" si="52">F51+F47+F36+F42</f>
        <v>1440187</v>
      </c>
      <c r="G97" s="201">
        <f t="shared" si="52"/>
        <v>1503410</v>
      </c>
      <c r="H97" s="201">
        <f t="shared" si="52"/>
        <v>1508652</v>
      </c>
      <c r="I97" s="201">
        <f t="shared" si="52"/>
        <v>1513957</v>
      </c>
      <c r="J97" s="201">
        <f t="shared" si="52"/>
        <v>1521941</v>
      </c>
      <c r="K97" s="201">
        <f t="shared" si="52"/>
        <v>1574462</v>
      </c>
      <c r="L97" s="201">
        <f t="shared" si="52"/>
        <v>3729557.333333333</v>
      </c>
      <c r="M97" s="301">
        <v>2466001</v>
      </c>
      <c r="N97" s="306">
        <f>N51+N47+N36+N42+N37</f>
        <v>2027793</v>
      </c>
      <c r="O97" s="142">
        <f t="shared" ref="O97:Z97" si="53">O51+O47+O36+O42+O37+O38+O39</f>
        <v>3118501.3980484894</v>
      </c>
      <c r="P97" s="142">
        <f t="shared" si="53"/>
        <v>1874848.87398125</v>
      </c>
      <c r="Q97" s="142">
        <f t="shared" si="53"/>
        <v>1686467.5074263907</v>
      </c>
      <c r="R97" s="142">
        <f t="shared" si="53"/>
        <v>1683044.5200377863</v>
      </c>
      <c r="S97" s="142">
        <f t="shared" si="53"/>
        <v>1687990.187838353</v>
      </c>
      <c r="T97" s="142">
        <f t="shared" si="53"/>
        <v>1713310.0406559282</v>
      </c>
      <c r="U97" s="142">
        <f t="shared" si="53"/>
        <v>1739009.691265767</v>
      </c>
      <c r="V97" s="142">
        <f t="shared" si="53"/>
        <v>1756399.7881784246</v>
      </c>
      <c r="W97" s="142">
        <f t="shared" si="53"/>
        <v>0</v>
      </c>
      <c r="X97" s="142">
        <f t="shared" si="53"/>
        <v>0</v>
      </c>
      <c r="Y97" s="142">
        <f t="shared" si="53"/>
        <v>0</v>
      </c>
      <c r="Z97" s="142">
        <f t="shared" si="53"/>
        <v>0</v>
      </c>
      <c r="AM97" s="233"/>
    </row>
    <row r="98" spans="1:39" s="35" customFormat="1" x14ac:dyDescent="0.35">
      <c r="A98" s="141" t="s">
        <v>213</v>
      </c>
      <c r="B98" s="141"/>
      <c r="E98" s="141"/>
      <c r="F98" s="197"/>
      <c r="G98" s="197"/>
      <c r="H98" s="197"/>
      <c r="I98" s="197"/>
      <c r="J98" s="197"/>
      <c r="K98" s="197"/>
      <c r="L98" s="203">
        <f>L96+L35</f>
        <v>1336698</v>
      </c>
      <c r="M98" s="301">
        <v>1328805</v>
      </c>
      <c r="N98" s="310">
        <f t="shared" ref="N98:Z98" si="54">N96+N35</f>
        <v>1372787</v>
      </c>
      <c r="O98" s="143">
        <f t="shared" si="54"/>
        <v>1390610.1625906522</v>
      </c>
      <c r="P98" s="143">
        <f t="shared" si="54"/>
        <v>1418489.158978964</v>
      </c>
      <c r="Q98" s="143">
        <f t="shared" si="54"/>
        <v>1441583.4808422038</v>
      </c>
      <c r="R98" s="143">
        <f t="shared" si="54"/>
        <v>1483962.7404801806</v>
      </c>
      <c r="S98" s="143">
        <f t="shared" si="54"/>
        <v>1515727.7827888038</v>
      </c>
      <c r="T98" s="143">
        <f t="shared" si="54"/>
        <v>1506974.123618965</v>
      </c>
      <c r="U98" s="143">
        <f t="shared" si="54"/>
        <v>1540850.5361376633</v>
      </c>
      <c r="V98" s="143">
        <f t="shared" si="54"/>
        <v>1551631.6801380017</v>
      </c>
      <c r="W98" s="143">
        <f t="shared" si="54"/>
        <v>1091537.5543621723</v>
      </c>
      <c r="X98" s="143">
        <f t="shared" si="54"/>
        <v>1102537.0783156503</v>
      </c>
      <c r="Y98" s="143">
        <f t="shared" si="54"/>
        <v>1113647.4454798999</v>
      </c>
      <c r="Z98" s="143">
        <f t="shared" si="54"/>
        <v>0</v>
      </c>
      <c r="AM98" s="233"/>
    </row>
    <row r="99" spans="1:39" s="35" customFormat="1" x14ac:dyDescent="0.35">
      <c r="F99" s="197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15</v>
      </c>
      <c r="B100" s="35" t="s">
        <v>280</v>
      </c>
      <c r="C100" t="s">
        <v>317</v>
      </c>
      <c r="D100"/>
      <c r="F100" s="197">
        <v>728844</v>
      </c>
      <c r="G100" s="197">
        <v>738714</v>
      </c>
      <c r="H100" s="197">
        <v>755204</v>
      </c>
      <c r="I100" s="197">
        <v>763370</v>
      </c>
      <c r="J100" s="197">
        <v>760967</v>
      </c>
      <c r="K100" s="197">
        <v>767087</v>
      </c>
      <c r="L100" s="197">
        <v>812158</v>
      </c>
      <c r="M100" s="301">
        <v>828480</v>
      </c>
      <c r="N100" s="303">
        <f>VLOOKUP($C$100,'Haver NA'!$A$1:$J$34,10,0)</f>
        <v>818740</v>
      </c>
      <c r="O100" s="133">
        <f t="shared" ref="O100:U100" si="55">O101+O103</f>
        <v>831250.83502466371</v>
      </c>
      <c r="P100" s="133">
        <f t="shared" si="55"/>
        <v>838457.84744285408</v>
      </c>
      <c r="Q100" s="133">
        <f t="shared" si="55"/>
        <v>839187.01967747905</v>
      </c>
      <c r="R100" s="133">
        <f t="shared" si="55"/>
        <v>840286.24682117626</v>
      </c>
      <c r="S100" s="133">
        <f t="shared" si="55"/>
        <v>841762.8752842095</v>
      </c>
      <c r="T100" s="133">
        <f t="shared" si="55"/>
        <v>843107.97501111636</v>
      </c>
      <c r="U100" s="133">
        <f t="shared" si="55"/>
        <v>844539.45728929248</v>
      </c>
      <c r="V100" s="133">
        <f t="shared" ref="V100" si="56">V101+V103</f>
        <v>846032.64138980373</v>
      </c>
      <c r="AM100" s="233"/>
    </row>
    <row r="101" spans="1:39" s="35" customFormat="1" x14ac:dyDescent="0.35">
      <c r="A101" s="35" t="s">
        <v>229</v>
      </c>
      <c r="F101" s="203">
        <f t="shared" ref="F101:K101" si="57">F100-F103</f>
        <v>139025</v>
      </c>
      <c r="G101" s="203">
        <f t="shared" si="57"/>
        <v>139342</v>
      </c>
      <c r="H101" s="203">
        <f t="shared" si="57"/>
        <v>140228</v>
      </c>
      <c r="I101" s="203">
        <f t="shared" si="57"/>
        <v>141105</v>
      </c>
      <c r="J101" s="203">
        <f t="shared" si="57"/>
        <v>141335</v>
      </c>
      <c r="K101" s="203">
        <f t="shared" si="57"/>
        <v>142991</v>
      </c>
      <c r="L101" s="203">
        <f>L100-L103</f>
        <v>143335</v>
      </c>
      <c r="M101" s="301">
        <v>144777</v>
      </c>
      <c r="N101" s="303">
        <f>N100-N103</f>
        <v>145108</v>
      </c>
      <c r="O101" s="133">
        <f>N101*(1+O113)</f>
        <v>145470.76999999999</v>
      </c>
      <c r="P101" s="133">
        <f t="shared" ref="P101:S101" si="58">O101*(1+P113)</f>
        <v>145834.44692499997</v>
      </c>
      <c r="Q101" s="133">
        <f t="shared" si="58"/>
        <v>146563.61915962494</v>
      </c>
      <c r="R101" s="133">
        <f t="shared" si="58"/>
        <v>147662.84630332215</v>
      </c>
      <c r="S101" s="133">
        <f t="shared" si="58"/>
        <v>149139.47476635536</v>
      </c>
      <c r="T101" s="133">
        <f t="shared" ref="T101:V101" si="59">S101*(1+T112)</f>
        <v>150484.57449326222</v>
      </c>
      <c r="U101" s="133">
        <f t="shared" si="59"/>
        <v>151916.05677143831</v>
      </c>
      <c r="V101" s="133">
        <f t="shared" si="59"/>
        <v>153409.24087194959</v>
      </c>
      <c r="AM101" s="233"/>
    </row>
    <row r="102" spans="1:39" s="35" customFormat="1" x14ac:dyDescent="0.35">
      <c r="F102" s="203"/>
      <c r="G102" s="197"/>
      <c r="H102" s="197"/>
      <c r="I102" s="197"/>
      <c r="J102" s="197"/>
      <c r="K102" s="197"/>
      <c r="L102" s="197"/>
      <c r="M102" s="301"/>
      <c r="N102" s="301"/>
      <c r="AM102" s="233"/>
    </row>
    <row r="103" spans="1:39" s="35" customFormat="1" x14ac:dyDescent="0.35">
      <c r="A103" s="35" t="s">
        <v>226</v>
      </c>
      <c r="B103" s="35" t="s">
        <v>280</v>
      </c>
      <c r="C103" t="s">
        <v>318</v>
      </c>
      <c r="D103"/>
      <c r="F103" s="197">
        <v>589819</v>
      </c>
      <c r="G103" s="197">
        <v>599372</v>
      </c>
      <c r="H103" s="197">
        <v>614976</v>
      </c>
      <c r="I103" s="197">
        <v>622265</v>
      </c>
      <c r="J103" s="197">
        <v>619632</v>
      </c>
      <c r="K103" s="197">
        <v>624096</v>
      </c>
      <c r="L103" s="197">
        <v>668823</v>
      </c>
      <c r="M103" s="301">
        <v>683703</v>
      </c>
      <c r="N103" s="310">
        <f>VLOOKUP($C$103,'Haver NA'!$A$1:$J$34,10,0)</f>
        <v>673632</v>
      </c>
      <c r="O103" s="135">
        <f>N103*(($AJ$103/$AI$103)^0.18)</f>
        <v>685780.06502466369</v>
      </c>
      <c r="P103" s="135">
        <f>O103*(($AJ$103/$AI$103)^0.1)</f>
        <v>692623.40051785414</v>
      </c>
      <c r="Q103" s="135">
        <f>P103*(1+Q104)</f>
        <v>692623.40051785414</v>
      </c>
      <c r="R103" s="135">
        <f t="shared" ref="R103:V103" si="60">Q103*(1+R104)</f>
        <v>692623.40051785414</v>
      </c>
      <c r="S103" s="135">
        <f t="shared" si="60"/>
        <v>692623.40051785414</v>
      </c>
      <c r="T103" s="135">
        <f t="shared" si="60"/>
        <v>692623.40051785414</v>
      </c>
      <c r="U103" s="135">
        <f t="shared" si="60"/>
        <v>692623.40051785414</v>
      </c>
      <c r="V103" s="135">
        <f t="shared" si="60"/>
        <v>692623.40051785414</v>
      </c>
      <c r="AD103" s="45">
        <f>AVERAGE(J103:M103)/1000</f>
        <v>649.06349999999998</v>
      </c>
      <c r="AE103" s="45">
        <f>AVERAGE(N103:Q103)/1000</f>
        <v>686.16471651509301</v>
      </c>
      <c r="AF103" s="45">
        <f>AVERAGE(R103:U103)/1000</f>
        <v>692.62340051785418</v>
      </c>
      <c r="AH103" s="84"/>
      <c r="AI103" s="84">
        <f>'figuring out Medicaid'!G13</f>
        <v>657.17435271149407</v>
      </c>
      <c r="AJ103" s="84">
        <f>'figuring out Medicaid'!H13</f>
        <v>725.7777402928042</v>
      </c>
      <c r="AK103" s="84">
        <f>'figuring out Medicaid'!I13</f>
        <v>727.33117238501666</v>
      </c>
      <c r="AL103" s="84"/>
      <c r="AM103" s="233"/>
    </row>
    <row r="104" spans="1:39" s="185" customFormat="1" x14ac:dyDescent="0.35">
      <c r="A104" s="169" t="s">
        <v>268</v>
      </c>
      <c r="F104" s="207"/>
      <c r="G104" s="207"/>
      <c r="H104" s="207"/>
      <c r="I104" s="207"/>
      <c r="J104" s="200"/>
      <c r="K104" s="200"/>
      <c r="L104" s="200"/>
      <c r="M104" s="301"/>
      <c r="N104" s="302"/>
      <c r="O104" s="175"/>
      <c r="P104" s="175"/>
      <c r="Q104" s="175">
        <v>0</v>
      </c>
      <c r="R104" s="175">
        <v>0</v>
      </c>
      <c r="S104" s="175">
        <v>0</v>
      </c>
      <c r="T104" s="175">
        <v>0</v>
      </c>
      <c r="U104" s="175">
        <v>0</v>
      </c>
      <c r="V104" s="175">
        <v>0</v>
      </c>
      <c r="W104" s="175"/>
      <c r="AM104" s="234"/>
    </row>
    <row r="105" spans="1:39" s="153" customFormat="1" ht="12" x14ac:dyDescent="0.3">
      <c r="A105" s="153" t="s">
        <v>221</v>
      </c>
      <c r="F105" s="208">
        <f t="shared" ref="F105:L105" si="61">F96/F103</f>
        <v>0.66058231423538405</v>
      </c>
      <c r="G105" s="208">
        <f t="shared" si="61"/>
        <v>0.6749214177505789</v>
      </c>
      <c r="H105" s="208">
        <f t="shared" si="61"/>
        <v>0.68242012696430432</v>
      </c>
      <c r="I105" s="208">
        <f t="shared" si="61"/>
        <v>0.6730637268687778</v>
      </c>
      <c r="J105" s="208">
        <f t="shared" si="61"/>
        <v>0.66395699382859508</v>
      </c>
      <c r="K105" s="208">
        <f t="shared" si="61"/>
        <v>0.67846773573296415</v>
      </c>
      <c r="L105" s="208">
        <f t="shared" si="61"/>
        <v>0.76648081779484256</v>
      </c>
      <c r="M105" s="208">
        <v>0.71094027669909299</v>
      </c>
      <c r="N105" s="208">
        <f t="shared" ref="N105" si="62">N96/N103</f>
        <v>0.76034541114436371</v>
      </c>
      <c r="AD105" s="154"/>
      <c r="AE105" s="154"/>
      <c r="AF105" s="154"/>
      <c r="AH105" s="155"/>
      <c r="AI105" s="155"/>
      <c r="AJ105" s="155"/>
      <c r="AM105" s="238"/>
    </row>
    <row r="106" spans="1:39" s="35" customFormat="1" x14ac:dyDescent="0.35">
      <c r="A106" s="35" t="s">
        <v>18</v>
      </c>
      <c r="B106" s="35" t="s">
        <v>280</v>
      </c>
      <c r="C106" t="s">
        <v>319</v>
      </c>
      <c r="D106"/>
      <c r="F106" s="197">
        <v>1997.1</v>
      </c>
      <c r="G106" s="197">
        <v>2012.7</v>
      </c>
      <c r="H106" s="197">
        <v>2025.5</v>
      </c>
      <c r="I106" s="197">
        <v>2028.3</v>
      </c>
      <c r="J106" s="197">
        <v>2035.6</v>
      </c>
      <c r="K106" s="197">
        <v>2041</v>
      </c>
      <c r="L106" s="197">
        <v>2013.1</v>
      </c>
      <c r="M106" s="301">
        <v>1993.0509999999999</v>
      </c>
      <c r="N106" s="301">
        <f>VLOOKUP($C$106,'Haver NA'!$A$1:$J$34,10,0)/1000</f>
        <v>1984.547</v>
      </c>
      <c r="O106" s="35">
        <f>N106*(1+O108)</f>
        <v>2009.5840333646127</v>
      </c>
      <c r="P106" s="35">
        <f t="shared" ref="P106:V106" si="63">O106*(1+P108)</f>
        <v>2031.5173022625379</v>
      </c>
      <c r="Q106" s="35">
        <f t="shared" si="63"/>
        <v>2046.001536440413</v>
      </c>
      <c r="R106" s="35">
        <f t="shared" si="63"/>
        <v>2056.0370415493694</v>
      </c>
      <c r="S106" s="35">
        <f t="shared" si="63"/>
        <v>2065.9690878427696</v>
      </c>
      <c r="T106" s="35">
        <f t="shared" si="63"/>
        <v>2073.2112049317075</v>
      </c>
      <c r="U106" s="35">
        <f t="shared" si="63"/>
        <v>2077.6599340006264</v>
      </c>
      <c r="V106" s="35">
        <f t="shared" si="63"/>
        <v>2079.3152750495265</v>
      </c>
      <c r="AM106" s="233"/>
    </row>
    <row r="107" spans="1:39" s="185" customFormat="1" x14ac:dyDescent="0.35">
      <c r="A107" s="169" t="s">
        <v>284</v>
      </c>
      <c r="B107" s="35"/>
      <c r="C107" s="35"/>
      <c r="D107" s="35"/>
      <c r="F107" s="200"/>
      <c r="G107" s="200">
        <f t="shared" ref="G107:L107" si="64">(G106/F106)-1</f>
        <v>7.8113264233139468E-3</v>
      </c>
      <c r="H107" s="200">
        <f t="shared" si="64"/>
        <v>6.3596164356336526E-3</v>
      </c>
      <c r="I107" s="200">
        <f t="shared" si="64"/>
        <v>1.3823747222907468E-3</v>
      </c>
      <c r="J107" s="200">
        <f t="shared" si="64"/>
        <v>3.5990731154167399E-3</v>
      </c>
      <c r="K107" s="200">
        <f t="shared" si="64"/>
        <v>2.6527805069758159E-3</v>
      </c>
      <c r="L107" s="200">
        <f t="shared" si="64"/>
        <v>-1.36697697207252E-2</v>
      </c>
      <c r="M107" s="302">
        <v>-9.9592668024439668E-3</v>
      </c>
      <c r="N107" s="323">
        <f>(N106/M106)-1</f>
        <v>-4.2668250837534227E-3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35">
      <c r="A108" s="169" t="s">
        <v>285</v>
      </c>
      <c r="B108" s="35" t="s">
        <v>280</v>
      </c>
      <c r="C108" s="35"/>
      <c r="D108" s="35"/>
      <c r="F108" s="207"/>
      <c r="G108" s="207"/>
      <c r="H108" s="207"/>
      <c r="I108" s="207"/>
      <c r="J108" s="200"/>
      <c r="K108" s="200"/>
      <c r="L108" s="200"/>
      <c r="M108" s="301"/>
      <c r="N108" s="302"/>
      <c r="O108" s="196">
        <v>1.26159941611927E-2</v>
      </c>
      <c r="P108" s="196">
        <v>1.0914332784184499E-2</v>
      </c>
      <c r="Q108" s="196">
        <v>7.1297616622529904E-3</v>
      </c>
      <c r="R108" s="196">
        <v>4.9049352750809598E-3</v>
      </c>
      <c r="S108" s="196">
        <v>4.8306747848840797E-3</v>
      </c>
      <c r="T108" s="196">
        <v>3.5054334218038701E-3</v>
      </c>
      <c r="U108" s="196">
        <v>2.14581565946403E-3</v>
      </c>
      <c r="V108" s="196">
        <v>7.9673339308827796E-4</v>
      </c>
      <c r="W108" s="196">
        <v>3.9804955716982198E-4</v>
      </c>
      <c r="X108" s="196">
        <v>1.1439371331942701E-3</v>
      </c>
      <c r="Y108" s="196">
        <v>8.9423220229512001E-4</v>
      </c>
      <c r="Z108" s="185">
        <v>8.4379808408208102E-4</v>
      </c>
      <c r="AM108" s="234"/>
    </row>
    <row r="109" spans="1:39" s="35" customFormat="1" x14ac:dyDescent="0.35">
      <c r="A109" s="35" t="s">
        <v>215</v>
      </c>
      <c r="B109" s="35" t="s">
        <v>280</v>
      </c>
      <c r="C109" t="s">
        <v>320</v>
      </c>
      <c r="D109"/>
      <c r="F109" s="197"/>
      <c r="G109" s="197"/>
      <c r="H109" s="197"/>
      <c r="I109" s="197"/>
      <c r="J109" s="197">
        <v>2357.4</v>
      </c>
      <c r="K109" s="197">
        <v>2381.6</v>
      </c>
      <c r="L109" s="197">
        <v>2334.5</v>
      </c>
      <c r="M109" s="301">
        <v>2329.605</v>
      </c>
      <c r="N109" s="301">
        <f>VLOOKUP($C$109,'Haver NA'!$A$1:$J$34,10,0)/1000</f>
        <v>2337.201</v>
      </c>
      <c r="O109">
        <v>2469.9411956560398</v>
      </c>
      <c r="P109">
        <v>2511.3882460388099</v>
      </c>
      <c r="Q109">
        <v>2543.4204311910298</v>
      </c>
      <c r="R109">
        <v>2569.93355741499</v>
      </c>
      <c r="S109">
        <v>2599.1521046822099</v>
      </c>
      <c r="T109">
        <v>2626.53096564002</v>
      </c>
      <c r="U109">
        <v>2651.2044055545698</v>
      </c>
      <c r="V109">
        <v>2672.95599074239</v>
      </c>
      <c r="W109">
        <v>2693.9500580381</v>
      </c>
      <c r="X109">
        <v>2717.3248958518798</v>
      </c>
      <c r="Y109">
        <v>2740.4832999822002</v>
      </c>
      <c r="AM109" s="233"/>
    </row>
    <row r="110" spans="1:39" s="35" customFormat="1" x14ac:dyDescent="0.35">
      <c r="F110" s="197"/>
      <c r="G110" s="197"/>
      <c r="H110" s="197"/>
      <c r="I110" s="197"/>
      <c r="J110" s="197"/>
      <c r="K110" s="197"/>
      <c r="L110" s="197"/>
      <c r="M110" s="301"/>
      <c r="N110" s="301"/>
      <c r="O110">
        <f>N110*(1+O113)</f>
        <v>0</v>
      </c>
      <c r="P110">
        <f t="shared" ref="P110:S110" si="65">O110*(1+P113)</f>
        <v>0</v>
      </c>
      <c r="Q110">
        <f t="shared" si="65"/>
        <v>0</v>
      </c>
      <c r="R110">
        <f t="shared" si="65"/>
        <v>0</v>
      </c>
      <c r="S110">
        <f t="shared" si="65"/>
        <v>0</v>
      </c>
      <c r="T110">
        <f>S110*(1+T112)</f>
        <v>0</v>
      </c>
      <c r="U110">
        <f t="shared" ref="U110:V110" si="66">T110*(1+U112)</f>
        <v>0</v>
      </c>
      <c r="V110">
        <f t="shared" si="66"/>
        <v>0</v>
      </c>
      <c r="W110"/>
      <c r="X110"/>
      <c r="Y110"/>
      <c r="AM110" s="233"/>
    </row>
    <row r="111" spans="1:39" s="185" customFormat="1" x14ac:dyDescent="0.35">
      <c r="A111" s="169" t="s">
        <v>284</v>
      </c>
      <c r="B111" s="35"/>
      <c r="C111" s="35"/>
      <c r="D111" s="35"/>
      <c r="F111" s="200"/>
      <c r="G111" s="200"/>
      <c r="H111" s="200"/>
      <c r="I111" s="200"/>
      <c r="J111" s="200"/>
      <c r="K111" s="200">
        <f t="shared" ref="K111" si="67">(K109/J109)-1</f>
        <v>1.0265546788835067E-2</v>
      </c>
      <c r="L111" s="200">
        <f t="shared" ref="L111" si="68">(L109/K109)-1</f>
        <v>-1.9776620759153429E-2</v>
      </c>
      <c r="M111" s="302">
        <v>-8.3608921686818549E-3</v>
      </c>
      <c r="N111" s="323">
        <f>(((N109/M109))^4)-1</f>
        <v>1.3106483787577172E-2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AM111" s="234"/>
    </row>
    <row r="112" spans="1:39" s="185" customFormat="1" x14ac:dyDescent="0.35">
      <c r="A112" s="169" t="s">
        <v>285</v>
      </c>
      <c r="F112" s="207"/>
      <c r="G112" s="207"/>
      <c r="H112" s="207"/>
      <c r="I112" s="207"/>
      <c r="J112" s="207"/>
      <c r="K112" s="200"/>
      <c r="L112" s="200"/>
      <c r="M112" s="301"/>
      <c r="N112" s="302"/>
      <c r="O112" s="175">
        <v>9.408690138332787E-4</v>
      </c>
      <c r="P112" s="175">
        <v>9.1903906984696082E-3</v>
      </c>
      <c r="Q112" s="175">
        <v>7.4547841924690328E-3</v>
      </c>
      <c r="R112" s="175">
        <v>7.6518814378809807E-3</v>
      </c>
      <c r="S112" s="175">
        <v>8.511703592439579E-3</v>
      </c>
      <c r="T112" s="175">
        <v>9.0190724421828072E-3</v>
      </c>
      <c r="U112" s="175">
        <v>9.512485136741855E-3</v>
      </c>
      <c r="V112" s="175">
        <v>9.8290077576053125E-3</v>
      </c>
      <c r="W112" s="175">
        <v>1.0779069299762689E-2</v>
      </c>
      <c r="X112" s="175">
        <v>1.1818073295929432E-2</v>
      </c>
      <c r="Y112" s="175">
        <v>1.2112631744533475E-2</v>
      </c>
      <c r="Z112" s="175">
        <v>1.2395088591855785E-2</v>
      </c>
      <c r="AM112" s="234"/>
    </row>
    <row r="113" spans="1:39" s="185" customFormat="1" x14ac:dyDescent="0.35">
      <c r="A113" s="169" t="s">
        <v>372</v>
      </c>
      <c r="F113" s="207"/>
      <c r="G113" s="207"/>
      <c r="H113" s="207"/>
      <c r="I113" s="207"/>
      <c r="J113" s="207"/>
      <c r="K113" s="200"/>
      <c r="L113" s="200"/>
      <c r="M113" s="301"/>
      <c r="N113" s="302"/>
      <c r="O113" s="175">
        <v>2.5000000000000001E-3</v>
      </c>
      <c r="P113" s="175">
        <v>2.5000000000000001E-3</v>
      </c>
      <c r="Q113" s="175">
        <v>5.0000000000000001E-3</v>
      </c>
      <c r="R113" s="175">
        <v>7.4999999999999997E-3</v>
      </c>
      <c r="S113" s="175">
        <v>0.01</v>
      </c>
      <c r="T113" s="175"/>
      <c r="U113" s="175"/>
      <c r="V113" s="175"/>
      <c r="AM113" s="234"/>
    </row>
    <row r="114" spans="1:39" s="35" customFormat="1" x14ac:dyDescent="0.35">
      <c r="A114" s="35" t="s">
        <v>163</v>
      </c>
      <c r="F114" s="201">
        <f t="shared" ref="F114:L114" si="69">F100+F46-F96</f>
        <v>339220</v>
      </c>
      <c r="G114" s="201">
        <f t="shared" si="69"/>
        <v>334185</v>
      </c>
      <c r="H114" s="201">
        <f t="shared" si="69"/>
        <v>335532</v>
      </c>
      <c r="I114" s="201">
        <f t="shared" si="69"/>
        <v>344546</v>
      </c>
      <c r="J114" s="201">
        <f t="shared" si="69"/>
        <v>349558</v>
      </c>
      <c r="K114" s="201">
        <f t="shared" si="69"/>
        <v>343658</v>
      </c>
      <c r="L114" s="201">
        <f t="shared" si="69"/>
        <v>560584.66666666674</v>
      </c>
      <c r="M114" s="301">
        <v>528408</v>
      </c>
      <c r="N114" s="306">
        <f t="shared" ref="N114:Y114" si="70">N100+N46-N96</f>
        <v>343247</v>
      </c>
      <c r="O114" s="215">
        <f t="shared" si="70"/>
        <v>383773.58690641256</v>
      </c>
      <c r="P114" s="215">
        <f t="shared" si="70"/>
        <v>369916.53105964203</v>
      </c>
      <c r="Q114" s="215">
        <f t="shared" si="70"/>
        <v>370645.703294267</v>
      </c>
      <c r="R114" s="215">
        <f t="shared" si="70"/>
        <v>371744.93043796421</v>
      </c>
      <c r="S114" s="215">
        <f t="shared" si="70"/>
        <v>373221.55890099745</v>
      </c>
      <c r="T114" s="215">
        <f t="shared" si="70"/>
        <v>416124.06265897548</v>
      </c>
      <c r="U114" s="215">
        <f t="shared" si="70"/>
        <v>417555.5449371516</v>
      </c>
      <c r="V114" s="215">
        <f t="shared" si="70"/>
        <v>419048.72903766285</v>
      </c>
      <c r="W114" s="215">
        <f t="shared" si="70"/>
        <v>0</v>
      </c>
      <c r="X114" s="215">
        <f t="shared" si="70"/>
        <v>0</v>
      </c>
      <c r="Y114" s="215">
        <f t="shared" si="70"/>
        <v>0</v>
      </c>
      <c r="AM114" s="233"/>
    </row>
    <row r="115" spans="1:39" s="35" customFormat="1" x14ac:dyDescent="0.35">
      <c r="A115" s="141" t="s">
        <v>212</v>
      </c>
      <c r="B115" s="141"/>
      <c r="E115" s="141"/>
      <c r="F115" s="201">
        <f t="shared" ref="F115:L115" si="71">F103-F96</f>
        <v>200195</v>
      </c>
      <c r="G115" s="201">
        <f t="shared" si="71"/>
        <v>194843</v>
      </c>
      <c r="H115" s="201">
        <f t="shared" si="71"/>
        <v>195304</v>
      </c>
      <c r="I115" s="201">
        <f t="shared" si="71"/>
        <v>203441</v>
      </c>
      <c r="J115" s="201">
        <f t="shared" si="71"/>
        <v>208223</v>
      </c>
      <c r="K115" s="201">
        <f t="shared" si="71"/>
        <v>200667</v>
      </c>
      <c r="L115" s="201">
        <f t="shared" si="71"/>
        <v>156183</v>
      </c>
      <c r="M115" s="301">
        <v>197631</v>
      </c>
      <c r="N115" s="306">
        <f>N103-N96</f>
        <v>161439</v>
      </c>
      <c r="O115" s="142">
        <f t="shared" ref="O115:Y115" si="72">O103-O96</f>
        <v>178302.81690641254</v>
      </c>
      <c r="P115" s="142">
        <f t="shared" si="72"/>
        <v>180082.08413464209</v>
      </c>
      <c r="Q115" s="142">
        <f t="shared" si="72"/>
        <v>180082.08413464209</v>
      </c>
      <c r="R115" s="142">
        <f t="shared" si="72"/>
        <v>180082.08413464209</v>
      </c>
      <c r="S115" s="142">
        <f t="shared" si="72"/>
        <v>180082.08413464209</v>
      </c>
      <c r="T115" s="142">
        <f t="shared" si="72"/>
        <v>221639.48816571326</v>
      </c>
      <c r="U115" s="142">
        <f t="shared" si="72"/>
        <v>221639.48816571326</v>
      </c>
      <c r="V115" s="142">
        <f t="shared" si="72"/>
        <v>221639.48816571326</v>
      </c>
      <c r="W115" s="142">
        <f t="shared" si="72"/>
        <v>0</v>
      </c>
      <c r="X115" s="142">
        <f t="shared" si="72"/>
        <v>0</v>
      </c>
      <c r="Y115" s="142">
        <f t="shared" si="72"/>
        <v>0</v>
      </c>
      <c r="AM115" s="233"/>
    </row>
    <row r="116" spans="1:39" s="141" customFormat="1" x14ac:dyDescent="0.35">
      <c r="A116" s="141" t="s">
        <v>230</v>
      </c>
      <c r="C116" s="35"/>
      <c r="D116" s="35"/>
      <c r="F116" s="201">
        <f t="shared" ref="F116:K116" si="73">F114-F115</f>
        <v>139025</v>
      </c>
      <c r="G116" s="201">
        <f t="shared" si="73"/>
        <v>139342</v>
      </c>
      <c r="H116" s="201">
        <f t="shared" si="73"/>
        <v>140228</v>
      </c>
      <c r="I116" s="201">
        <f t="shared" si="73"/>
        <v>141105</v>
      </c>
      <c r="J116" s="201">
        <f t="shared" si="73"/>
        <v>141335</v>
      </c>
      <c r="K116" s="201">
        <f t="shared" si="73"/>
        <v>142991</v>
      </c>
      <c r="L116" s="201">
        <f>L114-L115</f>
        <v>404401.66666666674</v>
      </c>
      <c r="M116" s="306">
        <v>330777</v>
      </c>
      <c r="N116" s="306">
        <f>N114-N115</f>
        <v>181808</v>
      </c>
      <c r="O116" s="142">
        <f t="shared" ref="O116:Y116" si="74">O114-O115</f>
        <v>205470.77000000002</v>
      </c>
      <c r="P116" s="142">
        <f t="shared" si="74"/>
        <v>189834.44692499994</v>
      </c>
      <c r="Q116" s="142">
        <f t="shared" si="74"/>
        <v>190563.61915962491</v>
      </c>
      <c r="R116" s="142">
        <f t="shared" si="74"/>
        <v>191662.84630332212</v>
      </c>
      <c r="S116" s="142">
        <f t="shared" si="74"/>
        <v>193139.47476635536</v>
      </c>
      <c r="T116" s="142">
        <f t="shared" si="74"/>
        <v>194484.57449326222</v>
      </c>
      <c r="U116" s="142">
        <f t="shared" si="74"/>
        <v>195916.05677143834</v>
      </c>
      <c r="V116" s="142">
        <f t="shared" si="74"/>
        <v>197409.24087194959</v>
      </c>
      <c r="W116" s="142">
        <f t="shared" si="74"/>
        <v>0</v>
      </c>
      <c r="X116" s="142">
        <f t="shared" si="74"/>
        <v>0</v>
      </c>
      <c r="Y116" s="142">
        <f t="shared" si="74"/>
        <v>0</v>
      </c>
      <c r="AM116" s="256"/>
    </row>
    <row r="117" spans="1:39" s="35" customFormat="1" x14ac:dyDescent="0.35">
      <c r="A117"/>
      <c r="F117" s="213"/>
      <c r="G117" s="213"/>
      <c r="H117" s="213"/>
      <c r="I117" s="213"/>
      <c r="J117" s="213"/>
      <c r="K117" s="213"/>
      <c r="L117" s="135"/>
      <c r="M117" s="135"/>
      <c r="N117" s="94"/>
      <c r="O117" s="94"/>
      <c r="P117" s="94"/>
      <c r="Q117" s="94"/>
      <c r="R117" s="94"/>
      <c r="S117" s="94"/>
      <c r="T117" s="94"/>
      <c r="U117" s="94"/>
      <c r="V117"/>
      <c r="AM117" s="233"/>
    </row>
    <row r="118" spans="1:39" s="185" customFormat="1" x14ac:dyDescent="0.35">
      <c r="A118" s="169"/>
      <c r="F118" s="193"/>
      <c r="G118" s="193"/>
      <c r="H118" s="193"/>
      <c r="I118" s="193"/>
      <c r="J118" s="193"/>
      <c r="K118" s="193"/>
      <c r="L118" s="193"/>
      <c r="M118" s="214"/>
      <c r="N118" s="193"/>
      <c r="O118" s="193"/>
      <c r="P118" s="193"/>
      <c r="Q118" s="193"/>
      <c r="R118" s="193"/>
      <c r="S118" s="193"/>
      <c r="T118" s="193"/>
      <c r="U118" s="193"/>
      <c r="AM118" s="234"/>
    </row>
    <row r="119" spans="1:39" x14ac:dyDescent="0.35">
      <c r="A119" t="s">
        <v>158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22" spans="1:39" x14ac:dyDescent="0.35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9" x14ac:dyDescent="0.35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9" x14ac:dyDescent="0.35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9" t="s">
        <v>206</v>
      </c>
      <c r="B1" s="350"/>
      <c r="C1" s="35"/>
      <c r="H1"/>
      <c r="I1" s="240"/>
      <c r="J1" s="357" t="s">
        <v>279</v>
      </c>
      <c r="V1" s="341"/>
      <c r="W1" s="341"/>
      <c r="X1" s="341"/>
      <c r="Y1" s="341"/>
    </row>
    <row r="2" spans="1:50" x14ac:dyDescent="0.35">
      <c r="A2" s="351" t="s">
        <v>191</v>
      </c>
      <c r="B2" s="126"/>
      <c r="C2" t="s">
        <v>192</v>
      </c>
      <c r="I2" s="241"/>
      <c r="J2" s="357"/>
    </row>
    <row r="3" spans="1:50" x14ac:dyDescent="0.35">
      <c r="A3" s="352"/>
      <c r="B3" s="127"/>
      <c r="C3" t="s">
        <v>193</v>
      </c>
      <c r="I3" s="241"/>
      <c r="J3" s="357"/>
    </row>
    <row r="4" spans="1:50" x14ac:dyDescent="0.35">
      <c r="A4" s="352"/>
      <c r="B4" s="128"/>
      <c r="C4" t="s">
        <v>194</v>
      </c>
    </row>
    <row r="5" spans="1:50" x14ac:dyDescent="0.35">
      <c r="A5" s="353"/>
      <c r="B5" s="129"/>
      <c r="C5" t="s">
        <v>181</v>
      </c>
    </row>
    <row r="7" spans="1:50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35">
      <c r="B21" t="s">
        <v>184</v>
      </c>
      <c r="D21" s="102">
        <f>main!L115/1000</f>
        <v>156.18299999999999</v>
      </c>
      <c r="E21" s="104">
        <f>main!M115/1000</f>
        <v>197.631</v>
      </c>
      <c r="F21" s="104">
        <f>main!N115/1000</f>
        <v>161.43899999999999</v>
      </c>
      <c r="G21" s="149">
        <f>main!O115/1000</f>
        <v>178.30281690641254</v>
      </c>
      <c r="H21" s="104">
        <f>main!P115/1000</f>
        <v>180.08208413464209</v>
      </c>
      <c r="I21" s="104">
        <f>main!Q115/1000</f>
        <v>180.08208413464209</v>
      </c>
      <c r="J21" s="104">
        <f>main!R115/1000</f>
        <v>180.08208413464209</v>
      </c>
      <c r="K21" s="149">
        <f>main!S115/1000</f>
        <v>180.08208413464209</v>
      </c>
      <c r="L21" s="104">
        <f>main!T115/1000</f>
        <v>221.63948816571326</v>
      </c>
      <c r="M21" s="223">
        <f>main!U115/1000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35">
      <c r="B28" t="s">
        <v>187</v>
      </c>
      <c r="D28" s="102"/>
      <c r="E28" s="104">
        <f>main!L116/1000</f>
        <v>404.40166666666676</v>
      </c>
      <c r="F28" s="104">
        <f>main!M116/1000</f>
        <v>330.77699999999999</v>
      </c>
      <c r="G28" s="104">
        <f>main!N116/1000</f>
        <v>181.80799999999999</v>
      </c>
      <c r="H28" s="104">
        <f>main!O116/1000</f>
        <v>205.47077000000002</v>
      </c>
      <c r="I28" s="104">
        <f>main!P116/1000</f>
        <v>189.83444692499995</v>
      </c>
      <c r="J28" s="104">
        <f>main!Q116/1000</f>
        <v>190.56361915962492</v>
      </c>
      <c r="K28" s="104">
        <f>main!R116/1000</f>
        <v>191.66284630332211</v>
      </c>
      <c r="L28" s="104">
        <f>main!S116/1000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main!L98/1000</f>
        <v>1336.6980000000001</v>
      </c>
      <c r="F47" s="104">
        <f>main!M98/1000</f>
        <v>1328.8050000000001</v>
      </c>
      <c r="G47" s="149">
        <f>main!N98/1000</f>
        <v>1372.787</v>
      </c>
      <c r="H47" s="104">
        <f>main!O98/1000</f>
        <v>1390.6101625906522</v>
      </c>
      <c r="I47" s="104">
        <f>main!P98/1000</f>
        <v>1418.489158978964</v>
      </c>
      <c r="J47" s="223">
        <f>main!Q98/1000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main!K97/1000</f>
        <v>1574.462</v>
      </c>
      <c r="E54" s="104">
        <f>main!L97/1000</f>
        <v>3729.5573333333332</v>
      </c>
      <c r="F54" s="104">
        <f>main!M97/1000</f>
        <v>2466.0010000000002</v>
      </c>
      <c r="G54" s="149">
        <f>main!N97/1000</f>
        <v>2027.7929999999999</v>
      </c>
      <c r="H54" s="104">
        <f>main!O97/1000</f>
        <v>3118.5013980484891</v>
      </c>
      <c r="I54" s="104">
        <f>main!P97/1000</f>
        <v>1874.8488739812499</v>
      </c>
      <c r="J54" s="104">
        <f>main!Q97/1000</f>
        <v>1686.4675074263907</v>
      </c>
      <c r="K54" s="263">
        <f>main!R97/1000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1298.6874972143792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main!L86/1000</f>
        <v>349.75</v>
      </c>
      <c r="F68" s="218">
        <f>main!M86/1000</f>
        <v>307.2</v>
      </c>
      <c r="G68" s="151">
        <f>main!N86/1000</f>
        <v>299.351</v>
      </c>
      <c r="H68" s="218">
        <f>main!O86/1000</f>
        <v>375.63880399999999</v>
      </c>
      <c r="I68" s="218">
        <f>main!P86/1000</f>
        <v>319.529759216</v>
      </c>
      <c r="J68" s="218">
        <f>main!Q86/1000</f>
        <v>320.32387825286401</v>
      </c>
      <c r="K68" s="151">
        <f>main!R86/1000</f>
        <v>315.12117376587548</v>
      </c>
      <c r="L68" s="218">
        <f>main!S86/1000</f>
        <v>309.92165846093894</v>
      </c>
      <c r="M68" s="218">
        <f>main!T86/1000</f>
        <v>310.72534509478271</v>
      </c>
      <c r="N68" s="218">
        <f>main!U86/1000</f>
        <v>311.53224647516186</v>
      </c>
      <c r="O68" s="151">
        <f>main!V86/1000</f>
        <v>312.34237546106249</v>
      </c>
      <c r="P68" s="248">
        <f>main!W86/1000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6.5999999999999659</v>
      </c>
      <c r="G71" s="150">
        <f t="shared" ref="G71:K71" si="118">G68-G69</f>
        <v>-4.6000000000000227</v>
      </c>
      <c r="H71" s="217">
        <f t="shared" si="118"/>
        <v>118.48521772294498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349.75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6.5999999999999659</v>
      </c>
      <c r="J3" s="102">
        <f>'add-ons calculations'!F68</f>
        <v>307.2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-4.6000000000000227</v>
      </c>
      <c r="J4" s="151">
        <f>'add-ons calculations'!G68</f>
        <v>299.351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1298.6874972143792</v>
      </c>
      <c r="H5">
        <v>181.40020106674513</v>
      </c>
      <c r="I5">
        <v>118.48521772294498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1" t="s">
        <v>21</v>
      </c>
      <c r="E1" s="341"/>
      <c r="F1" s="341"/>
      <c r="G1" s="341"/>
      <c r="H1" s="341" t="s">
        <v>9</v>
      </c>
      <c r="I1" s="341"/>
      <c r="J1" s="341"/>
      <c r="K1" s="341"/>
      <c r="L1" s="341" t="s">
        <v>10</v>
      </c>
      <c r="M1" s="341"/>
      <c r="N1" s="341"/>
      <c r="O1" s="341"/>
      <c r="P1" s="341" t="s">
        <v>11</v>
      </c>
      <c r="Q1" s="341"/>
      <c r="R1" s="341"/>
      <c r="S1" s="341"/>
      <c r="T1" s="341" t="s">
        <v>265</v>
      </c>
      <c r="U1" s="341"/>
      <c r="V1" s="341"/>
      <c r="W1" s="341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main!F100</f>
        <v>728844</v>
      </c>
      <c r="E5" s="197">
        <f>main!G100</f>
        <v>738714</v>
      </c>
      <c r="F5" s="197">
        <f>main!H100</f>
        <v>755204</v>
      </c>
      <c r="G5" s="197">
        <f>main!I100</f>
        <v>763370</v>
      </c>
      <c r="H5" s="197">
        <f>main!J100</f>
        <v>760967</v>
      </c>
      <c r="I5" s="197">
        <f>main!K100</f>
        <v>767087</v>
      </c>
      <c r="J5" s="197">
        <f>main!L100</f>
        <v>812158</v>
      </c>
      <c r="K5" s="197">
        <f>main!M100</f>
        <v>828480</v>
      </c>
      <c r="L5" s="262">
        <f>main!N100</f>
        <v>818740</v>
      </c>
      <c r="M5" s="262">
        <f>main!O100</f>
        <v>831250.83502466371</v>
      </c>
      <c r="N5" s="262">
        <f>main!P100</f>
        <v>838457.84744285408</v>
      </c>
      <c r="O5" s="262">
        <f>main!Q100</f>
        <v>839187.01967747905</v>
      </c>
      <c r="P5" s="262">
        <f>main!R100</f>
        <v>840286.24682117626</v>
      </c>
      <c r="Q5" s="262">
        <f>main!S100</f>
        <v>841762.8752842095</v>
      </c>
      <c r="R5" s="262">
        <f>main!T100</f>
        <v>843107.97501111636</v>
      </c>
      <c r="S5" s="262">
        <f>main!U100</f>
        <v>844539.45728929248</v>
      </c>
      <c r="T5" s="262">
        <f>main!V100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main!F103</f>
        <v>589819</v>
      </c>
      <c r="E6" s="197">
        <f>main!G103</f>
        <v>599372</v>
      </c>
      <c r="F6" s="197">
        <f>main!H103</f>
        <v>614976</v>
      </c>
      <c r="G6" s="197">
        <f>main!I103</f>
        <v>622265</v>
      </c>
      <c r="H6" s="197">
        <f>main!J103</f>
        <v>619632</v>
      </c>
      <c r="I6" s="197">
        <f>main!K103</f>
        <v>624096</v>
      </c>
      <c r="J6" s="197">
        <f>main!L103</f>
        <v>668823</v>
      </c>
      <c r="K6" s="197">
        <f>main!M103</f>
        <v>683703</v>
      </c>
      <c r="L6" s="35">
        <f>main!N103</f>
        <v>673632</v>
      </c>
      <c r="M6" s="35">
        <f>main!O103</f>
        <v>685780.06502466369</v>
      </c>
      <c r="N6" s="35">
        <f>main!P103</f>
        <v>692623.40051785414</v>
      </c>
      <c r="O6" s="35">
        <f>main!Q103</f>
        <v>692623.40051785414</v>
      </c>
      <c r="P6" s="35">
        <f>main!R103</f>
        <v>692623.40051785414</v>
      </c>
      <c r="Q6" s="35">
        <f>main!S103</f>
        <v>692623.40051785414</v>
      </c>
      <c r="R6" s="35">
        <f>main!T103</f>
        <v>692623.40051785414</v>
      </c>
      <c r="S6" s="35">
        <f>main!U103</f>
        <v>692623.40051785414</v>
      </c>
      <c r="T6" s="35">
        <f>main!V103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9" t="s">
        <v>206</v>
      </c>
      <c r="B1" s="350"/>
      <c r="C1" s="35"/>
      <c r="I1" s="240"/>
      <c r="J1" s="357" t="s">
        <v>279</v>
      </c>
      <c r="V1" s="341"/>
      <c r="W1" s="341"/>
      <c r="X1" s="341"/>
      <c r="Y1" s="341"/>
    </row>
    <row r="2" spans="1:27" x14ac:dyDescent="0.35">
      <c r="A2" s="351" t="s">
        <v>191</v>
      </c>
      <c r="B2" s="126"/>
      <c r="C2" t="s">
        <v>192</v>
      </c>
      <c r="H2" s="95"/>
      <c r="I2" s="241"/>
      <c r="J2" s="357"/>
    </row>
    <row r="3" spans="1:27" x14ac:dyDescent="0.35">
      <c r="A3" s="352"/>
      <c r="B3" s="127"/>
      <c r="C3" t="s">
        <v>193</v>
      </c>
      <c r="H3" s="95"/>
      <c r="I3" s="241"/>
      <c r="J3" s="357"/>
    </row>
    <row r="4" spans="1:27" x14ac:dyDescent="0.35">
      <c r="A4" s="352"/>
      <c r="B4" s="128"/>
      <c r="C4" t="s">
        <v>194</v>
      </c>
      <c r="H4" s="95"/>
      <c r="I4" s="95"/>
      <c r="J4" s="95"/>
    </row>
    <row r="5" spans="1:27" x14ac:dyDescent="0.35">
      <c r="A5" s="353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6.5999999999999659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-4.6000000000000227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118.48521772294498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2" t="s">
        <v>206</v>
      </c>
      <c r="B1" s="342"/>
      <c r="C1" s="35"/>
      <c r="H1"/>
      <c r="I1"/>
      <c r="J1"/>
      <c r="X1" t="s">
        <v>28</v>
      </c>
      <c r="Z1" s="363" t="s">
        <v>84</v>
      </c>
      <c r="AA1" s="363"/>
      <c r="AB1" s="363"/>
      <c r="AC1" s="341"/>
      <c r="AD1" s="341"/>
      <c r="AE1" s="341"/>
      <c r="AF1" s="341"/>
    </row>
    <row r="2" spans="1:32" x14ac:dyDescent="0.35">
      <c r="A2" s="364" t="s">
        <v>191</v>
      </c>
      <c r="B2" s="107"/>
      <c r="C2" t="s">
        <v>192</v>
      </c>
    </row>
    <row r="3" spans="1:32" x14ac:dyDescent="0.35">
      <c r="A3" s="364"/>
      <c r="B3" s="108"/>
      <c r="C3" t="s">
        <v>193</v>
      </c>
    </row>
    <row r="4" spans="1:32" x14ac:dyDescent="0.35">
      <c r="A4" s="364"/>
      <c r="B4" s="109"/>
      <c r="C4" t="s">
        <v>194</v>
      </c>
    </row>
    <row r="5" spans="1:32" x14ac:dyDescent="0.35">
      <c r="A5" s="364"/>
      <c r="B5" s="98"/>
      <c r="C5" t="s">
        <v>181</v>
      </c>
    </row>
    <row r="7" spans="1:32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70" t="s">
        <v>104</v>
      </c>
      <c r="B2" s="370"/>
      <c r="C2" s="370"/>
      <c r="D2" s="370"/>
      <c r="E2" s="370"/>
      <c r="F2" s="370"/>
      <c r="G2" s="370"/>
      <c r="H2" s="370"/>
      <c r="I2" s="370"/>
      <c r="J2" s="370"/>
      <c r="K2" s="77"/>
    </row>
    <row r="3" spans="1:24" x14ac:dyDescent="0.35">
      <c r="A3" s="370" t="s">
        <v>105</v>
      </c>
      <c r="B3" s="370"/>
      <c r="C3" s="370"/>
      <c r="D3" s="370"/>
      <c r="E3" s="370"/>
      <c r="F3" s="370"/>
      <c r="G3" s="370"/>
      <c r="H3" s="370"/>
      <c r="I3" s="370"/>
      <c r="J3" s="370"/>
      <c r="K3" s="77"/>
    </row>
    <row r="4" spans="1:24" ht="15" thickBot="1" x14ac:dyDescent="0.4">
      <c r="A4" s="371"/>
      <c r="B4" s="371"/>
      <c r="C4" s="371"/>
      <c r="D4" s="371"/>
      <c r="E4" s="371"/>
      <c r="F4" s="371"/>
      <c r="G4" s="371"/>
      <c r="H4" s="371"/>
      <c r="I4" s="371"/>
      <c r="J4" s="371"/>
      <c r="K4" s="376" t="s">
        <v>160</v>
      </c>
      <c r="L4" s="376"/>
      <c r="M4" s="376"/>
      <c r="N4" s="376"/>
    </row>
    <row r="5" spans="1:24" x14ac:dyDescent="0.35">
      <c r="A5" s="47"/>
      <c r="B5" s="48"/>
      <c r="C5" s="372" t="s">
        <v>106</v>
      </c>
      <c r="D5" s="373"/>
      <c r="E5" s="373"/>
      <c r="F5" s="373"/>
      <c r="G5" s="373"/>
      <c r="H5" s="373"/>
      <c r="I5" s="373"/>
      <c r="J5" s="374"/>
      <c r="K5" s="78"/>
      <c r="L5" s="375" t="s">
        <v>107</v>
      </c>
      <c r="M5" s="341"/>
      <c r="N5" s="341"/>
    </row>
    <row r="6" spans="1:24" x14ac:dyDescent="0.35">
      <c r="A6" s="1" t="s">
        <v>109</v>
      </c>
      <c r="B6" s="49"/>
      <c r="C6" s="366">
        <v>2020</v>
      </c>
      <c r="D6" s="367"/>
      <c r="E6" s="367"/>
      <c r="F6" s="367"/>
      <c r="G6" s="367"/>
      <c r="H6" s="367"/>
      <c r="I6" s="367"/>
      <c r="J6" s="36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1" t="s">
        <v>9</v>
      </c>
      <c r="L22" s="341"/>
      <c r="M22" s="341"/>
      <c r="N22" s="341"/>
      <c r="O22" s="341" t="s">
        <v>10</v>
      </c>
      <c r="P22" s="341"/>
      <c r="Q22" s="341"/>
      <c r="R22" s="341"/>
      <c r="S22" s="341" t="s">
        <v>11</v>
      </c>
      <c r="T22" s="341"/>
      <c r="U22" s="341"/>
      <c r="V22" s="34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9" t="s">
        <v>108</v>
      </c>
      <c r="L23" s="369"/>
      <c r="M23" s="369"/>
      <c r="N23" s="369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5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5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5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5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8" t="s">
        <v>87</v>
      </c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</row>
    <row r="7" spans="1:18" x14ac:dyDescent="0.35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9" t="s">
        <v>95</v>
      </c>
      <c r="I27" s="379"/>
      <c r="J27" s="379"/>
      <c r="K27" s="379"/>
      <c r="L27" s="379"/>
      <c r="M27" s="379"/>
      <c r="N27" s="379"/>
      <c r="O27" s="379"/>
      <c r="P27" s="379"/>
      <c r="Q27" s="379"/>
      <c r="R27" s="379"/>
      <c r="S27" s="379"/>
      <c r="T27" s="379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80" t="s">
        <v>99</v>
      </c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9" t="s">
        <v>101</v>
      </c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79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cac5d118-ba7b-4807-b700-df6f95cfff50"/>
    <ds:schemaRef ds:uri="http://schemas.microsoft.com/office/2006/metadata/properties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2021-04-30T19:45:43Z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