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67A63580-CE98-4A42-A252-C5CF4D407F9F}" xr6:coauthVersionLast="46" xr6:coauthVersionMax="46" xr10:uidLastSave="{00000000-0000-0000-0000-000000000000}"/>
  <bookViews>
    <workbookView xWindow="0" yWindow="500" windowWidth="33600" windowHeight="19500" activeTab="11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7" l="1"/>
  <c r="F13" i="7" s="1"/>
  <c r="D21" i="5" l="1"/>
  <c r="D22" i="5"/>
  <c r="D29" i="5"/>
  <c r="D36" i="5"/>
  <c r="D42" i="5"/>
  <c r="D48" i="5"/>
  <c r="D54" i="5"/>
  <c r="D55" i="5"/>
  <c r="O73" i="1"/>
  <c r="P73" i="1"/>
  <c r="Q73" i="1"/>
  <c r="R73" i="1"/>
  <c r="S73" i="1"/>
  <c r="L8" i="1" l="1"/>
  <c r="K8" i="1"/>
  <c r="J8" i="1"/>
  <c r="I8" i="1"/>
  <c r="H8" i="1"/>
  <c r="G8" i="1"/>
  <c r="M13" i="4" l="1"/>
  <c r="M12" i="4"/>
  <c r="M11" i="4"/>
  <c r="M10" i="4"/>
  <c r="T73" i="1"/>
  <c r="U73" i="1"/>
  <c r="V73" i="1"/>
  <c r="W73" i="1"/>
  <c r="X73" i="1"/>
  <c r="Y73" i="1"/>
  <c r="Z73" i="1"/>
  <c r="L72" i="1"/>
  <c r="I62" i="5"/>
  <c r="O8" i="9"/>
  <c r="O7" i="9"/>
  <c r="O6" i="9"/>
  <c r="O5" i="9"/>
  <c r="M3" i="9"/>
  <c r="L3" i="9"/>
  <c r="K3" i="9"/>
  <c r="L12" i="9"/>
  <c r="L11" i="9"/>
  <c r="L10" i="9"/>
  <c r="L9" i="9"/>
  <c r="N72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1" i="1"/>
  <c r="N105" i="1"/>
  <c r="N102" i="1"/>
  <c r="N99" i="1"/>
  <c r="N96" i="1"/>
  <c r="N92" i="1"/>
  <c r="N85" i="1"/>
  <c r="N84" i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1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3" i="1"/>
  <c r="N107" i="1"/>
  <c r="N94" i="1"/>
  <c r="N26" i="1"/>
  <c r="G35" i="5" s="1"/>
  <c r="G37" i="5" s="1"/>
  <c r="N101" i="1"/>
  <c r="N97" i="1"/>
  <c r="O97" i="1" s="1"/>
  <c r="P97" i="1" s="1"/>
  <c r="Q97" i="1" s="1"/>
  <c r="R97" i="1" s="1"/>
  <c r="S97" i="1" s="1"/>
  <c r="N111" i="1"/>
  <c r="N69" i="1"/>
  <c r="N70" i="1" s="1"/>
  <c r="N58" i="1"/>
  <c r="N47" i="1"/>
  <c r="N40" i="1"/>
  <c r="N11" i="1"/>
  <c r="N6" i="1"/>
  <c r="N30" i="1" s="1"/>
  <c r="G41" i="5" s="1"/>
  <c r="G43" i="5" s="1"/>
  <c r="N86" i="1"/>
  <c r="N82" i="1" l="1"/>
  <c r="F21" i="5"/>
  <c r="F24" i="5" s="1"/>
  <c r="G47" i="5"/>
  <c r="G50" i="5" s="1"/>
  <c r="N55" i="1"/>
  <c r="K4" i="9"/>
  <c r="N50" i="1"/>
  <c r="N31" i="1"/>
  <c r="O26" i="4"/>
  <c r="N26" i="4"/>
  <c r="L111" i="1"/>
  <c r="K111" i="1"/>
  <c r="J111" i="1"/>
  <c r="I111" i="1"/>
  <c r="H111" i="1"/>
  <c r="G111" i="1"/>
  <c r="F111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8" i="1" s="1"/>
  <c r="B10" i="16"/>
  <c r="C10" i="16" s="1"/>
  <c r="U80" i="1" s="1"/>
  <c r="C9" i="16"/>
  <c r="P91" i="1" s="1"/>
  <c r="C8" i="16"/>
  <c r="Q90" i="1" s="1"/>
  <c r="C7" i="16"/>
  <c r="O89" i="1" s="1"/>
  <c r="C14" i="16"/>
  <c r="C12" i="16"/>
  <c r="P64" i="1" s="1"/>
  <c r="C11" i="16"/>
  <c r="C6" i="16"/>
  <c r="C5" i="16"/>
  <c r="T79" i="1" s="1"/>
  <c r="C4" i="16"/>
  <c r="O37" i="1" s="1"/>
  <c r="P5" i="9" s="1"/>
  <c r="C3" i="16"/>
  <c r="O45" i="1" s="1"/>
  <c r="C2" i="16"/>
  <c r="R91" i="1"/>
  <c r="AD92" i="1"/>
  <c r="AC92" i="1"/>
  <c r="AI92" i="1"/>
  <c r="AJ92" i="1"/>
  <c r="AK92" i="1"/>
  <c r="W93" i="1"/>
  <c r="X93" i="1"/>
  <c r="Y93" i="1"/>
  <c r="Z93" i="1"/>
  <c r="P78" i="1" l="1"/>
  <c r="P89" i="1"/>
  <c r="O78" i="1"/>
  <c r="W78" i="1"/>
  <c r="W79" i="1"/>
  <c r="T66" i="1"/>
  <c r="X79" i="1"/>
  <c r="Q89" i="1"/>
  <c r="P63" i="1"/>
  <c r="O63" i="1"/>
  <c r="Q91" i="1"/>
  <c r="Q88" i="1" s="1"/>
  <c r="Z79" i="1"/>
  <c r="X78" i="1"/>
  <c r="V80" i="1"/>
  <c r="Y78" i="1"/>
  <c r="W80" i="1"/>
  <c r="Z78" i="1"/>
  <c r="X80" i="1"/>
  <c r="Y79" i="1"/>
  <c r="O79" i="1"/>
  <c r="Y80" i="1"/>
  <c r="R89" i="1"/>
  <c r="O65" i="1"/>
  <c r="P79" i="1"/>
  <c r="Z80" i="1"/>
  <c r="P65" i="1"/>
  <c r="Q79" i="1"/>
  <c r="Q65" i="1"/>
  <c r="U79" i="1"/>
  <c r="V79" i="1"/>
  <c r="Z81" i="1"/>
  <c r="Y81" i="1"/>
  <c r="X81" i="1"/>
  <c r="W81" i="1"/>
  <c r="V81" i="1"/>
  <c r="O81" i="1"/>
  <c r="U81" i="1"/>
  <c r="T81" i="1"/>
  <c r="S81" i="1"/>
  <c r="R81" i="1"/>
  <c r="Q81" i="1"/>
  <c r="P81" i="1"/>
  <c r="O64" i="1"/>
  <c r="U66" i="1"/>
  <c r="Q64" i="1"/>
  <c r="V66" i="1"/>
  <c r="O39" i="1"/>
  <c r="O66" i="1"/>
  <c r="P39" i="1"/>
  <c r="R90" i="1"/>
  <c r="Q39" i="1"/>
  <c r="O80" i="1"/>
  <c r="Q78" i="1"/>
  <c r="P80" i="1"/>
  <c r="O38" i="1"/>
  <c r="R78" i="1"/>
  <c r="Q80" i="1"/>
  <c r="O91" i="1"/>
  <c r="R66" i="1"/>
  <c r="S78" i="1"/>
  <c r="R80" i="1"/>
  <c r="O90" i="1"/>
  <c r="Q66" i="1"/>
  <c r="T78" i="1"/>
  <c r="R79" i="1"/>
  <c r="S80" i="1"/>
  <c r="P66" i="1"/>
  <c r="U78" i="1"/>
  <c r="S79" i="1"/>
  <c r="T80" i="1"/>
  <c r="P90" i="1"/>
  <c r="P88" i="1" s="1"/>
  <c r="W54" i="1"/>
  <c r="X54" i="1"/>
  <c r="Y54" i="1"/>
  <c r="Z54" i="1"/>
  <c r="Z94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7" i="1" l="1"/>
  <c r="V72" i="1" s="1"/>
  <c r="O55" i="1"/>
  <c r="W77" i="1"/>
  <c r="W72" i="1" s="1"/>
  <c r="Y77" i="1"/>
  <c r="Y72" i="1" s="1"/>
  <c r="Z77" i="1"/>
  <c r="Z72" i="1" s="1"/>
  <c r="U77" i="1"/>
  <c r="U72" i="1" s="1"/>
  <c r="X77" i="1"/>
  <c r="X72" i="1" s="1"/>
  <c r="P77" i="1"/>
  <c r="P72" i="1" s="1"/>
  <c r="Q77" i="1"/>
  <c r="Q72" i="1" s="1"/>
  <c r="O77" i="1"/>
  <c r="O72" i="1" s="1"/>
  <c r="T77" i="1"/>
  <c r="T72" i="1" s="1"/>
  <c r="O88" i="1"/>
  <c r="R88" i="1"/>
  <c r="S77" i="1"/>
  <c r="S72" i="1" s="1"/>
  <c r="R77" i="1"/>
  <c r="R72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6" i="1" l="1"/>
  <c r="P106" i="1" s="1"/>
  <c r="Q106" i="1" s="1"/>
  <c r="R106" i="1" s="1"/>
  <c r="S106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4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1" i="1"/>
  <c r="X111" i="1"/>
  <c r="W111" i="1"/>
  <c r="Y110" i="1"/>
  <c r="X110" i="1"/>
  <c r="W110" i="1"/>
  <c r="G103" i="1"/>
  <c r="H103" i="1"/>
  <c r="I103" i="1"/>
  <c r="J103" i="1"/>
  <c r="K103" i="1"/>
  <c r="L103" i="1"/>
  <c r="L107" i="1"/>
  <c r="K107" i="1"/>
  <c r="W112" i="1" l="1"/>
  <c r="X112" i="1"/>
  <c r="Y112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V18" i="4"/>
  <c r="U46" i="1" s="1"/>
  <c r="M11" i="9" s="1"/>
  <c r="U18" i="4"/>
  <c r="T46" i="1" s="1"/>
  <c r="M10" i="9" s="1"/>
  <c r="T18" i="4"/>
  <c r="S46" i="1" s="1"/>
  <c r="M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K11" i="9" s="1"/>
  <c r="V40" i="1"/>
  <c r="K12" i="9" s="1"/>
  <c r="S40" i="1"/>
  <c r="K9" i="9" s="1"/>
  <c r="T40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4" i="1" s="1"/>
  <c r="T4" i="10"/>
  <c r="Q64" i="5"/>
  <c r="R61" i="5"/>
  <c r="X35" i="1" l="1"/>
  <c r="X94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4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7" i="1" l="1"/>
  <c r="K97" i="1"/>
  <c r="J97" i="1"/>
  <c r="I97" i="1"/>
  <c r="H97" i="1"/>
  <c r="G97" i="1"/>
  <c r="F97" i="1"/>
  <c r="G69" i="1"/>
  <c r="H69" i="1"/>
  <c r="I69" i="1"/>
  <c r="J69" i="1"/>
  <c r="K69" i="1"/>
  <c r="L69" i="1"/>
  <c r="L70" i="1" s="1"/>
  <c r="F69" i="1"/>
  <c r="J101" i="1"/>
  <c r="K101" i="1"/>
  <c r="J15" i="7" s="1"/>
  <c r="J13" i="7" s="1"/>
  <c r="G101" i="1"/>
  <c r="H101" i="1"/>
  <c r="I101" i="1"/>
  <c r="F101" i="1"/>
  <c r="L82" i="1" l="1"/>
  <c r="E68" i="5" s="1"/>
  <c r="J2" i="9" s="1"/>
  <c r="H15" i="7"/>
  <c r="H13" i="7" s="1"/>
  <c r="AJ99" i="1" s="1"/>
  <c r="K15" i="7"/>
  <c r="K13" i="7" s="1"/>
  <c r="G15" i="7"/>
  <c r="G13" i="7" s="1"/>
  <c r="AI99" i="1" s="1"/>
  <c r="I15" i="7"/>
  <c r="I13" i="7" s="1"/>
  <c r="AK99" i="1" s="1"/>
  <c r="K82" i="1"/>
  <c r="T106" i="1"/>
  <c r="U106" i="1" l="1"/>
  <c r="V106" i="1" s="1"/>
  <c r="O102" i="1"/>
  <c r="P102" i="1" s="1"/>
  <c r="Q102" i="1" s="1"/>
  <c r="R102" i="1" s="1"/>
  <c r="S102" i="1" s="1"/>
  <c r="T102" i="1" s="1"/>
  <c r="U102" i="1" s="1"/>
  <c r="V102" i="1" s="1"/>
  <c r="L15" i="7"/>
  <c r="L13" i="7" s="1"/>
  <c r="AD99" i="1"/>
  <c r="F110" i="1"/>
  <c r="F112" i="1" s="1"/>
  <c r="L47" i="1"/>
  <c r="L6" i="10" l="1"/>
  <c r="G24" i="11" s="1"/>
  <c r="G27" i="11" s="1"/>
  <c r="O99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O92" i="1"/>
  <c r="P99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70" i="1" l="1"/>
  <c r="P70" i="1" s="1"/>
  <c r="N6" i="10"/>
  <c r="I24" i="11" s="1"/>
  <c r="I27" i="11" s="1"/>
  <c r="P92" i="1"/>
  <c r="F54" i="6"/>
  <c r="Q99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2" i="1"/>
  <c r="AE92" i="1" s="1"/>
  <c r="G54" i="6"/>
  <c r="F56" i="6"/>
  <c r="F58" i="6" s="1"/>
  <c r="R99" i="1"/>
  <c r="AE99" i="1"/>
  <c r="Q7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2" i="1"/>
  <c r="G56" i="6"/>
  <c r="G58" i="6" s="1"/>
  <c r="H54" i="6"/>
  <c r="S99" i="1"/>
  <c r="R70" i="1"/>
  <c r="S70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2" i="1"/>
  <c r="H56" i="6"/>
  <c r="H58" i="6" s="1"/>
  <c r="I54" i="6"/>
  <c r="T99" i="1"/>
  <c r="T70" i="1"/>
  <c r="S82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2" i="1"/>
  <c r="I56" i="6"/>
  <c r="I58" i="6" s="1"/>
  <c r="J54" i="6"/>
  <c r="U99" i="1"/>
  <c r="U70" i="1"/>
  <c r="T82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2" i="1"/>
  <c r="AF92" i="1" s="1"/>
  <c r="M27" i="11"/>
  <c r="K54" i="6"/>
  <c r="K56" i="6" s="1"/>
  <c r="K58" i="6" s="1"/>
  <c r="J56" i="6"/>
  <c r="J58" i="6" s="1"/>
  <c r="O24" i="11"/>
  <c r="N27" i="11"/>
  <c r="V99" i="1"/>
  <c r="AF99" i="1"/>
  <c r="V70" i="1"/>
  <c r="U82" i="1"/>
  <c r="N68" i="5" s="1"/>
  <c r="N71" i="5" s="1"/>
  <c r="O82" i="1"/>
  <c r="P82" i="1"/>
  <c r="Q82" i="1"/>
  <c r="R82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2" i="1"/>
  <c r="V111" i="1" s="1"/>
  <c r="P24" i="11"/>
  <c r="O27" i="11"/>
  <c r="L49" i="5"/>
  <c r="V82" i="1"/>
  <c r="O68" i="5" s="1"/>
  <c r="O71" i="5" s="1"/>
  <c r="W70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2" i="1" l="1"/>
  <c r="P68" i="5" s="1"/>
  <c r="P71" i="5" s="1"/>
  <c r="X70" i="1"/>
  <c r="H2" i="12" a="1"/>
  <c r="H12" i="12" s="1"/>
  <c r="Q24" i="11"/>
  <c r="P27" i="11"/>
  <c r="H3" i="9" a="1"/>
  <c r="X82" i="1" l="1"/>
  <c r="Y70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70" i="1" l="1"/>
  <c r="Z82" i="1" s="1"/>
  <c r="Y82" i="1"/>
  <c r="S24" i="11"/>
  <c r="R27" i="11"/>
  <c r="R71" i="5"/>
  <c r="T24" i="11" l="1"/>
  <c r="S27" i="11"/>
  <c r="T68" i="5"/>
  <c r="S71" i="5"/>
  <c r="G110" i="1"/>
  <c r="G112" i="1" s="1"/>
  <c r="H110" i="1"/>
  <c r="H112" i="1" s="1"/>
  <c r="I110" i="1"/>
  <c r="I112" i="1" s="1"/>
  <c r="J110" i="1"/>
  <c r="J112" i="1" s="1"/>
  <c r="K110" i="1"/>
  <c r="K112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3" i="1"/>
  <c r="K93" i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L5" i="9" s="1"/>
  <c r="O17" i="4"/>
  <c r="N43" i="1" s="1"/>
  <c r="W68" i="5"/>
  <c r="V71" i="5"/>
  <c r="R42" i="1"/>
  <c r="L8" i="9" s="1"/>
  <c r="M33" i="4"/>
  <c r="M37" i="4" s="1"/>
  <c r="AF43" i="1"/>
  <c r="L34" i="4"/>
  <c r="L38" i="4"/>
  <c r="L18" i="4" s="1"/>
  <c r="P18" i="4"/>
  <c r="O46" i="1" s="1"/>
  <c r="M5" i="9" s="1"/>
  <c r="O18" i="4"/>
  <c r="R18" i="4"/>
  <c r="Q46" i="1" s="1"/>
  <c r="M7" i="9" s="1"/>
  <c r="N42" i="1" l="1"/>
  <c r="L4" i="9" s="1"/>
  <c r="N93" i="1"/>
  <c r="N46" i="1"/>
  <c r="M17" i="4"/>
  <c r="L43" i="1" s="1"/>
  <c r="L42" i="1" s="1"/>
  <c r="L2" i="9" s="1"/>
  <c r="P40" i="1"/>
  <c r="K6" i="9" s="1"/>
  <c r="Q40" i="1"/>
  <c r="K7" i="9" s="1"/>
  <c r="AE43" i="1"/>
  <c r="X24" i="11"/>
  <c r="W27" i="11"/>
  <c r="R40" i="1"/>
  <c r="K8" i="9" s="1"/>
  <c r="O40" i="1"/>
  <c r="K5" i="9" s="1"/>
  <c r="M34" i="4"/>
  <c r="X68" i="5"/>
  <c r="W71" i="5"/>
  <c r="N33" i="4"/>
  <c r="N10" i="4"/>
  <c r="M38" i="4"/>
  <c r="M18" i="4" s="1"/>
  <c r="L46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3" i="1"/>
  <c r="I50" i="1"/>
  <c r="F50" i="1"/>
  <c r="AC40" i="1"/>
  <c r="I47" i="2"/>
  <c r="H47" i="2"/>
  <c r="F24" i="2"/>
  <c r="M4" i="9" l="1"/>
  <c r="N110" i="1"/>
  <c r="AF40" i="1"/>
  <c r="AE46" i="1"/>
  <c r="N37" i="4"/>
  <c r="N38" i="4" s="1"/>
  <c r="N18" i="4" s="1"/>
  <c r="L93" i="1"/>
  <c r="E54" i="5" s="1"/>
  <c r="L40" i="1"/>
  <c r="K2" i="9" s="1"/>
  <c r="Y24" i="11"/>
  <c r="X27" i="11"/>
  <c r="F93" i="1"/>
  <c r="G93" i="1"/>
  <c r="G51" i="1"/>
  <c r="H51" i="1"/>
  <c r="I93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0" i="1"/>
  <c r="L112" i="1" s="1"/>
  <c r="E28" i="5" s="1"/>
  <c r="AE40" i="1"/>
  <c r="H49" i="2"/>
  <c r="H50" i="2" s="1"/>
  <c r="I49" i="2"/>
  <c r="I50" i="2" s="1"/>
  <c r="N112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4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1" i="1"/>
  <c r="G21" i="5" s="1"/>
  <c r="G24" i="5" s="1"/>
  <c r="H68" i="5"/>
  <c r="H71" i="5" s="1"/>
  <c r="O94" i="1"/>
  <c r="H47" i="5" s="1"/>
  <c r="H50" i="5" s="1"/>
  <c r="I68" i="5" l="1"/>
  <c r="I71" i="5" s="1"/>
  <c r="P111" i="1"/>
  <c r="H21" i="5" s="1"/>
  <c r="H24" i="5" s="1"/>
  <c r="P94" i="1"/>
  <c r="I47" i="5" s="1"/>
  <c r="I50" i="5" s="1"/>
  <c r="J68" i="5" l="1"/>
  <c r="J71" i="5" s="1"/>
  <c r="Q111" i="1"/>
  <c r="I21" i="5" s="1"/>
  <c r="I24" i="5" s="1"/>
  <c r="Q94" i="1"/>
  <c r="J47" i="5" s="1"/>
  <c r="K47" i="5" l="1"/>
  <c r="K50" i="5" s="1"/>
  <c r="J50" i="5"/>
  <c r="K68" i="5"/>
  <c r="K71" i="5" s="1"/>
  <c r="R94" i="1"/>
  <c r="R111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1" i="1"/>
  <c r="K21" i="5" s="1"/>
  <c r="K24" i="5" s="1"/>
  <c r="S94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1" i="1"/>
  <c r="L21" i="5" s="1"/>
  <c r="L24" i="5" s="1"/>
  <c r="T94" i="1"/>
  <c r="M50" i="5" s="1"/>
  <c r="R47" i="5" l="1"/>
  <c r="Q50" i="5"/>
  <c r="U94" i="1"/>
  <c r="N50" i="5" s="1"/>
  <c r="U111" i="1"/>
  <c r="M21" i="5" s="1"/>
  <c r="M24" i="5" l="1"/>
  <c r="N21" i="5"/>
  <c r="S47" i="5"/>
  <c r="R50" i="5"/>
  <c r="O96" i="1" l="1"/>
  <c r="O21" i="5"/>
  <c r="N24" i="5"/>
  <c r="S50" i="5"/>
  <c r="T47" i="5"/>
  <c r="O110" i="1" l="1"/>
  <c r="M5" i="10"/>
  <c r="H31" i="11" s="1"/>
  <c r="H34" i="11" s="1"/>
  <c r="L5" i="10"/>
  <c r="G31" i="11" s="1"/>
  <c r="G34" i="11" s="1"/>
  <c r="O24" i="5"/>
  <c r="P21" i="5"/>
  <c r="T50" i="5"/>
  <c r="U47" i="5"/>
  <c r="P96" i="1"/>
  <c r="O112" i="1" l="1"/>
  <c r="H28" i="5" s="1"/>
  <c r="H31" i="5" s="1"/>
  <c r="P110" i="1"/>
  <c r="N5" i="10"/>
  <c r="I31" i="11" s="1"/>
  <c r="I34" i="11" s="1"/>
  <c r="Q21" i="5"/>
  <c r="P24" i="5"/>
  <c r="U50" i="5"/>
  <c r="V47" i="5"/>
  <c r="Q96" i="1"/>
  <c r="P112" i="1" l="1"/>
  <c r="I28" i="5" s="1"/>
  <c r="I31" i="5" s="1"/>
  <c r="Q110" i="1"/>
  <c r="O5" i="10"/>
  <c r="J31" i="11" s="1"/>
  <c r="J34" i="11" s="1"/>
  <c r="R21" i="5"/>
  <c r="Q24" i="5"/>
  <c r="W47" i="5"/>
  <c r="V50" i="5"/>
  <c r="R96" i="1"/>
  <c r="Q112" i="1" l="1"/>
  <c r="J28" i="5" s="1"/>
  <c r="J31" i="5" s="1"/>
  <c r="R110" i="1"/>
  <c r="P5" i="10"/>
  <c r="K31" i="11" s="1"/>
  <c r="K34" i="11" s="1"/>
  <c r="R24" i="5"/>
  <c r="S21" i="5"/>
  <c r="X47" i="5"/>
  <c r="W50" i="5"/>
  <c r="S96" i="1"/>
  <c r="T97" i="1"/>
  <c r="R112" i="1" l="1"/>
  <c r="K28" i="5" s="1"/>
  <c r="K31" i="5" s="1"/>
  <c r="S110" i="1"/>
  <c r="Q5" i="10"/>
  <c r="L31" i="11" s="1"/>
  <c r="S24" i="5"/>
  <c r="T21" i="5"/>
  <c r="Y47" i="5"/>
  <c r="X50" i="5"/>
  <c r="T96" i="1"/>
  <c r="U97" i="1"/>
  <c r="S112" i="1" l="1"/>
  <c r="L28" i="5" s="1"/>
  <c r="L34" i="11"/>
  <c r="M31" i="11"/>
  <c r="T110" i="1"/>
  <c r="T112" i="1" s="1"/>
  <c r="R5" i="10"/>
  <c r="U96" i="1"/>
  <c r="V97" i="1"/>
  <c r="V96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0" i="1"/>
  <c r="V112" i="1" s="1"/>
  <c r="T5" i="10"/>
  <c r="U110" i="1"/>
  <c r="U112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s="1"/>
  <c r="M3" i="10" s="1"/>
  <c r="H45" i="11" s="1"/>
  <c r="H48" i="11" s="1"/>
  <c r="P50" i="1" l="1"/>
  <c r="O93" i="1"/>
  <c r="H54" i="5" s="1"/>
  <c r="H57" i="5" s="1"/>
  <c r="L3" i="10"/>
  <c r="G45" i="11" s="1"/>
  <c r="G48" i="11" s="1"/>
  <c r="Q50" i="1" l="1"/>
  <c r="P34" i="1"/>
  <c r="N3" i="10" s="1"/>
  <c r="I45" i="11" s="1"/>
  <c r="I48" i="11" s="1"/>
  <c r="P93" i="1"/>
  <c r="I54" i="5" s="1"/>
  <c r="I57" i="5" s="1"/>
  <c r="Q34" i="1" l="1"/>
  <c r="O3" i="10" s="1"/>
  <c r="J45" i="11" s="1"/>
  <c r="J48" i="11" s="1"/>
  <c r="Q93" i="1"/>
  <c r="J54" i="5" s="1"/>
  <c r="J57" i="5" s="1"/>
  <c r="R50" i="1"/>
  <c r="AE50" i="1"/>
  <c r="R93" i="1" l="1"/>
  <c r="K54" i="5" s="1"/>
  <c r="S50" i="1"/>
  <c r="R34" i="1"/>
  <c r="P3" i="10" s="1"/>
  <c r="K45" i="11" s="1"/>
  <c r="K48" i="11" l="1"/>
  <c r="L45" i="11"/>
  <c r="S93" i="1"/>
  <c r="S34" i="1"/>
  <c r="Q3" i="10" s="1"/>
  <c r="T50" i="1"/>
  <c r="K57" i="5"/>
  <c r="L54" i="5"/>
  <c r="M54" i="5" l="1"/>
  <c r="L57" i="5"/>
  <c r="T93" i="1"/>
  <c r="T34" i="1"/>
  <c r="R3" i="10" s="1"/>
  <c r="U50" i="1"/>
  <c r="AF50" i="1" s="1"/>
  <c r="M45" i="11"/>
  <c r="L48" i="11"/>
  <c r="M48" i="11" l="1"/>
  <c r="N45" i="11"/>
  <c r="V50" i="1"/>
  <c r="V93" i="1" s="1"/>
  <c r="U34" i="1"/>
  <c r="S3" i="10" s="1"/>
  <c r="U93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0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5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8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9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0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1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2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7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9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9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9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<sst xmlns="http://schemas.openxmlformats.org/spreadsheetml/2006/main" count="1013" uniqueCount="382">
  <si>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</si>
  <si>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</si>
  <si>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</si>
  <si>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</si>
  <si>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</si>
  <si>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</si>
  <si>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</si>
  <si>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</si>
  <si>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</si>
  <si>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</si>
  <si>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</si>
  <si>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</si>
  <si>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</si>
  <si>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</si>
  <si>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</si>
  <si>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</si>
  <si>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</si>
  <si>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</si>
  <si>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</si>
  <si>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</si>
  <si>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</si>
  <si>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</si>
  <si>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</si>
  <si>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</si>
  <si>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</si>
  <si>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</si>
  <si>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</si>
  <si>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</si>
  <si>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</si>
  <si>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</si>
  <si>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</si>
  <si>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</si>
  <si>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</si>
  <si>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</si>
  <si>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</si>
  <si>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</si>
  <si>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</si>
  <si>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</si>
  <si>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</si>
  <si>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</si>
  <si>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</si>
  <si>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</si>
  <si>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</si>
  <si>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</si>
  <si>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</si>
  <si>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</si>
  <si>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</si>
  <si>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</si>
  <si>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</si>
  <si>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</si>
  <si>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</si>
  <si>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</si>
  <si>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</si>
  <si>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</si>
  <si>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</si>
  <si>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</si>
  <si>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</si>
  <si>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</si>
  <si>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</si>
  <si>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</si>
  <si>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</si>
  <si>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</si>
  <si>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</si>
  <si>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</si>
  <si>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</si>
  <si>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</si>
  <si>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</si>
  <si>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</si>
  <si>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</si>
  <si>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</si>
  <si>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</si>
  <si>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</si>
  <si>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</si>
  <si>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</si>
  <si>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</si>
  <si>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</si>
  <si>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</si>
  <si>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</si>
  <si>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</si>
  <si>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</si>
  <si>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</si>
  <si>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</si>
  <si>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</si>
  <si>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</si>
  <si>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</si>
  <si>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</si>
  <si>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</si>
  <si>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</si>
  <si>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</si>
  <si>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</si>
  <si>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</si>
  <si>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</si>
  <si>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</si>
  <si>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</si>
  <si>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</si>
  <si>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</si>
  <si>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</si>
  <si>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</si>
  <si>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</si>
  <si>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</si>
  <si>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</si>
  <si>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</si>
  <si>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</si>
  <si>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</si>
  <si>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</si>
  <si>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</si>
  <si>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</si>
  <si>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</si>
  <si>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</si>
  <si>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</si>
  <si>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</si>
  <si>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</si>
  <si>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</si>
  <si>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</si>
  <si>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</si>
  <si>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</si>
  <si>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</si>
  <si>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</si>
  <si>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</si>
  <si>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</si>
  <si>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</si>
  <si>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</si>
  <si>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</si>
  <si>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</si>
  <si>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</si>
  <si>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</si>
  <si>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</si>
  <si>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</si>
  <si>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</si>
  <si>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</si>
  <si>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</si>
  <si>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</si>
  <si>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</si>
  <si>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</si>
  <si>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</si>
  <si>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</si>
  <si>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</si>
  <si>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</si>
  <si>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</si>
  <si>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</si>
  <si>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</si>
  <si>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</si>
  <si>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</si>
  <si>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</si>
  <si>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</si>
  <si>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</si>
  <si>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</si>
  <si>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</si>
  <si>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</si>
  <si>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</si>
  <si>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</si>
  <si>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</si>
  <si>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</si>
  <si>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</si>
  <si>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</si>
  <si>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</si>
  <si>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</si>
  <si>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</si>
  <si>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</si>
  <si>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</si>
  <si>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</si>
  <si>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</si>
  <si>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</si>
  <si>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</si>
  <si>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</si>
  <si>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</si>
  <si>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</si>
  <si>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</si>
  <si>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</si>
  <si>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</si>
  <si>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</si>
  <si>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</si>
  <si>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</si>
  <si>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</si>
  <si>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</si>
  <si>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</si>
  <si>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</si>
  <si>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</si>
  <si>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</si>
  <si>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</si>
  <si>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</si>
  <si>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</si>
  <si>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</si>
  <si>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</si>
  <si>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</si>
  <si>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</si>
  <si>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</si>
  <si>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</si>
  <si>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</si>
  <si>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</si>
  <si>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</si>
  <si>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</si>
  <si>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</si>
  <si>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</si>
  <si>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</si>
  <si>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</si>
  <si>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</si>
  <si>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</si>
  <si>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</si>
  <si>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</si>
  <si>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</si>
  <si>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</si>
  <si>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</si>
  <si>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</si>
  <si>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</si>
  <si>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</si>
  <si>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</si>
  <si>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</si>
  <si>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</si>
  <si>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</si>
  <si>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</si>
  <si>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</si>
  <si>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</si>
  <si>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</si>
  <si>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</si>
  <si>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</si>
  <si>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</si>
  <si>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</si>
  <si>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</si>
  <si>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</si>
  <si>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</si>
  <si>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</si>
  <si>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</si>
  <si>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</si>
  <si>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</si>
  <si>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</si>
  <si>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</si>
  <si>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</si>
  <si>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</si>
  <si>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</si>
  <si>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</si>
  <si>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</si>
  <si>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</si>
  <si>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</si>
  <si>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</si>
  <si>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</si>
  <si>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</si>
  <si>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</si>
  <si>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</si>
  <si>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</si>
  <si>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</si>
  <si>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</si>
  <si>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</si>
  <si>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</si>
  <si>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</si>
  <si>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</si>
  <si>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</si>
  <si>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</si>
  <si>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</si>
  <si>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</si>
  <si>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</si>
  <si>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</si>
  <si>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</si>
  <si>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</si>
  <si>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</si>
  <si>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</si>
  <si>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</si>
  <si>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</si>
  <si>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</si>
  <si>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</si>
  <si>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</si>
  <si>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</si>
  <si>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</si>
  <si>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</si>
  <si>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</si>
  <si>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</si>
  <si>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</si>
  <si>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</si>
  <si>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</si>
  <si>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</si>
  <si>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</si>
  <si>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</si>
  <si>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</si>
  <si>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</si>
  <si>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</si>
  <si>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</si>
  <si>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</si>
  <si>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</si>
  <si>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</si>
  <si>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</si>
  <si>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</si>
  <si>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</si>
  <si>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</si>
  <si>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</si>
  <si>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</si>
  <si>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</si>
  <si>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</si>
  <si>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</si>
  <si>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</si>
  <si>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</si>
  <si>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</si>
  <si>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</si>
  <si>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</si>
  <si>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</si>
  <si>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</si>
  <si>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</si>
  <si>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</si>
  <si>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</si>
  <si>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</si>
  <si>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</si>
  <si>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</si>
  <si>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</si>
  <si>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</si>
  <si>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</si>
  <si>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</si>
  <si>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</si>
  <si>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</si>
  <si>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</si>
  <si>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</si>
  <si>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</si>
  <si>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</si>
  <si>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</si>
  <si>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</si>
  <si>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</si>
  <si>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</si>
  <si>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</si>
  <si>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</si>
  <si>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</si>
  <si>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</si>
  <si>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</si>
  <si>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</si>
  <si>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</si>
  <si>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</si>
  <si>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</si>
  <si>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</si>
  <si>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</si>
  <si>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</si>
  <si>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</si>
  <si>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</si>
  <si>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</si>
  <si>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</si>
  <si>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</si>
  <si>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</si>
  <si>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</si>
  <si>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</si>
  <si>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</si>
  <si>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</si>
  <si>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</si>
  <si>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</si>
  <si>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</si>
  <si>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</si>
  <si>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</si>
  <si>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</si>
  <si>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</si>
  <si>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</si>
  <si>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</si>
  <si>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</si>
  <si>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</si>
  <si>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</si>
  <si>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</si>
  <si>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</si>
  <si>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</si>
  <si>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</si>
  <si>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</si>
  <si>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</si>
  <si>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</si>
  <si>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</si>
  <si>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</si>
  <si>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</si>
  <si>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</si>
  <si>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</si>
  <si>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</si>
  <si>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</si>
  <si>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</si>
  <si>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</si>
  <si>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</si>
  <si>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</si>
  <si>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</si>
  <si>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</si>
  <si>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</si>
  <si>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</si>
  <si>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</si>
  <si>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</si>
  <si>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</si>
  <si>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</si>
  <si>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</si>
  <si>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</si>
  <si>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</si>
  <si>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</si>
  <si>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</si>
  <si>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</si>
  <si>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cbo new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</si>
</sst>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0" dT="2020-09-10T19:09:05.64" personId="{2D35AFA9-F227-4AE7-B9A7-D673D9D18C70}" id="{2D81BDF9-A0D8-4A1A-915B-91D32E8E61FF}">
    <text>grow with nom purchases</text>
  </threadedComment>
  <threadedComment ref="L75" dT="2020-10-27T15:26:37.39" personId="{2D35AFA9-F227-4AE7-B9A7-D673D9D18C70}" id="{33EF6DF5-9556-47EC-86E1-A12FDBDC0AA8}">
    <text>CBO indicated 17 for q2? why do we split the quarter 3 payments into q2?</text>
  </threadedComment>
  <threadedComment ref="L75" dT="2020-10-28T16:31:53.35" personId="{2D35AFA9-F227-4AE7-B9A7-D673D9D18C70}" id="{1079BF34-6E2F-4888-8715-72B28B28D9AA}" parentId="{33EF6DF5-9556-47EC-86E1-A12FDBDC0AA8}">
    <text>we're comfortable leaving this as is</text>
  </threadedComment>
  <threadedComment ref="O78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9" dT="2020-12-21T21:00:34.35" personId="{2D35AFA9-F227-4AE7-B9A7-D673D9D18C70}" id="{DA48DE65-66E5-4DD8-819A-2F757A61D389}">
    <text>CRFB: estimates $82B. According to the Louise x Wendy, MPC is 100% over 3 years.</text>
  </threadedComment>
  <threadedComment ref="O80" dT="2020-12-21T21:03:38.65" personId="{2D35AFA9-F227-4AE7-B9A7-D673D9D18C70}" id="{1FC8F5D3-F5DD-4502-A8BF-AD36B99CFAF5}">
    <text>CRFB: estimates $63B. MPC is 100% over 12 quarters and then annualize</text>
  </threadedComment>
  <threadedComment ref="O81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7" dT="2020-09-11T20:43:00.49" personId="{2D35AFA9-F227-4AE7-B9A7-D673D9D18C70}" id="{11731043-8530-4DAC-9476-3C98D0D836BB}">
    <text>grow with S&amp;L nom purchases</text>
  </threadedComment>
  <threadedComment ref="O109" dT="2020-09-30T15:34:25.90" personId="{2D35AFA9-F227-4AE7-B9A7-D673D9D18C70}" id="{D84F0053-F219-4B69-8181-0F12AE7D3FC2}">
    <text>overide in the fim with 4%</text>
  </threadedComment>
  <threadedComment ref="O109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9" dT="2020-09-30T15:34:25.90" personId="{2D35AFA9-F227-4AE7-B9A7-D673D9D18C70}" id="{3B711313-D2C6-42FC-83C8-BA827015079B}">
    <text>overide in the fim with 4%</text>
  </threadedComment>
  <threadedComment ref="P109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0"/>
  <sheetViews>
    <sheetView zoomScaleNormal="110" workbookViewId="0">
      <pane xSplit="2" ySplit="3" topLeftCell="J60" activePane="bottomRight" state="frozen"/>
      <selection pane="topRight" activeCell="C1" sqref="C1"/>
      <selection pane="bottomLeft" activeCell="A4" sqref="A4"/>
      <selection pane="bottomRight" activeCell="T92" sqref="T9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8" t="s">
        <v>372</v>
      </c>
      <c r="B1" s="328"/>
      <c r="C1" s="268"/>
      <c r="D1" s="268"/>
      <c r="E1" s="35"/>
      <c r="N1" t="s">
        <v>374</v>
      </c>
      <c r="AC1" s="334" t="s">
        <v>248</v>
      </c>
      <c r="AD1" s="334"/>
      <c r="AE1" s="332" t="s">
        <v>246</v>
      </c>
      <c r="AF1" s="333"/>
      <c r="AG1" t="s">
        <v>28</v>
      </c>
      <c r="AI1" s="330" t="s">
        <v>279</v>
      </c>
      <c r="AJ1" s="330"/>
      <c r="AK1" s="330"/>
      <c r="AL1" s="330"/>
      <c r="AM1" s="329" t="s">
        <v>277</v>
      </c>
      <c r="AN1" s="329"/>
      <c r="AO1" s="329"/>
      <c r="AP1" s="329"/>
    </row>
    <row r="2" spans="1:43" ht="23" customHeight="1" x14ac:dyDescent="0.2">
      <c r="F2" s="327" t="s">
        <v>21</v>
      </c>
      <c r="G2" s="327"/>
      <c r="H2" s="327"/>
      <c r="I2" s="327"/>
      <c r="J2" s="327" t="s">
        <v>9</v>
      </c>
      <c r="K2" s="327"/>
      <c r="L2" s="327"/>
      <c r="M2" s="327"/>
      <c r="N2" s="327" t="s">
        <v>10</v>
      </c>
      <c r="O2" s="327"/>
      <c r="P2" s="327"/>
      <c r="Q2" s="327"/>
      <c r="R2" s="327" t="s">
        <v>11</v>
      </c>
      <c r="S2" s="327"/>
      <c r="T2" s="327"/>
      <c r="U2" s="327"/>
      <c r="V2" s="327" t="s">
        <v>266</v>
      </c>
      <c r="W2" s="327"/>
      <c r="X2" s="327"/>
      <c r="Y2" s="327"/>
      <c r="Z2" s="221"/>
      <c r="AA2" s="283"/>
      <c r="AB2" s="221"/>
      <c r="AC2" s="327" t="s">
        <v>102</v>
      </c>
      <c r="AD2" s="327"/>
      <c r="AE2" s="327"/>
      <c r="AF2" s="327"/>
      <c r="AG2" s="327"/>
      <c r="AH2" s="327"/>
      <c r="AI2" s="327"/>
      <c r="AJ2" s="327"/>
      <c r="AK2" s="327"/>
      <c r="AL2" s="331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6" t="s">
        <v>262</v>
      </c>
      <c r="B4" s="326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281</v>
      </c>
      <c r="C12" t="s">
        <v>294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377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373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281</v>
      </c>
      <c r="C15" t="s">
        <v>295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377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281</v>
      </c>
      <c r="C18" t="s">
        <v>296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377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281</v>
      </c>
      <c r="C21" t="s">
        <v>297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377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300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301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281</v>
      </c>
      <c r="C34" t="s">
        <v>302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281</v>
      </c>
      <c r="C35" t="s">
        <v>303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339</v>
      </c>
      <c r="B36" t="s">
        <v>281</v>
      </c>
      <c r="C36" t="s">
        <v>304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340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351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333</v>
      </c>
      <c r="B41" t="s">
        <v>281</v>
      </c>
      <c r="C41" t="s">
        <v>305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212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ht="32" x14ac:dyDescent="0.2">
      <c r="A47" s="86" t="s">
        <v>147</v>
      </c>
      <c r="F47" s="202"/>
      <c r="G47" s="202"/>
      <c r="H47" s="202"/>
      <c r="I47" s="202"/>
      <c r="J47" s="202">
        <v>0</v>
      </c>
      <c r="K47" s="202">
        <v>0</v>
      </c>
      <c r="L47" s="202">
        <f>SUM(L48:L49)</f>
        <v>179900</v>
      </c>
      <c r="M47" s="301">
        <v>85400</v>
      </c>
      <c r="N47" s="303">
        <f>SUM(N48:N49)</f>
        <v>45300</v>
      </c>
      <c r="O47" s="87">
        <f t="shared" ref="O47:R47" si="34">SUM(O48:O49)</f>
        <v>43377.595548489669</v>
      </c>
      <c r="P47" s="87">
        <f t="shared" si="34"/>
        <v>43000</v>
      </c>
      <c r="Q47" s="87">
        <f t="shared" si="34"/>
        <v>43000</v>
      </c>
      <c r="R47" s="87">
        <f t="shared" si="34"/>
        <v>15000</v>
      </c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>
        <f>AVERAGE(J47:M47)/1000</f>
        <v>66.325000000000003</v>
      </c>
      <c r="AE47" s="45">
        <f>AVERAGE(N47:Q47)/1000</f>
        <v>43.669398887122412</v>
      </c>
      <c r="AF47" s="45">
        <f t="shared" ref="AF47" si="35">AVERAGE(R47:U47)/1000</f>
        <v>15</v>
      </c>
      <c r="AG47" s="3"/>
      <c r="AI47" s="3">
        <f>'figuring out social benefits'!G48</f>
        <v>105</v>
      </c>
      <c r="AJ47" s="3"/>
      <c r="AK47" s="3"/>
      <c r="AL47" s="3"/>
      <c r="AM47" s="182"/>
    </row>
    <row r="48" spans="1:39" ht="16" x14ac:dyDescent="0.2">
      <c r="A48" s="117" t="s">
        <v>205</v>
      </c>
      <c r="B48" t="s">
        <v>281</v>
      </c>
      <c r="C48" t="s">
        <v>306</v>
      </c>
      <c r="D48"/>
      <c r="F48" s="202"/>
      <c r="G48" s="202"/>
      <c r="H48" s="202"/>
      <c r="I48" s="202"/>
      <c r="J48" s="202"/>
      <c r="K48" s="202"/>
      <c r="L48" s="202">
        <v>19000</v>
      </c>
      <c r="M48" s="301">
        <v>27000</v>
      </c>
      <c r="N48" s="303">
        <f>VLOOKUP($C$48,'Haver NA'!$A$1:$J$34,10,0)</f>
        <v>10800</v>
      </c>
      <c r="O48" s="87">
        <v>377.5955484896661</v>
      </c>
      <c r="P48" s="87">
        <v>0</v>
      </c>
      <c r="Q48" s="87">
        <v>0</v>
      </c>
      <c r="R48" s="87">
        <v>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16" x14ac:dyDescent="0.2">
      <c r="A49" s="117" t="s">
        <v>206</v>
      </c>
      <c r="B49" t="s">
        <v>281</v>
      </c>
      <c r="C49" t="s">
        <v>307</v>
      </c>
      <c r="D49"/>
      <c r="F49" s="202"/>
      <c r="G49" s="202"/>
      <c r="H49" s="202"/>
      <c r="I49" s="202"/>
      <c r="J49" s="202"/>
      <c r="K49" s="202"/>
      <c r="L49" s="202">
        <v>160900</v>
      </c>
      <c r="M49" s="301">
        <v>58400</v>
      </c>
      <c r="N49" s="303">
        <f>VLOOKUP($C$49,'Haver NA'!$A$1:$J$34,10,0)</f>
        <v>34500</v>
      </c>
      <c r="O49" s="87">
        <v>43000</v>
      </c>
      <c r="P49" s="87">
        <v>43000</v>
      </c>
      <c r="Q49" s="87">
        <v>43000</v>
      </c>
      <c r="R49" s="87">
        <v>15000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6">O50*(1+P52)</f>
        <v>1650848.87398125</v>
      </c>
      <c r="Q50" s="88">
        <f t="shared" si="36"/>
        <v>1638467.5074263907</v>
      </c>
      <c r="R50" s="88">
        <f>Q50*(1+R52)</f>
        <v>1663044.5200377863</v>
      </c>
      <c r="S50" s="88">
        <f t="shared" ref="S50:U50" si="37">R50*(1+S52)</f>
        <v>1687990.187838353</v>
      </c>
      <c r="T50" s="88">
        <f t="shared" si="37"/>
        <v>1713310.0406559282</v>
      </c>
      <c r="U50" s="88">
        <f t="shared" si="37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215</v>
      </c>
      <c r="C51" s="269"/>
      <c r="D51" s="269"/>
      <c r="F51" s="225"/>
      <c r="G51" s="227">
        <f>G50/F50-1</f>
        <v>4.3899160317375507E-2</v>
      </c>
      <c r="H51" s="227">
        <f t="shared" ref="H51:L51" si="38">H50/G50-1</f>
        <v>3.4867401440725754E-3</v>
      </c>
      <c r="I51" s="227">
        <f t="shared" si="38"/>
        <v>3.5163841628156334E-3</v>
      </c>
      <c r="J51" s="227">
        <f t="shared" si="38"/>
        <v>5.2735975988749129E-3</v>
      </c>
      <c r="K51" s="227">
        <f t="shared" si="38"/>
        <v>3.4509222105193249E-2</v>
      </c>
      <c r="L51" s="227">
        <f t="shared" si="38"/>
        <v>4.7166587697893059E-2</v>
      </c>
      <c r="M51" s="227">
        <v>1.2783825552366457E-2</v>
      </c>
      <c r="N51" s="227">
        <f t="shared" ref="N51" si="39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269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281</v>
      </c>
      <c r="C54" t="s">
        <v>308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40">O55+AVERAGE($H$54:$K$54)</f>
        <v>794083.58333333337</v>
      </c>
      <c r="P54" s="144">
        <f t="shared" si="40"/>
        <v>794083.58333333337</v>
      </c>
      <c r="Q54" s="144">
        <f t="shared" si="40"/>
        <v>144083.58333333331</v>
      </c>
      <c r="R54" s="144">
        <f t="shared" si="40"/>
        <v>122750.25</v>
      </c>
      <c r="S54" s="144">
        <f t="shared" si="40"/>
        <v>77330.25</v>
      </c>
      <c r="T54" s="144">
        <f t="shared" si="40"/>
        <v>77330.25</v>
      </c>
      <c r="U54" s="144">
        <f t="shared" si="40"/>
        <v>77330.25</v>
      </c>
      <c r="V54" s="144">
        <f t="shared" si="40"/>
        <v>77330.25</v>
      </c>
      <c r="W54" s="144">
        <f t="shared" si="40"/>
        <v>74830.25</v>
      </c>
      <c r="X54" s="144">
        <f t="shared" si="40"/>
        <v>74830.25</v>
      </c>
      <c r="Y54" s="144">
        <f t="shared" si="40"/>
        <v>74830.25</v>
      </c>
      <c r="Z54" s="144">
        <f t="shared" si="40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1">N57+N58+N63</f>
        <v>473700</v>
      </c>
      <c r="O55" s="116">
        <f>O57+O58+SUM(O63:O66)</f>
        <v>719253.33333333337</v>
      </c>
      <c r="P55" s="116">
        <f t="shared" ref="P55:V55" si="42">P57+P58+SUM(P63:P66)</f>
        <v>719253.33333333337</v>
      </c>
      <c r="Q55" s="116">
        <f t="shared" si="42"/>
        <v>69253.333333333328</v>
      </c>
      <c r="R55" s="116">
        <f t="shared" si="42"/>
        <v>47920</v>
      </c>
      <c r="S55" s="116">
        <f t="shared" si="42"/>
        <v>2500</v>
      </c>
      <c r="T55" s="116">
        <f t="shared" si="42"/>
        <v>2500</v>
      </c>
      <c r="U55" s="116">
        <f t="shared" si="42"/>
        <v>2500</v>
      </c>
      <c r="V55" s="116">
        <f t="shared" si="42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335</v>
      </c>
      <c r="C57" t="s">
        <v>309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272</v>
      </c>
      <c r="C58" t="s">
        <v>334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282</v>
      </c>
      <c r="B59" s="185" t="s">
        <v>281</v>
      </c>
      <c r="C59" t="s">
        <v>310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283</v>
      </c>
      <c r="B60" s="185" t="s">
        <v>281</v>
      </c>
      <c r="C60" t="s">
        <v>311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284</v>
      </c>
      <c r="B61" s="185" t="s">
        <v>281</v>
      </c>
      <c r="C61" t="s">
        <v>312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349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283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352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281</v>
      </c>
      <c r="C68" t="s">
        <v>313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A69" s="35" t="s">
        <v>228</v>
      </c>
      <c r="F69" s="203">
        <f t="shared" ref="F69:L69" si="43">F68-F92</f>
        <v>196851</v>
      </c>
      <c r="G69" s="203">
        <f t="shared" si="43"/>
        <v>189684</v>
      </c>
      <c r="H69" s="203">
        <f t="shared" si="43"/>
        <v>192875</v>
      </c>
      <c r="I69" s="203">
        <f t="shared" si="43"/>
        <v>191507</v>
      </c>
      <c r="J69" s="203">
        <f t="shared" si="43"/>
        <v>203997</v>
      </c>
      <c r="K69" s="203">
        <f t="shared" si="43"/>
        <v>204376</v>
      </c>
      <c r="L69" s="203">
        <f t="shared" si="43"/>
        <v>884250</v>
      </c>
      <c r="M69" s="301">
        <v>242100</v>
      </c>
      <c r="N69" s="308">
        <f>N68-N92</f>
        <v>225951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33"/>
    </row>
    <row r="70" spans="1:39" s="35" customFormat="1" x14ac:dyDescent="0.2">
      <c r="A70" s="136" t="s">
        <v>229</v>
      </c>
      <c r="F70" s="197"/>
      <c r="G70" s="197"/>
      <c r="H70" s="197"/>
      <c r="I70" s="202"/>
      <c r="J70" s="202"/>
      <c r="K70" s="202"/>
      <c r="L70" s="202">
        <f>L69-L71</f>
        <v>192250</v>
      </c>
      <c r="M70" s="303">
        <v>203600</v>
      </c>
      <c r="N70" s="308">
        <f>N69-N71</f>
        <v>196951</v>
      </c>
      <c r="O70" s="116">
        <f>N70*(1+O86)</f>
        <v>197741.49947361497</v>
      </c>
      <c r="P70" s="116">
        <f t="shared" ref="P70:Z70" si="44">O70*(1+P86)</f>
        <v>198648.63001710753</v>
      </c>
      <c r="Q70" s="116">
        <f t="shared" si="44"/>
        <v>199711.26865377021</v>
      </c>
      <c r="R70" s="116">
        <f t="shared" si="44"/>
        <v>201244.08517867888</v>
      </c>
      <c r="S70" s="116">
        <f t="shared" si="44"/>
        <v>202989.95960222601</v>
      </c>
      <c r="T70" s="116">
        <f t="shared" si="44"/>
        <v>204757.79375261875</v>
      </c>
      <c r="U70" s="116">
        <f t="shared" si="44"/>
        <v>206721.64407812891</v>
      </c>
      <c r="V70" s="116">
        <f t="shared" si="44"/>
        <v>208528.49383340348</v>
      </c>
      <c r="W70" s="116">
        <f t="shared" si="44"/>
        <v>210535.31291864807</v>
      </c>
      <c r="X70" s="116">
        <f t="shared" si="44"/>
        <v>212376.56499844257</v>
      </c>
      <c r="Y70" s="116">
        <f t="shared" si="44"/>
        <v>214419.66277456292</v>
      </c>
      <c r="Z70" s="116">
        <f t="shared" si="44"/>
        <v>216486.27947886748</v>
      </c>
      <c r="AA70" s="44"/>
      <c r="AB70" s="44"/>
      <c r="AC70" s="44"/>
      <c r="AD70" s="44"/>
      <c r="AE70" s="44"/>
      <c r="AF70" s="44"/>
      <c r="AG70" s="44"/>
      <c r="AM70" s="233"/>
    </row>
    <row r="71" spans="1:39" s="138" customFormat="1" x14ac:dyDescent="0.2">
      <c r="A71" s="137" t="s">
        <v>209</v>
      </c>
      <c r="B71" s="138" t="s">
        <v>281</v>
      </c>
      <c r="C71" t="s">
        <v>314</v>
      </c>
      <c r="D71"/>
      <c r="F71" s="204"/>
      <c r="G71" s="204"/>
      <c r="H71" s="204"/>
      <c r="I71" s="205"/>
      <c r="J71" s="205"/>
      <c r="K71" s="205"/>
      <c r="L71" s="205">
        <v>692000</v>
      </c>
      <c r="M71" s="205">
        <v>38500</v>
      </c>
      <c r="N71" s="205">
        <f>VLOOKUP($C$71,'Haver NA'!$A$1:$J$34,10,0)</f>
        <v>29000</v>
      </c>
      <c r="O71" s="139"/>
      <c r="P71" s="139"/>
      <c r="Q71" s="139"/>
      <c r="R71" s="139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M71" s="236"/>
    </row>
    <row r="72" spans="1:39" s="35" customFormat="1" ht="16" x14ac:dyDescent="0.2">
      <c r="A72" s="134" t="s">
        <v>210</v>
      </c>
      <c r="F72" s="197"/>
      <c r="G72" s="197"/>
      <c r="H72" s="197"/>
      <c r="I72" s="202"/>
      <c r="J72" s="202"/>
      <c r="K72" s="202"/>
      <c r="L72" s="206">
        <f>SUM(L74:L76)</f>
        <v>87000</v>
      </c>
      <c r="M72" s="301">
        <v>97000</v>
      </c>
      <c r="N72" s="308">
        <f>SUM(N74:N76)</f>
        <v>107000</v>
      </c>
      <c r="O72" s="116">
        <f t="shared" ref="O72:Z72" si="45">O73+O77</f>
        <v>149000</v>
      </c>
      <c r="P72" s="116">
        <f t="shared" si="45"/>
        <v>121000</v>
      </c>
      <c r="Q72" s="116">
        <f t="shared" si="45"/>
        <v>121000</v>
      </c>
      <c r="R72" s="116">
        <f t="shared" si="45"/>
        <v>115000</v>
      </c>
      <c r="S72" s="116">
        <f t="shared" si="45"/>
        <v>109000</v>
      </c>
      <c r="T72" s="116">
        <f t="shared" si="45"/>
        <v>109000</v>
      </c>
      <c r="U72" s="116">
        <f t="shared" si="45"/>
        <v>109000</v>
      </c>
      <c r="V72" s="116">
        <f t="shared" si="45"/>
        <v>109000</v>
      </c>
      <c r="W72" s="116">
        <f t="shared" si="45"/>
        <v>109000</v>
      </c>
      <c r="X72" s="116">
        <f t="shared" si="45"/>
        <v>59000</v>
      </c>
      <c r="Y72" s="116">
        <f t="shared" si="45"/>
        <v>59000</v>
      </c>
      <c r="Z72" s="116">
        <f t="shared" si="45"/>
        <v>59000</v>
      </c>
      <c r="AA72" s="116"/>
      <c r="AB72" s="116"/>
      <c r="AC72" s="44"/>
      <c r="AD72" s="44"/>
      <c r="AE72" s="44"/>
      <c r="AF72" s="44"/>
      <c r="AG72" s="44"/>
      <c r="AM72" s="233"/>
    </row>
    <row r="73" spans="1:39" s="35" customFormat="1" ht="16" x14ac:dyDescent="0.2">
      <c r="A73" s="219" t="s">
        <v>341</v>
      </c>
      <c r="F73" s="197"/>
      <c r="G73" s="197"/>
      <c r="H73" s="197"/>
      <c r="I73" s="202"/>
      <c r="J73" s="202"/>
      <c r="K73" s="202"/>
      <c r="L73" s="206"/>
      <c r="M73" s="301"/>
      <c r="N73" s="308"/>
      <c r="O73" s="116">
        <f>SUM(O74:O76)</f>
        <v>90000</v>
      </c>
      <c r="P73" s="116">
        <f t="shared" ref="P73:Z73" si="46">SUM(P74:P76)</f>
        <v>62000</v>
      </c>
      <c r="Q73" s="116">
        <f t="shared" si="46"/>
        <v>62000</v>
      </c>
      <c r="R73" s="116">
        <f t="shared" si="46"/>
        <v>56000</v>
      </c>
      <c r="S73" s="116">
        <f t="shared" si="46"/>
        <v>50000</v>
      </c>
      <c r="T73" s="116">
        <f t="shared" si="46"/>
        <v>50000</v>
      </c>
      <c r="U73" s="116">
        <f t="shared" si="46"/>
        <v>50000</v>
      </c>
      <c r="V73" s="116">
        <f t="shared" si="46"/>
        <v>50000</v>
      </c>
      <c r="W73" s="116">
        <f t="shared" si="46"/>
        <v>50000</v>
      </c>
      <c r="X73" s="116">
        <f t="shared" si="46"/>
        <v>0</v>
      </c>
      <c r="Y73" s="116">
        <f t="shared" si="46"/>
        <v>0</v>
      </c>
      <c r="Z73" s="116">
        <f t="shared" si="46"/>
        <v>0</v>
      </c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197</v>
      </c>
      <c r="C74" s="35" t="s">
        <v>378</v>
      </c>
      <c r="F74" s="197"/>
      <c r="G74" s="197"/>
      <c r="H74" s="197"/>
      <c r="I74" s="202"/>
      <c r="J74" s="202"/>
      <c r="K74" s="202"/>
      <c r="L74" s="206">
        <v>35000</v>
      </c>
      <c r="M74" s="301">
        <v>45000</v>
      </c>
      <c r="N74" s="308">
        <v>60000</v>
      </c>
      <c r="O74" s="116">
        <v>60000</v>
      </c>
      <c r="P74" s="116">
        <v>50000</v>
      </c>
      <c r="Q74" s="116">
        <v>50000</v>
      </c>
      <c r="R74" s="116">
        <v>50000</v>
      </c>
      <c r="S74" s="116">
        <v>50000</v>
      </c>
      <c r="T74" s="116">
        <v>50000</v>
      </c>
      <c r="U74" s="116">
        <v>50000</v>
      </c>
      <c r="V74" s="116">
        <v>50000</v>
      </c>
      <c r="W74" s="116">
        <v>50000</v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198</v>
      </c>
      <c r="C75" s="35" t="s">
        <v>379</v>
      </c>
      <c r="F75" s="197"/>
      <c r="G75" s="197"/>
      <c r="H75" s="197"/>
      <c r="I75" s="202"/>
      <c r="J75" s="202"/>
      <c r="K75" s="202"/>
      <c r="L75" s="202">
        <v>25000</v>
      </c>
      <c r="M75" s="301">
        <v>25000</v>
      </c>
      <c r="N75" s="308">
        <v>35000</v>
      </c>
      <c r="O75" s="116">
        <v>18000</v>
      </c>
      <c r="P75" s="116">
        <v>0</v>
      </c>
      <c r="Q75" s="116">
        <v>0</v>
      </c>
      <c r="R75" s="116">
        <v>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201</v>
      </c>
      <c r="C76" s="35" t="s">
        <v>380</v>
      </c>
      <c r="F76" s="197"/>
      <c r="G76" s="197"/>
      <c r="H76" s="197"/>
      <c r="I76" s="202"/>
      <c r="J76" s="202"/>
      <c r="K76" s="202"/>
      <c r="L76" s="202">
        <v>27000</v>
      </c>
      <c r="M76" s="301">
        <v>27000</v>
      </c>
      <c r="N76" s="308">
        <v>12000</v>
      </c>
      <c r="O76" s="116">
        <v>12000</v>
      </c>
      <c r="P76" s="116">
        <v>12000</v>
      </c>
      <c r="Q76" s="116">
        <v>12000</v>
      </c>
      <c r="R76" s="116">
        <v>6000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220" t="s">
        <v>342</v>
      </c>
      <c r="F77" s="197"/>
      <c r="G77" s="197"/>
      <c r="H77" s="197"/>
      <c r="I77" s="202"/>
      <c r="J77" s="202"/>
      <c r="K77" s="202"/>
      <c r="L77" s="202"/>
      <c r="M77" s="301"/>
      <c r="N77" s="308"/>
      <c r="O77" s="116">
        <f>SUM(O78:O81)</f>
        <v>59000</v>
      </c>
      <c r="P77" s="116">
        <f t="shared" ref="P77:Z77" si="47">SUM(P78:P81)</f>
        <v>59000</v>
      </c>
      <c r="Q77" s="116">
        <f t="shared" si="47"/>
        <v>59000</v>
      </c>
      <c r="R77" s="116">
        <f t="shared" si="47"/>
        <v>59000</v>
      </c>
      <c r="S77" s="116">
        <f t="shared" si="47"/>
        <v>59000</v>
      </c>
      <c r="T77" s="116">
        <f t="shared" si="47"/>
        <v>59000</v>
      </c>
      <c r="U77" s="116">
        <f t="shared" si="47"/>
        <v>59000</v>
      </c>
      <c r="V77" s="116">
        <f t="shared" si="47"/>
        <v>59000</v>
      </c>
      <c r="W77" s="116">
        <f t="shared" si="47"/>
        <v>59000</v>
      </c>
      <c r="X77" s="116">
        <f t="shared" si="47"/>
        <v>59000</v>
      </c>
      <c r="Y77" s="116">
        <f t="shared" si="47"/>
        <v>59000</v>
      </c>
      <c r="Z77" s="116">
        <f t="shared" si="47"/>
        <v>59000</v>
      </c>
      <c r="AA77" s="116"/>
      <c r="AB77" s="44"/>
      <c r="AC77" s="44"/>
      <c r="AD77" s="44"/>
      <c r="AE77" s="44"/>
      <c r="AF77" s="44"/>
      <c r="AG77" s="44"/>
      <c r="AM77" s="233"/>
    </row>
    <row r="78" spans="1:39" s="274" customFormat="1" x14ac:dyDescent="0.2">
      <c r="A78" s="282" t="s">
        <v>343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2'!$C$13*4/12</f>
        <v>9666.6666666666661</v>
      </c>
      <c r="P78" s="279">
        <f>'Stimulus Round 2'!$C$13*4/12</f>
        <v>9666.6666666666661</v>
      </c>
      <c r="Q78" s="279">
        <f>'Stimulus Round 2'!$C$13*4/12</f>
        <v>9666.6666666666661</v>
      </c>
      <c r="R78" s="279">
        <f>'Stimulus Round 2'!$C$13*4/12</f>
        <v>9666.6666666666661</v>
      </c>
      <c r="S78" s="279">
        <f>'Stimulus Round 2'!$C$13*4/12</f>
        <v>9666.6666666666661</v>
      </c>
      <c r="T78" s="279">
        <f>'Stimulus Round 2'!$C$13*4/12</f>
        <v>9666.6666666666661</v>
      </c>
      <c r="U78" s="279">
        <f>'Stimulus Round 2'!$C$13*4/12</f>
        <v>9666.6666666666661</v>
      </c>
      <c r="V78" s="279">
        <f>'Stimulus Round 2'!$C$13*4/12</f>
        <v>9666.6666666666661</v>
      </c>
      <c r="W78" s="279">
        <f>'Stimulus Round 2'!$C$13*4/12</f>
        <v>9666.6666666666661</v>
      </c>
      <c r="X78" s="279">
        <f>'Stimulus Round 2'!$C$13*4/12</f>
        <v>9666.6666666666661</v>
      </c>
      <c r="Y78" s="279">
        <f>'Stimulus Round 2'!$C$13*4/12</f>
        <v>9666.6666666666661</v>
      </c>
      <c r="Z78" s="279">
        <f>'Stimulus Round 2'!$C$13*4/12</f>
        <v>9666.6666666666661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344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2'!$C$5*4/12</f>
        <v>27333.333333333332</v>
      </c>
      <c r="P79" s="279">
        <f>'Stimulus Round 2'!$C$5*4/12</f>
        <v>27333.333333333332</v>
      </c>
      <c r="Q79" s="279">
        <f>'Stimulus Round 2'!$C$5*4/12</f>
        <v>27333.333333333332</v>
      </c>
      <c r="R79" s="279">
        <f>'Stimulus Round 2'!$C$5*4/12</f>
        <v>27333.333333333332</v>
      </c>
      <c r="S79" s="279">
        <f>'Stimulus Round 2'!$C$5*4/12</f>
        <v>27333.333333333332</v>
      </c>
      <c r="T79" s="279">
        <f>'Stimulus Round 2'!$C$5*4/12</f>
        <v>27333.333333333332</v>
      </c>
      <c r="U79" s="279">
        <f>'Stimulus Round 2'!$C$5*4/12</f>
        <v>27333.333333333332</v>
      </c>
      <c r="V79" s="279">
        <f>'Stimulus Round 2'!$C$5*4/12</f>
        <v>27333.333333333332</v>
      </c>
      <c r="W79" s="279">
        <f>'Stimulus Round 2'!$C$5*4/12</f>
        <v>27333.333333333332</v>
      </c>
      <c r="X79" s="279">
        <f>'Stimulus Round 2'!$C$5*4/12</f>
        <v>27333.333333333332</v>
      </c>
      <c r="Y79" s="279">
        <f>'Stimulus Round 2'!$C$5*4/12</f>
        <v>27333.333333333332</v>
      </c>
      <c r="Z79" s="279">
        <f>'Stimulus Round 2'!$C$5*4/12</f>
        <v>27333.333333333332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2'!$C$10*4/12</f>
        <v>4000</v>
      </c>
      <c r="P80" s="279">
        <f>'Stimulus Round 2'!$C$10*4/12</f>
        <v>4000</v>
      </c>
      <c r="Q80" s="279">
        <f>'Stimulus Round 2'!$C$10*4/12</f>
        <v>4000</v>
      </c>
      <c r="R80" s="279">
        <f>'Stimulus Round 2'!$C$10*4/12</f>
        <v>4000</v>
      </c>
      <c r="S80" s="279">
        <f>'Stimulus Round 2'!$C$10*4/12</f>
        <v>4000</v>
      </c>
      <c r="T80" s="279">
        <f>'Stimulus Round 2'!$C$10*4/12</f>
        <v>4000</v>
      </c>
      <c r="U80" s="279">
        <f>'Stimulus Round 2'!$C$10*4/12</f>
        <v>4000</v>
      </c>
      <c r="V80" s="279">
        <f>'Stimulus Round 2'!$C$10*4/12</f>
        <v>4000</v>
      </c>
      <c r="W80" s="279">
        <f>'Stimulus Round 2'!$C$10*4/12</f>
        <v>4000</v>
      </c>
      <c r="X80" s="279">
        <f>'Stimulus Round 2'!$C$10*4/12</f>
        <v>4000</v>
      </c>
      <c r="Y80" s="279">
        <f>'Stimulus Round 2'!$C$10*4/12</f>
        <v>4000</v>
      </c>
      <c r="Z80" s="279">
        <f>'Stimulus Round 2'!$C$10*4/12</f>
        <v>4000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350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2'!$C$16*4/12</f>
        <v>18000</v>
      </c>
      <c r="P81" s="279">
        <f>'Stimulus Round 2'!$C$16*4/12</f>
        <v>18000</v>
      </c>
      <c r="Q81" s="279">
        <f>'Stimulus Round 2'!$C$16*4/12</f>
        <v>18000</v>
      </c>
      <c r="R81" s="279">
        <f>'Stimulus Round 2'!$C$16*4/12</f>
        <v>18000</v>
      </c>
      <c r="S81" s="279">
        <f>'Stimulus Round 2'!$C$16*4/12</f>
        <v>18000</v>
      </c>
      <c r="T81" s="279">
        <f>'Stimulus Round 2'!$C$16*4/12</f>
        <v>18000</v>
      </c>
      <c r="U81" s="279">
        <f>'Stimulus Round 2'!$C$16*4/12</f>
        <v>18000</v>
      </c>
      <c r="V81" s="279">
        <f>'Stimulus Round 2'!$C$16*4/12</f>
        <v>18000</v>
      </c>
      <c r="W81" s="279">
        <f>'Stimulus Round 2'!$C$16*4/12</f>
        <v>18000</v>
      </c>
      <c r="X81" s="279">
        <f>'Stimulus Round 2'!$C$16*4/12</f>
        <v>18000</v>
      </c>
      <c r="Y81" s="279">
        <f>'Stimulus Round 2'!$C$16*4/12</f>
        <v>18000</v>
      </c>
      <c r="Z81" s="279">
        <f>'Stimulus Round 2'!$C$16*4/12</f>
        <v>18000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35" customFormat="1" x14ac:dyDescent="0.2">
      <c r="A82" s="145" t="s">
        <v>217</v>
      </c>
      <c r="B82" s="141"/>
      <c r="E82" s="141"/>
      <c r="F82" s="197"/>
      <c r="G82" s="197"/>
      <c r="H82" s="197"/>
      <c r="I82" s="202"/>
      <c r="J82" s="202"/>
      <c r="K82" s="202">
        <f>K68-K92</f>
        <v>204376</v>
      </c>
      <c r="L82" s="206">
        <f>L70+L72</f>
        <v>279250</v>
      </c>
      <c r="M82" s="301">
        <v>300600</v>
      </c>
      <c r="N82" s="308">
        <f>N70+N72</f>
        <v>303951</v>
      </c>
      <c r="O82" s="144">
        <f t="shared" ref="O82:Z82" si="48">O70+O72</f>
        <v>346741.49947361497</v>
      </c>
      <c r="P82" s="144">
        <f t="shared" si="48"/>
        <v>319648.63001710753</v>
      </c>
      <c r="Q82" s="144">
        <f t="shared" si="48"/>
        <v>320711.26865377021</v>
      </c>
      <c r="R82" s="144">
        <f t="shared" si="48"/>
        <v>316244.08517867886</v>
      </c>
      <c r="S82" s="144">
        <f t="shared" si="48"/>
        <v>311989.95960222604</v>
      </c>
      <c r="T82" s="144">
        <f t="shared" si="48"/>
        <v>313757.79375261872</v>
      </c>
      <c r="U82" s="144">
        <f t="shared" si="48"/>
        <v>315721.64407812891</v>
      </c>
      <c r="V82" s="144">
        <f t="shared" si="48"/>
        <v>317528.49383340345</v>
      </c>
      <c r="W82" s="144">
        <f t="shared" si="48"/>
        <v>319535.31291864807</v>
      </c>
      <c r="X82" s="144">
        <f t="shared" si="48"/>
        <v>271376.56499844254</v>
      </c>
      <c r="Y82" s="144">
        <f t="shared" si="48"/>
        <v>273419.66277456295</v>
      </c>
      <c r="Z82" s="144">
        <f t="shared" si="48"/>
        <v>275486.27947886748</v>
      </c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F83" s="197"/>
      <c r="G83" s="197"/>
      <c r="H83" s="197"/>
      <c r="I83" s="197"/>
      <c r="J83" s="197"/>
      <c r="K83" s="197"/>
      <c r="L83" s="203"/>
      <c r="M83" s="301"/>
      <c r="N83" s="310"/>
      <c r="O83" s="135"/>
      <c r="P83" s="135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A84" s="35" t="s">
        <v>17</v>
      </c>
      <c r="B84" s="35" t="s">
        <v>281</v>
      </c>
      <c r="C84" t="s">
        <v>315</v>
      </c>
      <c r="D84"/>
      <c r="F84" s="206">
        <v>1241.5999999999999</v>
      </c>
      <c r="G84" s="206">
        <v>1245.8</v>
      </c>
      <c r="H84" s="206">
        <v>1473.6</v>
      </c>
      <c r="I84" s="206">
        <v>1288.5</v>
      </c>
      <c r="J84" s="206">
        <v>1301.0999999999999</v>
      </c>
      <c r="K84" s="206">
        <v>1306.0999999999999</v>
      </c>
      <c r="L84" s="206">
        <v>1360.1</v>
      </c>
      <c r="M84" s="301">
        <v>1335.133</v>
      </c>
      <c r="N84" s="308">
        <f>VLOOKUP($C$84,'Haver NA'!$A$1:$J$34,10,0)/1000</f>
        <v>1333.307</v>
      </c>
      <c r="O84" s="116"/>
      <c r="P84" s="116"/>
      <c r="Q84" s="116"/>
      <c r="R84" s="116"/>
      <c r="S84" s="116"/>
      <c r="T84" s="116"/>
      <c r="U84" s="116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I84" s="44"/>
      <c r="AJ84" s="44"/>
      <c r="AK84" s="44"/>
      <c r="AL84" s="44"/>
      <c r="AM84" s="235"/>
    </row>
    <row r="85" spans="1:39" s="35" customFormat="1" x14ac:dyDescent="0.2">
      <c r="A85" s="114" t="s">
        <v>203</v>
      </c>
      <c r="B85" s="35" t="s">
        <v>281</v>
      </c>
      <c r="C85" t="s">
        <v>316</v>
      </c>
      <c r="D85"/>
      <c r="F85" s="197"/>
      <c r="G85" s="197"/>
      <c r="H85" s="197"/>
      <c r="I85" s="197"/>
      <c r="J85" s="197">
        <v>1447.9</v>
      </c>
      <c r="K85" s="197">
        <v>1452.6</v>
      </c>
      <c r="L85" s="197">
        <v>1504.8</v>
      </c>
      <c r="M85" s="301">
        <v>1487.0350000000001</v>
      </c>
      <c r="N85" s="301">
        <f>VLOOKUP($C$85,'Haver NA'!$A$1:$J$34,10,0)/1000</f>
        <v>1493.5530000000001</v>
      </c>
      <c r="O85">
        <v>1504.3514552807801</v>
      </c>
      <c r="P85">
        <v>1511.252602267454</v>
      </c>
      <c r="Q85">
        <v>1519.3368030232709</v>
      </c>
      <c r="R85">
        <v>1530.997960524671</v>
      </c>
      <c r="S85">
        <v>1544.2799915439159</v>
      </c>
      <c r="T85">
        <v>1557.72908484966</v>
      </c>
      <c r="U85">
        <v>1572.6694039177321</v>
      </c>
      <c r="V85">
        <v>1586.4153149483291</v>
      </c>
      <c r="W85">
        <v>1601.682526026475</v>
      </c>
      <c r="X85">
        <v>1615.690158481731</v>
      </c>
      <c r="Y85">
        <v>1631.2333657547081</v>
      </c>
      <c r="Z85">
        <v>1646.9554971985581</v>
      </c>
      <c r="AA85"/>
      <c r="AB85"/>
      <c r="AE85" s="44"/>
      <c r="AF85" s="44"/>
      <c r="AG85" s="44"/>
      <c r="AI85" s="44"/>
      <c r="AJ85" s="44"/>
      <c r="AK85" s="44"/>
      <c r="AL85" s="44"/>
      <c r="AM85" s="235"/>
    </row>
    <row r="86" spans="1:39" s="185" customFormat="1" ht="12" x14ac:dyDescent="0.15">
      <c r="A86" s="169" t="s">
        <v>202</v>
      </c>
      <c r="F86" s="207"/>
      <c r="G86" s="207"/>
      <c r="H86" s="207"/>
      <c r="I86" s="207"/>
      <c r="J86" s="207"/>
      <c r="K86" s="207"/>
      <c r="L86" s="207"/>
      <c r="M86" s="302">
        <v>-1.1805555555555514E-2</v>
      </c>
      <c r="N86" s="311">
        <f>N85/M85-1</f>
        <v>4.3832189558417056E-3</v>
      </c>
      <c r="O86" s="196">
        <v>4.0136860113173497E-3</v>
      </c>
      <c r="P86" s="196">
        <v>4.58745658300019E-3</v>
      </c>
      <c r="Q86" s="196">
        <v>5.3493378563505001E-3</v>
      </c>
      <c r="R86" s="196">
        <v>7.6751629251630097E-3</v>
      </c>
      <c r="S86" s="196">
        <v>8.6754073889774297E-3</v>
      </c>
      <c r="T86" s="196">
        <v>8.7089733593570494E-3</v>
      </c>
      <c r="U86" s="196">
        <v>9.5910894990538492E-3</v>
      </c>
      <c r="V86" s="196">
        <v>8.7404962520116793E-3</v>
      </c>
      <c r="W86" s="196">
        <v>9.6237163965124904E-3</v>
      </c>
      <c r="X86" s="196">
        <v>8.7455736250097206E-3</v>
      </c>
      <c r="Y86" s="196">
        <v>9.6201658414398795E-3</v>
      </c>
      <c r="Z86" s="196">
        <v>9.6381865243271303E-3</v>
      </c>
      <c r="AA86" s="186"/>
      <c r="AB86" s="186"/>
      <c r="AE86" s="187"/>
      <c r="AF86" s="187"/>
      <c r="AG86" s="187"/>
      <c r="AI86" s="187"/>
      <c r="AJ86" s="187"/>
      <c r="AK86" s="187"/>
      <c r="AL86" s="187"/>
      <c r="AM86" s="237"/>
    </row>
    <row r="87" spans="1:39" s="185" customFormat="1" ht="12" x14ac:dyDescent="0.15">
      <c r="A87" s="169" t="s">
        <v>381</v>
      </c>
      <c r="F87" s="207"/>
      <c r="G87" s="207"/>
      <c r="H87" s="207"/>
      <c r="I87" s="207"/>
      <c r="J87" s="207"/>
      <c r="K87" s="207"/>
      <c r="L87" s="207"/>
      <c r="M87" s="302"/>
      <c r="N87" s="311"/>
      <c r="O87" s="196">
        <v>5.3394154743755307E-2</v>
      </c>
      <c r="P87" s="196">
        <v>-1.9703807284052632E-2</v>
      </c>
      <c r="Q87" s="196">
        <v>-4.084808403034379E-3</v>
      </c>
      <c r="R87" s="196">
        <v>0</v>
      </c>
      <c r="S87" s="196">
        <v>2.4739583333333037E-3</v>
      </c>
      <c r="T87" s="196">
        <v>1.6235874788934623E-3</v>
      </c>
      <c r="U87" s="196">
        <v>3.9551319457953316E-3</v>
      </c>
      <c r="V87" s="196">
        <v>3.8749677086025169E-3</v>
      </c>
      <c r="W87" s="196">
        <v>3.9243437982501295E-3</v>
      </c>
      <c r="X87" s="196">
        <v>3.0118551746236566E-3</v>
      </c>
      <c r="Y87" s="196">
        <v>3.9611551239457921E-3</v>
      </c>
      <c r="Z87" s="196">
        <v>5.027364133893153E-3</v>
      </c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185" customFormat="1" x14ac:dyDescent="0.2">
      <c r="A88" s="114" t="s">
        <v>357</v>
      </c>
      <c r="F88" s="207"/>
      <c r="G88" s="207"/>
      <c r="H88" s="207"/>
      <c r="I88" s="207"/>
      <c r="J88" s="207"/>
      <c r="K88" s="207"/>
      <c r="L88" s="207"/>
      <c r="M88" s="302"/>
      <c r="N88" s="311"/>
      <c r="O88" s="102">
        <f>SUM(O89:O91)</f>
        <v>71400</v>
      </c>
      <c r="P88" s="102">
        <f t="shared" ref="P88:R88" si="49">SUM(P89:P91)</f>
        <v>71400</v>
      </c>
      <c r="Q88" s="102">
        <f t="shared" si="49"/>
        <v>30600</v>
      </c>
      <c r="R88" s="102">
        <f t="shared" si="49"/>
        <v>30600</v>
      </c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285" customFormat="1" x14ac:dyDescent="0.2">
      <c r="A89" s="284" t="s">
        <v>353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2'!$C7*0.7*4)/2</f>
        <v>30799.999999999996</v>
      </c>
      <c r="P89" s="279">
        <f>('Stimulus Round 2'!$C7*0.7*4)/2</f>
        <v>30799.999999999996</v>
      </c>
      <c r="Q89" s="279">
        <f>('Stimulus Round 2'!$C7*0.3*4)/2</f>
        <v>13200</v>
      </c>
      <c r="R89" s="279">
        <f>('Stimulus Round 2'!$C7*0.3*4)/2</f>
        <v>13200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2">
      <c r="A90" s="284" t="s">
        <v>354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2'!$C8*0.7*4)/2</f>
        <v>28000</v>
      </c>
      <c r="P90" s="279">
        <f>('Stimulus Round 2'!$C8*0.7*4)/2</f>
        <v>28000</v>
      </c>
      <c r="Q90" s="279">
        <f>('Stimulus Round 2'!$C8*0.3*4)/2</f>
        <v>12000</v>
      </c>
      <c r="R90" s="279">
        <f>('Stimulus Round 2'!$C8*0.3*4)/2</f>
        <v>12000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355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2'!$C9*0.7*4)/2</f>
        <v>12600</v>
      </c>
      <c r="P91" s="279">
        <f>('Stimulus Round 2'!$C9*0.7*4)/2</f>
        <v>12600</v>
      </c>
      <c r="Q91" s="279">
        <f>('Stimulus Round 2'!$C9*0.3*4)/2</f>
        <v>5400</v>
      </c>
      <c r="R91" s="279">
        <f>('Stimulus Round 2'!$C9*0.3*4)/2</f>
        <v>5400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35" customFormat="1" x14ac:dyDescent="0.2">
      <c r="A92" s="35" t="s">
        <v>204</v>
      </c>
      <c r="B92" s="35" t="s">
        <v>281</v>
      </c>
      <c r="C92" t="s">
        <v>317</v>
      </c>
      <c r="D92"/>
      <c r="F92" s="206">
        <v>389624</v>
      </c>
      <c r="G92" s="206">
        <v>404529</v>
      </c>
      <c r="H92" s="206">
        <v>419672</v>
      </c>
      <c r="I92" s="206">
        <v>418824</v>
      </c>
      <c r="J92" s="206">
        <v>411409</v>
      </c>
      <c r="K92" s="206">
        <v>423429</v>
      </c>
      <c r="L92" s="206">
        <v>512640</v>
      </c>
      <c r="M92" s="301">
        <v>486072</v>
      </c>
      <c r="N92" s="308">
        <f>VLOOKUP($C$92,'Haver NA'!$A$1:$J$34,10,0)</f>
        <v>512193</v>
      </c>
      <c r="O92" s="116">
        <f t="shared" ref="O92:S92" si="50">O99*0.74</f>
        <v>507477.24811825115</v>
      </c>
      <c r="P92" s="116">
        <f t="shared" si="50"/>
        <v>512541.31638321205</v>
      </c>
      <c r="Q92" s="116">
        <f t="shared" si="50"/>
        <v>512541.31638321205</v>
      </c>
      <c r="R92" s="116">
        <f t="shared" si="50"/>
        <v>512541.31638321205</v>
      </c>
      <c r="S92" s="116">
        <f t="shared" si="50"/>
        <v>512541.31638321205</v>
      </c>
      <c r="T92" s="116">
        <f>T99*0.68</f>
        <v>470983.91235214088</v>
      </c>
      <c r="U92" s="116">
        <f>U99*0.68</f>
        <v>470983.91235214088</v>
      </c>
      <c r="V92" s="116">
        <f>V99*0.68</f>
        <v>470983.91235214088</v>
      </c>
      <c r="W92" s="116"/>
      <c r="X92" s="116"/>
      <c r="Y92" s="116"/>
      <c r="Z92" s="116"/>
      <c r="AA92" s="116"/>
      <c r="AB92" s="116"/>
      <c r="AC92" s="44">
        <f>AVERAGE(F92:I92)/1000</f>
        <v>408.16224999999997</v>
      </c>
      <c r="AD92" s="45">
        <f>AVERAGE(J92:M92)</f>
        <v>458387.5</v>
      </c>
      <c r="AE92" s="45">
        <f>AVERAGE(N92:Q92)</f>
        <v>511188.22022116883</v>
      </c>
      <c r="AF92" s="45">
        <f>AVERAGE(R92:U92)</f>
        <v>491762.61436767643</v>
      </c>
      <c r="AH92" s="35">
        <v>409.42</v>
      </c>
      <c r="AI92" s="84">
        <f>'figuring out Medicaid'!G11</f>
        <v>466.24400000000003</v>
      </c>
      <c r="AJ92" s="84">
        <f>'figuring out Medicaid'!H11</f>
        <v>537.41499999999996</v>
      </c>
      <c r="AK92" s="84">
        <f>'figuring out Medicaid'!I11</f>
        <v>516.01800000000003</v>
      </c>
      <c r="AL92" s="84"/>
      <c r="AM92" s="233"/>
    </row>
    <row r="93" spans="1:39" s="35" customFormat="1" x14ac:dyDescent="0.2">
      <c r="A93" s="141" t="s">
        <v>161</v>
      </c>
      <c r="B93" s="141"/>
      <c r="E93" s="141"/>
      <c r="F93" s="201">
        <f t="shared" ref="F93:L93" si="51">F50+F47+F36+F42</f>
        <v>1440187</v>
      </c>
      <c r="G93" s="201">
        <f t="shared" si="51"/>
        <v>1503410</v>
      </c>
      <c r="H93" s="201">
        <f t="shared" si="51"/>
        <v>1508652</v>
      </c>
      <c r="I93" s="201">
        <f t="shared" si="51"/>
        <v>1513957</v>
      </c>
      <c r="J93" s="201">
        <f t="shared" si="51"/>
        <v>1521941</v>
      </c>
      <c r="K93" s="201">
        <f t="shared" si="51"/>
        <v>1574462</v>
      </c>
      <c r="L93" s="201">
        <f t="shared" si="51"/>
        <v>3729557.333333333</v>
      </c>
      <c r="M93" s="301">
        <v>2466001</v>
      </c>
      <c r="N93" s="306">
        <f>N50+N47+N36+N42+N37</f>
        <v>2027793</v>
      </c>
      <c r="O93" s="142">
        <f t="shared" ref="O93:Z93" si="52">O50+O47+O36+O42+O37+O38+O39</f>
        <v>3107701.3980484894</v>
      </c>
      <c r="P93" s="142">
        <f t="shared" si="52"/>
        <v>1874848.87398125</v>
      </c>
      <c r="Q93" s="142">
        <f t="shared" si="52"/>
        <v>1686467.5074263907</v>
      </c>
      <c r="R93" s="142">
        <f t="shared" si="52"/>
        <v>1683044.5200377863</v>
      </c>
      <c r="S93" s="142">
        <f t="shared" si="52"/>
        <v>1687990.187838353</v>
      </c>
      <c r="T93" s="142">
        <f t="shared" si="52"/>
        <v>1713310.0406559282</v>
      </c>
      <c r="U93" s="142">
        <f t="shared" si="52"/>
        <v>1739009.691265767</v>
      </c>
      <c r="V93" s="142">
        <f t="shared" si="52"/>
        <v>1756399.7881784246</v>
      </c>
      <c r="W93" s="142">
        <f t="shared" si="52"/>
        <v>0</v>
      </c>
      <c r="X93" s="142">
        <f t="shared" si="52"/>
        <v>0</v>
      </c>
      <c r="Y93" s="142">
        <f t="shared" si="52"/>
        <v>0</v>
      </c>
      <c r="Z93" s="142">
        <f t="shared" si="52"/>
        <v>0</v>
      </c>
      <c r="AM93" s="233"/>
    </row>
    <row r="94" spans="1:39" s="35" customFormat="1" x14ac:dyDescent="0.2">
      <c r="A94" s="141" t="s">
        <v>214</v>
      </c>
      <c r="B94" s="141"/>
      <c r="E94" s="141"/>
      <c r="F94" s="197"/>
      <c r="G94" s="197"/>
      <c r="H94" s="197"/>
      <c r="I94" s="197"/>
      <c r="J94" s="197"/>
      <c r="K94" s="197"/>
      <c r="L94" s="203">
        <f>L92+L35</f>
        <v>1336698</v>
      </c>
      <c r="M94" s="301">
        <v>1328805</v>
      </c>
      <c r="N94" s="310">
        <f>N92+N35</f>
        <v>1372787</v>
      </c>
      <c r="O94" s="143">
        <f t="shared" ref="O94:Z94" si="53">O92+O35</f>
        <v>1390610.1625906522</v>
      </c>
      <c r="P94" s="143">
        <f t="shared" si="53"/>
        <v>1418489.158978964</v>
      </c>
      <c r="Q94" s="143">
        <f t="shared" si="53"/>
        <v>1441583.4808422038</v>
      </c>
      <c r="R94" s="143">
        <f t="shared" si="53"/>
        <v>1483962.7404801806</v>
      </c>
      <c r="S94" s="143">
        <f t="shared" si="53"/>
        <v>1515727.7827888038</v>
      </c>
      <c r="T94" s="143">
        <f t="shared" si="53"/>
        <v>1506974.123618965</v>
      </c>
      <c r="U94" s="143">
        <f t="shared" si="53"/>
        <v>1540850.5361376633</v>
      </c>
      <c r="V94" s="143">
        <f t="shared" si="53"/>
        <v>1551631.6801380017</v>
      </c>
      <c r="W94" s="143">
        <f t="shared" si="53"/>
        <v>1091537.5543621723</v>
      </c>
      <c r="X94" s="143">
        <f t="shared" si="53"/>
        <v>1102537.0783156503</v>
      </c>
      <c r="Y94" s="143">
        <f t="shared" si="53"/>
        <v>1113647.4454798999</v>
      </c>
      <c r="Z94" s="143">
        <f t="shared" si="53"/>
        <v>0</v>
      </c>
      <c r="AM94" s="233"/>
    </row>
    <row r="95" spans="1:39" s="35" customFormat="1" x14ac:dyDescent="0.2">
      <c r="F95" s="197"/>
      <c r="G95" s="197"/>
      <c r="H95" s="197"/>
      <c r="I95" s="197"/>
      <c r="J95" s="197"/>
      <c r="K95" s="197"/>
      <c r="L95" s="197"/>
      <c r="M95" s="301"/>
      <c r="N95" s="301"/>
      <c r="AM95" s="233"/>
    </row>
    <row r="96" spans="1:39" s="35" customFormat="1" x14ac:dyDescent="0.2">
      <c r="A96" s="35" t="s">
        <v>15</v>
      </c>
      <c r="B96" s="35" t="s">
        <v>281</v>
      </c>
      <c r="C96" t="s">
        <v>318</v>
      </c>
      <c r="D96"/>
      <c r="F96" s="197">
        <v>728844</v>
      </c>
      <c r="G96" s="197">
        <v>738714</v>
      </c>
      <c r="H96" s="197">
        <v>755204</v>
      </c>
      <c r="I96" s="197">
        <v>763370</v>
      </c>
      <c r="J96" s="197">
        <v>760967</v>
      </c>
      <c r="K96" s="197">
        <v>767087</v>
      </c>
      <c r="L96" s="197">
        <v>812158</v>
      </c>
      <c r="M96" s="301">
        <v>828480</v>
      </c>
      <c r="N96" s="303">
        <f>VLOOKUP($C$96,'Haver NA'!$A$1:$J$34,10,0)</f>
        <v>818740</v>
      </c>
      <c r="O96" s="133">
        <f t="shared" ref="O96:U96" si="54">O97+O99</f>
        <v>831250.83502466371</v>
      </c>
      <c r="P96" s="133">
        <f t="shared" si="54"/>
        <v>838457.84744285408</v>
      </c>
      <c r="Q96" s="133">
        <f t="shared" si="54"/>
        <v>839187.01967747905</v>
      </c>
      <c r="R96" s="133">
        <f t="shared" si="54"/>
        <v>840286.24682117626</v>
      </c>
      <c r="S96" s="133">
        <f t="shared" si="54"/>
        <v>841762.8752842095</v>
      </c>
      <c r="T96" s="133">
        <f t="shared" si="54"/>
        <v>843107.97501111636</v>
      </c>
      <c r="U96" s="133">
        <f t="shared" si="54"/>
        <v>844539.45728929248</v>
      </c>
      <c r="V96" s="133">
        <f t="shared" ref="V96" si="55">V97+V99</f>
        <v>846032.64138980373</v>
      </c>
      <c r="AM96" s="233"/>
    </row>
    <row r="97" spans="1:39" s="35" customFormat="1" x14ac:dyDescent="0.2">
      <c r="A97" s="35" t="s">
        <v>230</v>
      </c>
      <c r="F97" s="203">
        <f t="shared" ref="F97:K97" si="56">F96-F99</f>
        <v>139025</v>
      </c>
      <c r="G97" s="203">
        <f t="shared" si="56"/>
        <v>139342</v>
      </c>
      <c r="H97" s="203">
        <f t="shared" si="56"/>
        <v>140228</v>
      </c>
      <c r="I97" s="203">
        <f t="shared" si="56"/>
        <v>141105</v>
      </c>
      <c r="J97" s="203">
        <f t="shared" si="56"/>
        <v>141335</v>
      </c>
      <c r="K97" s="203">
        <f t="shared" si="56"/>
        <v>142991</v>
      </c>
      <c r="L97" s="203">
        <f>L96-L99</f>
        <v>143335</v>
      </c>
      <c r="M97" s="301">
        <v>144777</v>
      </c>
      <c r="N97" s="303">
        <f>N96-N99</f>
        <v>145108</v>
      </c>
      <c r="O97" s="133">
        <f>N97*(1+O109)</f>
        <v>145470.76999999999</v>
      </c>
      <c r="P97" s="133">
        <f t="shared" ref="P97:S97" si="57">O97*(1+P109)</f>
        <v>145834.44692499997</v>
      </c>
      <c r="Q97" s="133">
        <f t="shared" si="57"/>
        <v>146563.61915962494</v>
      </c>
      <c r="R97" s="133">
        <f t="shared" si="57"/>
        <v>147662.84630332215</v>
      </c>
      <c r="S97" s="133">
        <f t="shared" si="57"/>
        <v>149139.47476635536</v>
      </c>
      <c r="T97" s="133">
        <f t="shared" ref="T97:V97" si="58">S97*(1+T108)</f>
        <v>150484.57449326222</v>
      </c>
      <c r="U97" s="133">
        <f t="shared" si="58"/>
        <v>151916.05677143831</v>
      </c>
      <c r="V97" s="133">
        <f t="shared" si="58"/>
        <v>153409.24087194959</v>
      </c>
      <c r="AM97" s="233"/>
    </row>
    <row r="98" spans="1:39" s="35" customFormat="1" x14ac:dyDescent="0.2">
      <c r="F98" s="203"/>
      <c r="G98" s="197"/>
      <c r="H98" s="197"/>
      <c r="I98" s="197"/>
      <c r="J98" s="197"/>
      <c r="K98" s="197"/>
      <c r="L98" s="197"/>
      <c r="M98" s="301"/>
      <c r="N98" s="301"/>
      <c r="AM98" s="233"/>
    </row>
    <row r="99" spans="1:39" s="35" customFormat="1" x14ac:dyDescent="0.2">
      <c r="A99" s="35" t="s">
        <v>227</v>
      </c>
      <c r="B99" s="35" t="s">
        <v>281</v>
      </c>
      <c r="C99" t="s">
        <v>319</v>
      </c>
      <c r="D99"/>
      <c r="F99" s="197">
        <v>589819</v>
      </c>
      <c r="G99" s="197">
        <v>599372</v>
      </c>
      <c r="H99" s="197">
        <v>614976</v>
      </c>
      <c r="I99" s="197">
        <v>622265</v>
      </c>
      <c r="J99" s="197">
        <v>619632</v>
      </c>
      <c r="K99" s="197">
        <v>624096</v>
      </c>
      <c r="L99" s="197">
        <v>668823</v>
      </c>
      <c r="M99" s="301">
        <v>683703</v>
      </c>
      <c r="N99" s="310">
        <f>VLOOKUP($C$99,'Haver NA'!$A$1:$J$34,10,0)</f>
        <v>673632</v>
      </c>
      <c r="O99" s="135">
        <f>N99*(($AJ$99/$AI$99)^0.18)</f>
        <v>685780.06502466369</v>
      </c>
      <c r="P99" s="135">
        <f>O99*(($AJ$99/$AI$99)^0.1)</f>
        <v>692623.40051785414</v>
      </c>
      <c r="Q99" s="135">
        <f>P99*(1+Q100)</f>
        <v>692623.40051785414</v>
      </c>
      <c r="R99" s="135">
        <f t="shared" ref="R99:V99" si="59">Q99*(1+R100)</f>
        <v>692623.40051785414</v>
      </c>
      <c r="S99" s="135">
        <f t="shared" si="59"/>
        <v>692623.40051785414</v>
      </c>
      <c r="T99" s="135">
        <f t="shared" si="59"/>
        <v>692623.40051785414</v>
      </c>
      <c r="U99" s="135">
        <f t="shared" si="59"/>
        <v>692623.40051785414</v>
      </c>
      <c r="V99" s="135">
        <f t="shared" si="59"/>
        <v>692623.40051785414</v>
      </c>
      <c r="AD99" s="45">
        <f>AVERAGE(J99:M99)/1000</f>
        <v>649.06349999999998</v>
      </c>
      <c r="AE99" s="45">
        <f>AVERAGE(N99:Q99)/1000</f>
        <v>686.16471651509301</v>
      </c>
      <c r="AF99" s="45">
        <f>AVERAGE(R99:U99)/1000</f>
        <v>692.62340051785418</v>
      </c>
      <c r="AH99" s="84"/>
      <c r="AI99" s="84">
        <f>'figuring out Medicaid'!G13</f>
        <v>657.17435271149407</v>
      </c>
      <c r="AJ99" s="84">
        <f>'figuring out Medicaid'!H13</f>
        <v>725.7777402928042</v>
      </c>
      <c r="AK99" s="84">
        <f>'figuring out Medicaid'!I13</f>
        <v>727.33117238501666</v>
      </c>
      <c r="AL99" s="84"/>
      <c r="AM99" s="233"/>
    </row>
    <row r="100" spans="1:39" s="185" customFormat="1" x14ac:dyDescent="0.2">
      <c r="A100" s="169" t="s">
        <v>269</v>
      </c>
      <c r="F100" s="207"/>
      <c r="G100" s="207"/>
      <c r="H100" s="207"/>
      <c r="I100" s="207"/>
      <c r="J100" s="200"/>
      <c r="K100" s="200"/>
      <c r="L100" s="200"/>
      <c r="M100" s="301"/>
      <c r="N100" s="302"/>
      <c r="O100" s="175"/>
      <c r="P100" s="175"/>
      <c r="Q100" s="175">
        <v>0</v>
      </c>
      <c r="R100" s="175">
        <v>0</v>
      </c>
      <c r="S100" s="175">
        <v>0</v>
      </c>
      <c r="T100" s="175">
        <v>0</v>
      </c>
      <c r="U100" s="175">
        <v>0</v>
      </c>
      <c r="V100" s="175">
        <v>0</v>
      </c>
      <c r="W100" s="175"/>
      <c r="AM100" s="234"/>
    </row>
    <row r="101" spans="1:39" s="153" customFormat="1" ht="12" x14ac:dyDescent="0.15">
      <c r="A101" s="153" t="s">
        <v>222</v>
      </c>
      <c r="F101" s="208">
        <f t="shared" ref="F101:L101" si="60">F92/F99</f>
        <v>0.66058231423538405</v>
      </c>
      <c r="G101" s="208">
        <f t="shared" si="60"/>
        <v>0.6749214177505789</v>
      </c>
      <c r="H101" s="208">
        <f t="shared" si="60"/>
        <v>0.68242012696430432</v>
      </c>
      <c r="I101" s="208">
        <f t="shared" si="60"/>
        <v>0.6730637268687778</v>
      </c>
      <c r="J101" s="208">
        <f t="shared" si="60"/>
        <v>0.66395699382859508</v>
      </c>
      <c r="K101" s="208">
        <f t="shared" si="60"/>
        <v>0.67846773573296415</v>
      </c>
      <c r="L101" s="208">
        <f t="shared" si="60"/>
        <v>0.76648081779484256</v>
      </c>
      <c r="M101" s="208">
        <v>0.71094027669909299</v>
      </c>
      <c r="N101" s="208">
        <f t="shared" ref="N101" si="61">N92/N99</f>
        <v>0.76034541114436371</v>
      </c>
      <c r="AD101" s="154"/>
      <c r="AE101" s="154"/>
      <c r="AF101" s="154"/>
      <c r="AH101" s="155"/>
      <c r="AI101" s="155"/>
      <c r="AJ101" s="155"/>
      <c r="AM101" s="238"/>
    </row>
    <row r="102" spans="1:39" s="35" customFormat="1" x14ac:dyDescent="0.2">
      <c r="A102" s="35" t="s">
        <v>18</v>
      </c>
      <c r="B102" s="35" t="s">
        <v>281</v>
      </c>
      <c r="C102" t="s">
        <v>320</v>
      </c>
      <c r="D102"/>
      <c r="F102" s="197">
        <v>1997.1</v>
      </c>
      <c r="G102" s="197">
        <v>2012.7</v>
      </c>
      <c r="H102" s="197">
        <v>2025.5</v>
      </c>
      <c r="I102" s="197">
        <v>2028.3</v>
      </c>
      <c r="J102" s="197">
        <v>2035.6</v>
      </c>
      <c r="K102" s="197">
        <v>2041</v>
      </c>
      <c r="L102" s="197">
        <v>2013.1</v>
      </c>
      <c r="M102" s="301">
        <v>1993.0509999999999</v>
      </c>
      <c r="N102" s="301">
        <f>VLOOKUP($C$102,'Haver NA'!$A$1:$J$34,10,0)/1000</f>
        <v>1984.547</v>
      </c>
      <c r="O102" s="35">
        <f>N102*(1+O104)</f>
        <v>2009.5840333646127</v>
      </c>
      <c r="P102" s="35">
        <f t="shared" ref="P102:V102" si="62">O102*(1+P104)</f>
        <v>2031.5173022625379</v>
      </c>
      <c r="Q102" s="35">
        <f t="shared" si="62"/>
        <v>2046.001536440413</v>
      </c>
      <c r="R102" s="35">
        <f t="shared" si="62"/>
        <v>2056.0370415493694</v>
      </c>
      <c r="S102" s="35">
        <f t="shared" si="62"/>
        <v>2065.9690878427696</v>
      </c>
      <c r="T102" s="35">
        <f t="shared" si="62"/>
        <v>2073.2112049317075</v>
      </c>
      <c r="U102" s="35">
        <f t="shared" si="62"/>
        <v>2077.6599340006264</v>
      </c>
      <c r="V102" s="35">
        <f t="shared" si="62"/>
        <v>2079.3152750495265</v>
      </c>
      <c r="AM102" s="233"/>
    </row>
    <row r="103" spans="1:39" s="185" customFormat="1" x14ac:dyDescent="0.2">
      <c r="A103" s="169" t="s">
        <v>285</v>
      </c>
      <c r="B103" s="35"/>
      <c r="C103" s="35"/>
      <c r="D103" s="35"/>
      <c r="F103" s="200"/>
      <c r="G103" s="200">
        <f t="shared" ref="G103:L103" si="63">(G102/F102)-1</f>
        <v>7.8113264233139468E-3</v>
      </c>
      <c r="H103" s="200">
        <f t="shared" si="63"/>
        <v>6.3596164356336526E-3</v>
      </c>
      <c r="I103" s="200">
        <f t="shared" si="63"/>
        <v>1.3823747222907468E-3</v>
      </c>
      <c r="J103" s="200">
        <f t="shared" si="63"/>
        <v>3.5990731154167399E-3</v>
      </c>
      <c r="K103" s="200">
        <f t="shared" si="63"/>
        <v>2.6527805069758159E-3</v>
      </c>
      <c r="L103" s="200">
        <f t="shared" si="63"/>
        <v>-1.36697697207252E-2</v>
      </c>
      <c r="M103" s="302">
        <v>-9.9592668024439668E-3</v>
      </c>
      <c r="N103" s="324">
        <f>(N102/M102)-1</f>
        <v>-4.2668250837534227E-3</v>
      </c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AM103" s="234"/>
    </row>
    <row r="104" spans="1:39" s="185" customFormat="1" x14ac:dyDescent="0.2">
      <c r="A104" s="169" t="s">
        <v>286</v>
      </c>
      <c r="B104" s="35" t="s">
        <v>281</v>
      </c>
      <c r="C104" s="35"/>
      <c r="D104" s="35"/>
      <c r="F104" s="207"/>
      <c r="G104" s="207"/>
      <c r="H104" s="207"/>
      <c r="I104" s="207"/>
      <c r="J104" s="200"/>
      <c r="K104" s="200"/>
      <c r="L104" s="200"/>
      <c r="M104" s="301"/>
      <c r="N104" s="302"/>
      <c r="O104" s="196">
        <v>1.26159941611927E-2</v>
      </c>
      <c r="P104" s="196">
        <v>1.0914332784184499E-2</v>
      </c>
      <c r="Q104" s="196">
        <v>7.1297616622529904E-3</v>
      </c>
      <c r="R104" s="196">
        <v>4.9049352750809598E-3</v>
      </c>
      <c r="S104" s="196">
        <v>4.8306747848840797E-3</v>
      </c>
      <c r="T104" s="196">
        <v>3.5054334218038701E-3</v>
      </c>
      <c r="U104" s="196">
        <v>2.14581565946403E-3</v>
      </c>
      <c r="V104" s="196">
        <v>7.9673339308827796E-4</v>
      </c>
      <c r="W104" s="196">
        <v>3.9804955716982198E-4</v>
      </c>
      <c r="X104" s="196">
        <v>1.1439371331942701E-3</v>
      </c>
      <c r="Y104" s="196">
        <v>8.9423220229512001E-4</v>
      </c>
      <c r="Z104" s="185">
        <v>8.4379808408208102E-4</v>
      </c>
      <c r="AM104" s="234"/>
    </row>
    <row r="105" spans="1:39" s="35" customFormat="1" x14ac:dyDescent="0.2">
      <c r="A105" s="35" t="s">
        <v>216</v>
      </c>
      <c r="B105" s="35" t="s">
        <v>281</v>
      </c>
      <c r="C105" t="s">
        <v>321</v>
      </c>
      <c r="D105"/>
      <c r="F105" s="197"/>
      <c r="G105" s="197"/>
      <c r="H105" s="197"/>
      <c r="I105" s="197"/>
      <c r="J105" s="197">
        <v>2357.4</v>
      </c>
      <c r="K105" s="197">
        <v>2381.6</v>
      </c>
      <c r="L105" s="197">
        <v>2334.5</v>
      </c>
      <c r="M105" s="301">
        <v>2329.605</v>
      </c>
      <c r="N105" s="301">
        <f>VLOOKUP($C$105,'Haver NA'!$A$1:$J$34,10,0)/1000</f>
        <v>2337.201</v>
      </c>
      <c r="O105">
        <v>2469.9411956560398</v>
      </c>
      <c r="P105">
        <v>2511.3882460388099</v>
      </c>
      <c r="Q105">
        <v>2543.4204311910298</v>
      </c>
      <c r="R105">
        <v>2569.93355741499</v>
      </c>
      <c r="S105">
        <v>2599.1521046822099</v>
      </c>
      <c r="T105">
        <v>2626.53096564002</v>
      </c>
      <c r="U105">
        <v>2651.2044055545698</v>
      </c>
      <c r="V105">
        <v>2672.95599074239</v>
      </c>
      <c r="W105">
        <v>2693.9500580381</v>
      </c>
      <c r="X105">
        <v>2717.3248958518798</v>
      </c>
      <c r="Y105">
        <v>2740.4832999822002</v>
      </c>
      <c r="AM105" s="233"/>
    </row>
    <row r="106" spans="1:39" s="35" customFormat="1" x14ac:dyDescent="0.2">
      <c r="F106" s="197"/>
      <c r="G106" s="197"/>
      <c r="H106" s="197"/>
      <c r="I106" s="197"/>
      <c r="J106" s="197"/>
      <c r="K106" s="197"/>
      <c r="L106" s="197"/>
      <c r="M106" s="301"/>
      <c r="N106" s="301"/>
      <c r="O106">
        <f>N106*(1+O109)</f>
        <v>0</v>
      </c>
      <c r="P106">
        <f t="shared" ref="P106:S106" si="64">O106*(1+P109)</f>
        <v>0</v>
      </c>
      <c r="Q106">
        <f t="shared" si="64"/>
        <v>0</v>
      </c>
      <c r="R106">
        <f t="shared" si="64"/>
        <v>0</v>
      </c>
      <c r="S106">
        <f t="shared" si="64"/>
        <v>0</v>
      </c>
      <c r="T106">
        <f>S106*(1+T108)</f>
        <v>0</v>
      </c>
      <c r="U106">
        <f t="shared" ref="U106:V106" si="65">T106*(1+U108)</f>
        <v>0</v>
      </c>
      <c r="V106">
        <f t="shared" si="65"/>
        <v>0</v>
      </c>
      <c r="W106"/>
      <c r="X106"/>
      <c r="Y106"/>
      <c r="AM106" s="233"/>
    </row>
    <row r="107" spans="1:39" s="185" customFormat="1" x14ac:dyDescent="0.2">
      <c r="A107" s="169" t="s">
        <v>285</v>
      </c>
      <c r="B107" s="35"/>
      <c r="C107" s="35"/>
      <c r="D107" s="35"/>
      <c r="F107" s="200"/>
      <c r="G107" s="200"/>
      <c r="H107" s="200"/>
      <c r="I107" s="200"/>
      <c r="J107" s="200"/>
      <c r="K107" s="200">
        <f t="shared" ref="K107" si="66">(K105/J105)-1</f>
        <v>1.0265546788835067E-2</v>
      </c>
      <c r="L107" s="200">
        <f t="shared" ref="L107" si="67">(L105/K105)-1</f>
        <v>-1.9776620759153429E-2</v>
      </c>
      <c r="M107" s="302">
        <v>-8.3608921686818549E-3</v>
      </c>
      <c r="N107" s="324">
        <f>(((N105/M105))^4)-1</f>
        <v>1.3106483787577172E-2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2">
      <c r="A108" s="169" t="s">
        <v>286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9.408690138332787E-4</v>
      </c>
      <c r="P108" s="175">
        <v>9.1903906984696082E-3</v>
      </c>
      <c r="Q108" s="175">
        <v>7.4547841924690328E-3</v>
      </c>
      <c r="R108" s="175">
        <v>7.6518814378809807E-3</v>
      </c>
      <c r="S108" s="175">
        <v>8.511703592439579E-3</v>
      </c>
      <c r="T108" s="175">
        <v>9.0190724421828072E-3</v>
      </c>
      <c r="U108" s="175">
        <v>9.512485136741855E-3</v>
      </c>
      <c r="V108" s="175">
        <v>9.8290077576053125E-3</v>
      </c>
      <c r="W108" s="175">
        <v>1.0779069299762689E-2</v>
      </c>
      <c r="X108" s="175">
        <v>1.1818073295929432E-2</v>
      </c>
      <c r="Y108" s="175">
        <v>1.2112631744533475E-2</v>
      </c>
      <c r="Z108" s="175">
        <v>1.2395088591855785E-2</v>
      </c>
      <c r="AM108" s="234"/>
    </row>
    <row r="109" spans="1:39" s="185" customFormat="1" x14ac:dyDescent="0.2">
      <c r="A109" s="169" t="s">
        <v>373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2.5000000000000001E-3</v>
      </c>
      <c r="P109" s="175">
        <v>2.5000000000000001E-3</v>
      </c>
      <c r="Q109" s="175">
        <v>5.0000000000000001E-3</v>
      </c>
      <c r="R109" s="175">
        <v>7.4999999999999997E-3</v>
      </c>
      <c r="S109" s="175">
        <v>0.01</v>
      </c>
      <c r="T109" s="175"/>
      <c r="U109" s="175"/>
      <c r="V109" s="175"/>
      <c r="AM109" s="234"/>
    </row>
    <row r="110" spans="1:39" s="35" customFormat="1" x14ac:dyDescent="0.2">
      <c r="A110" s="35" t="s">
        <v>163</v>
      </c>
      <c r="F110" s="201">
        <f t="shared" ref="F110:L110" si="68">F96+F46-F92</f>
        <v>339220</v>
      </c>
      <c r="G110" s="201">
        <f t="shared" si="68"/>
        <v>334185</v>
      </c>
      <c r="H110" s="201">
        <f t="shared" si="68"/>
        <v>335532</v>
      </c>
      <c r="I110" s="201">
        <f t="shared" si="68"/>
        <v>344546</v>
      </c>
      <c r="J110" s="201">
        <f t="shared" si="68"/>
        <v>349558</v>
      </c>
      <c r="K110" s="201">
        <f t="shared" si="68"/>
        <v>343658</v>
      </c>
      <c r="L110" s="201">
        <f t="shared" si="68"/>
        <v>560584.66666666674</v>
      </c>
      <c r="M110" s="301">
        <v>528408</v>
      </c>
      <c r="N110" s="306">
        <f>N96+N46-N92</f>
        <v>343247</v>
      </c>
      <c r="O110" s="215">
        <f t="shared" ref="O110:Y110" si="69">O96+O46-O92</f>
        <v>383773.58690641256</v>
      </c>
      <c r="P110" s="215">
        <f t="shared" si="69"/>
        <v>369916.53105964203</v>
      </c>
      <c r="Q110" s="215">
        <f t="shared" si="69"/>
        <v>370645.703294267</v>
      </c>
      <c r="R110" s="215">
        <f t="shared" si="69"/>
        <v>371744.93043796421</v>
      </c>
      <c r="S110" s="215">
        <f t="shared" si="69"/>
        <v>373221.55890099745</v>
      </c>
      <c r="T110" s="215">
        <f t="shared" si="69"/>
        <v>416124.06265897548</v>
      </c>
      <c r="U110" s="215">
        <f t="shared" si="69"/>
        <v>417555.5449371516</v>
      </c>
      <c r="V110" s="215">
        <f t="shared" si="69"/>
        <v>419048.72903766285</v>
      </c>
      <c r="W110" s="215">
        <f t="shared" si="69"/>
        <v>0</v>
      </c>
      <c r="X110" s="215">
        <f t="shared" si="69"/>
        <v>0</v>
      </c>
      <c r="Y110" s="215">
        <f t="shared" si="69"/>
        <v>0</v>
      </c>
      <c r="AM110" s="233"/>
    </row>
    <row r="111" spans="1:39" s="35" customFormat="1" x14ac:dyDescent="0.2">
      <c r="A111" s="141" t="s">
        <v>213</v>
      </c>
      <c r="B111" s="141"/>
      <c r="E111" s="141"/>
      <c r="F111" s="201">
        <f t="shared" ref="F111:L111" si="70">F99-F92</f>
        <v>200195</v>
      </c>
      <c r="G111" s="201">
        <f t="shared" si="70"/>
        <v>194843</v>
      </c>
      <c r="H111" s="201">
        <f t="shared" si="70"/>
        <v>195304</v>
      </c>
      <c r="I111" s="201">
        <f t="shared" si="70"/>
        <v>203441</v>
      </c>
      <c r="J111" s="201">
        <f t="shared" si="70"/>
        <v>208223</v>
      </c>
      <c r="K111" s="201">
        <f t="shared" si="70"/>
        <v>200667</v>
      </c>
      <c r="L111" s="201">
        <f t="shared" si="70"/>
        <v>156183</v>
      </c>
      <c r="M111" s="301">
        <v>197631</v>
      </c>
      <c r="N111" s="306">
        <f>N99-N92</f>
        <v>161439</v>
      </c>
      <c r="O111" s="142">
        <f t="shared" ref="O111:Y111" si="71">O99-O92</f>
        <v>178302.81690641254</v>
      </c>
      <c r="P111" s="142">
        <f t="shared" si="71"/>
        <v>180082.08413464209</v>
      </c>
      <c r="Q111" s="142">
        <f t="shared" si="71"/>
        <v>180082.08413464209</v>
      </c>
      <c r="R111" s="142">
        <f t="shared" si="71"/>
        <v>180082.08413464209</v>
      </c>
      <c r="S111" s="142">
        <f t="shared" si="71"/>
        <v>180082.08413464209</v>
      </c>
      <c r="T111" s="142">
        <f t="shared" si="71"/>
        <v>221639.48816571326</v>
      </c>
      <c r="U111" s="142">
        <f t="shared" si="71"/>
        <v>221639.48816571326</v>
      </c>
      <c r="V111" s="142">
        <f t="shared" si="71"/>
        <v>221639.48816571326</v>
      </c>
      <c r="W111" s="142">
        <f t="shared" si="71"/>
        <v>0</v>
      </c>
      <c r="X111" s="142">
        <f t="shared" si="71"/>
        <v>0</v>
      </c>
      <c r="Y111" s="142">
        <f t="shared" si="71"/>
        <v>0</v>
      </c>
      <c r="AM111" s="233"/>
    </row>
    <row r="112" spans="1:39" s="141" customFormat="1" x14ac:dyDescent="0.2">
      <c r="A112" s="141" t="s">
        <v>231</v>
      </c>
      <c r="C112" s="35"/>
      <c r="D112" s="35"/>
      <c r="F112" s="201">
        <f t="shared" ref="F112:K112" si="72">F110-F111</f>
        <v>139025</v>
      </c>
      <c r="G112" s="201">
        <f t="shared" si="72"/>
        <v>139342</v>
      </c>
      <c r="H112" s="201">
        <f t="shared" si="72"/>
        <v>140228</v>
      </c>
      <c r="I112" s="201">
        <f t="shared" si="72"/>
        <v>141105</v>
      </c>
      <c r="J112" s="201">
        <f t="shared" si="72"/>
        <v>141335</v>
      </c>
      <c r="K112" s="201">
        <f t="shared" si="72"/>
        <v>142991</v>
      </c>
      <c r="L112" s="201">
        <f>L110-L111</f>
        <v>404401.66666666674</v>
      </c>
      <c r="M112" s="306">
        <v>330777</v>
      </c>
      <c r="N112" s="306">
        <f>N110-N111</f>
        <v>181808</v>
      </c>
      <c r="O112" s="142">
        <f t="shared" ref="O112:Y112" si="73">O110-O111</f>
        <v>205470.77000000002</v>
      </c>
      <c r="P112" s="142">
        <f t="shared" si="73"/>
        <v>189834.44692499994</v>
      </c>
      <c r="Q112" s="142">
        <f t="shared" si="73"/>
        <v>190563.61915962491</v>
      </c>
      <c r="R112" s="142">
        <f t="shared" si="73"/>
        <v>191662.84630332212</v>
      </c>
      <c r="S112" s="142">
        <f t="shared" si="73"/>
        <v>193139.47476635536</v>
      </c>
      <c r="T112" s="142">
        <f t="shared" si="73"/>
        <v>194484.57449326222</v>
      </c>
      <c r="U112" s="142">
        <f t="shared" si="73"/>
        <v>195916.05677143834</v>
      </c>
      <c r="V112" s="142">
        <f t="shared" si="73"/>
        <v>197409.24087194959</v>
      </c>
      <c r="W112" s="142">
        <f t="shared" si="73"/>
        <v>0</v>
      </c>
      <c r="X112" s="142">
        <f t="shared" si="73"/>
        <v>0</v>
      </c>
      <c r="Y112" s="142">
        <f t="shared" si="73"/>
        <v>0</v>
      </c>
      <c r="AM112" s="256"/>
    </row>
    <row r="113" spans="1:39" s="35" customFormat="1" x14ac:dyDescent="0.2">
      <c r="A113"/>
      <c r="F113" s="213"/>
      <c r="G113" s="213"/>
      <c r="H113" s="213"/>
      <c r="I113" s="213"/>
      <c r="J113" s="213"/>
      <c r="K113" s="213"/>
      <c r="L113" s="135"/>
      <c r="M113" s="135"/>
      <c r="N113" s="94"/>
      <c r="O113" s="94"/>
      <c r="P113" s="94"/>
      <c r="Q113" s="94"/>
      <c r="R113" s="94"/>
      <c r="S113" s="94"/>
      <c r="T113" s="94"/>
      <c r="U113" s="94"/>
      <c r="V113"/>
      <c r="AM113" s="233"/>
    </row>
    <row r="114" spans="1:39" s="185" customFormat="1" x14ac:dyDescent="0.2">
      <c r="A114" s="169"/>
      <c r="F114" s="193"/>
      <c r="G114" s="193"/>
      <c r="H114" s="193"/>
      <c r="I114" s="193"/>
      <c r="J114" s="193"/>
      <c r="K114" s="193"/>
      <c r="L114" s="193"/>
      <c r="M114" s="214"/>
      <c r="N114" s="193"/>
      <c r="O114" s="193"/>
      <c r="P114" s="193"/>
      <c r="Q114" s="193"/>
      <c r="R114" s="193"/>
      <c r="S114" s="193"/>
      <c r="T114" s="193"/>
      <c r="U114" s="193"/>
      <c r="AM114" s="234"/>
    </row>
    <row r="115" spans="1:39" x14ac:dyDescent="0.2">
      <c r="A115" t="s">
        <v>158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D57" activePane="bottomRight" state="frozen"/>
      <selection pane="topRight" activeCell="C1" sqref="C1"/>
      <selection pane="bottomLeft" activeCell="A9" sqref="A9"/>
      <selection pane="bottomRight" activeCell="F69" sqref="F69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5" t="s">
        <v>207</v>
      </c>
      <c r="B1" s="336"/>
      <c r="C1" s="35"/>
      <c r="H1"/>
      <c r="I1" s="240"/>
      <c r="J1" s="343" t="s">
        <v>280</v>
      </c>
      <c r="V1" s="327"/>
      <c r="W1" s="327"/>
      <c r="X1" s="327"/>
      <c r="Y1" s="327"/>
    </row>
    <row r="2" spans="1:50" x14ac:dyDescent="0.2">
      <c r="A2" s="337" t="s">
        <v>191</v>
      </c>
      <c r="B2" s="126"/>
      <c r="C2" t="s">
        <v>192</v>
      </c>
      <c r="I2" s="241"/>
      <c r="J2" s="343"/>
    </row>
    <row r="3" spans="1:50" x14ac:dyDescent="0.2">
      <c r="A3" s="338"/>
      <c r="B3" s="127"/>
      <c r="C3" t="s">
        <v>193</v>
      </c>
      <c r="I3" s="241"/>
      <c r="J3" s="343"/>
    </row>
    <row r="4" spans="1:50" x14ac:dyDescent="0.2">
      <c r="A4" s="338"/>
      <c r="B4" s="128"/>
      <c r="C4" t="s">
        <v>194</v>
      </c>
    </row>
    <row r="5" spans="1:50" x14ac:dyDescent="0.2">
      <c r="A5" s="339"/>
      <c r="B5" s="129"/>
      <c r="C5" t="s">
        <v>181</v>
      </c>
    </row>
    <row r="7" spans="1:50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main!L111/1000</f>
        <v>156.18299999999999</v>
      </c>
      <c r="E21" s="104">
        <f>main!M111/1000</f>
        <v>197.631</v>
      </c>
      <c r="F21" s="104">
        <f>main!N111/1000</f>
        <v>161.43899999999999</v>
      </c>
      <c r="G21" s="149">
        <f>main!O111/1000</f>
        <v>178.30281690641254</v>
      </c>
      <c r="H21" s="104">
        <f>main!P111/1000</f>
        <v>180.08208413464209</v>
      </c>
      <c r="I21" s="104">
        <f>main!Q111/1000</f>
        <v>180.08208413464209</v>
      </c>
      <c r="J21" s="104">
        <f>main!R111/1000</f>
        <v>180.08208413464209</v>
      </c>
      <c r="K21" s="149">
        <f>main!S111/1000</f>
        <v>180.08208413464209</v>
      </c>
      <c r="L21" s="104">
        <f>main!T111/1000</f>
        <v>221.63948816571326</v>
      </c>
      <c r="M21" s="223">
        <f>main!U111/1000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main!L112/1000</f>
        <v>404.40166666666676</v>
      </c>
      <c r="F28" s="104">
        <f>main!M112/1000</f>
        <v>330.77699999999999</v>
      </c>
      <c r="G28" s="104">
        <f>main!N112/1000</f>
        <v>181.80799999999999</v>
      </c>
      <c r="H28" s="104">
        <f>main!O112/1000</f>
        <v>205.47077000000002</v>
      </c>
      <c r="I28" s="104">
        <f>main!P112/1000</f>
        <v>189.83444692499995</v>
      </c>
      <c r="J28" s="104">
        <f>main!Q112/1000</f>
        <v>190.56361915962492</v>
      </c>
      <c r="K28" s="104">
        <f>main!R112/1000</f>
        <v>191.66284630332211</v>
      </c>
      <c r="L28" s="104">
        <f>main!S112/1000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main!L94/1000</f>
        <v>1336.6980000000001</v>
      </c>
      <c r="F47" s="104">
        <f>main!M94/1000</f>
        <v>1328.8050000000001</v>
      </c>
      <c r="G47" s="149">
        <f>main!N94/1000</f>
        <v>1372.787</v>
      </c>
      <c r="H47" s="104">
        <f>main!O94/1000</f>
        <v>1390.6101625906522</v>
      </c>
      <c r="I47" s="104">
        <f>main!P94/1000</f>
        <v>1418.489158978964</v>
      </c>
      <c r="J47" s="223">
        <f>main!Q94/1000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main!K93/1000</f>
        <v>1574.462</v>
      </c>
      <c r="E54" s="104">
        <f>main!L93/1000</f>
        <v>3729.5573333333332</v>
      </c>
      <c r="F54" s="104">
        <f>main!M93/1000</f>
        <v>2466.0010000000002</v>
      </c>
      <c r="G54" s="149">
        <f>main!N93/1000</f>
        <v>2027.7929999999999</v>
      </c>
      <c r="H54" s="104">
        <f>main!O93/1000</f>
        <v>3107.7013980484894</v>
      </c>
      <c r="I54" s="104">
        <f>main!P93/1000</f>
        <v>1874.8488739812499</v>
      </c>
      <c r="J54" s="104">
        <f>main!Q93/1000</f>
        <v>1686.4675074263907</v>
      </c>
      <c r="K54" s="263">
        <f>main!R93/1000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main!L82/1000</f>
        <v>279.25</v>
      </c>
      <c r="F68" s="218">
        <f>main!M82/1000</f>
        <v>300.60000000000002</v>
      </c>
      <c r="G68" s="151">
        <f>main!N82/1000</f>
        <v>303.95100000000002</v>
      </c>
      <c r="H68" s="218">
        <f>main!O82/1000</f>
        <v>346.74149947361497</v>
      </c>
      <c r="I68" s="218">
        <f>main!P82/1000</f>
        <v>319.64863001710751</v>
      </c>
      <c r="J68" s="218">
        <f>main!Q82/1000</f>
        <v>320.71126865377022</v>
      </c>
      <c r="K68" s="151">
        <f>main!R82/1000</f>
        <v>316.24408517867886</v>
      </c>
      <c r="L68" s="218">
        <f>main!S82/1000</f>
        <v>311.98995960222607</v>
      </c>
      <c r="M68" s="218">
        <f>main!T82/1000</f>
        <v>313.75779375261874</v>
      </c>
      <c r="N68" s="218">
        <f>main!U82/1000</f>
        <v>315.72164407812892</v>
      </c>
      <c r="O68" s="151">
        <f>main!V82/1000</f>
        <v>317.52849383340345</v>
      </c>
      <c r="P68" s="248">
        <f>main!W82/1000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89.587913196559953</v>
      </c>
      <c r="I71" s="217">
        <f t="shared" si="118"/>
        <v>91.189857921281316</v>
      </c>
      <c r="J71" s="217">
        <f t="shared" si="118"/>
        <v>108.66056724274401</v>
      </c>
      <c r="K71" s="150">
        <f t="shared" si="118"/>
        <v>99.041886971004146</v>
      </c>
      <c r="L71" s="217">
        <f t="shared" ref="L71:N71" si="119">L68-L69</f>
        <v>88.930859906418476</v>
      </c>
      <c r="M71" s="217">
        <f t="shared" si="119"/>
        <v>85.160216065161137</v>
      </c>
      <c r="N71" s="217">
        <f t="shared" si="119"/>
        <v>81.542527324679924</v>
      </c>
      <c r="O71" s="150">
        <f t="shared" ref="O71:AA71" si="120">O68-O69</f>
        <v>69.661088956544148</v>
      </c>
      <c r="P71" s="250">
        <f t="shared" si="120"/>
        <v>57.978172785671859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H1" activePane="topRight" state="frozen"/>
      <selection pane="topRight" activeCell="I5" sqref="I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main!L$40/1000</f>
        <v>1084</v>
      </c>
      <c r="L2" s="102">
        <f>main!L$42/1000</f>
        <v>822.93333333333328</v>
      </c>
      <c r="M2" s="102">
        <f>main!L$46/1000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main!M$40/1000</f>
        <v>881.35400000000004</v>
      </c>
      <c r="L3" s="102">
        <f>main!M$42/1000</f>
        <v>695.2</v>
      </c>
      <c r="M3" s="102">
        <f>main!M$46/1000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0</v>
      </c>
      <c r="J4" s="151">
        <f>'add-ons calculations'!G68</f>
        <v>303.95100000000002</v>
      </c>
      <c r="K4" s="102">
        <f>main!N$40/1000</f>
        <v>338.26900000000001</v>
      </c>
      <c r="L4" s="102">
        <f>main!N$42/1000</f>
        <v>301.60000000000002</v>
      </c>
      <c r="M4" s="102">
        <f>main!N$46/1000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1287.8874972143794</v>
      </c>
      <c r="H5">
        <v>181.40020106674513</v>
      </c>
      <c r="I5">
        <v>89.587913196559953</v>
      </c>
      <c r="K5" s="102">
        <f>main!O$40/1000</f>
        <v>724</v>
      </c>
      <c r="L5" s="102">
        <f>main!O$42/1000</f>
        <v>664</v>
      </c>
      <c r="M5" s="102">
        <f>main!O$46/1000</f>
        <v>60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2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91.189857921281316</v>
      </c>
      <c r="K6" s="323">
        <f>main!P$40/1000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108.66056724274401</v>
      </c>
      <c r="K7" s="102">
        <f>main!Q$40/1000</f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99.041886971004146</v>
      </c>
      <c r="K8" s="102">
        <f>main!R$40/1000</f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88.930859906418476</v>
      </c>
      <c r="K9" s="102">
        <f>main!S$40/1000</f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85.160216065161137</v>
      </c>
      <c r="K10" s="102">
        <f>main!T$40/1000</f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81.542527324679924</v>
      </c>
      <c r="K11" s="102">
        <f>main!U$40/1000</f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69.661088956544148</v>
      </c>
      <c r="K12" s="102">
        <f>main!V$40/1000</f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57.978172785671859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7" t="s">
        <v>21</v>
      </c>
      <c r="E1" s="327"/>
      <c r="F1" s="327"/>
      <c r="G1" s="327"/>
      <c r="H1" s="327" t="s">
        <v>9</v>
      </c>
      <c r="I1" s="327"/>
      <c r="J1" s="327"/>
      <c r="K1" s="327"/>
      <c r="L1" s="327" t="s">
        <v>10</v>
      </c>
      <c r="M1" s="327"/>
      <c r="N1" s="327"/>
      <c r="O1" s="327"/>
      <c r="P1" s="327" t="s">
        <v>11</v>
      </c>
      <c r="Q1" s="327"/>
      <c r="R1" s="327"/>
      <c r="S1" s="327"/>
      <c r="T1" s="327" t="s">
        <v>266</v>
      </c>
      <c r="U1" s="327"/>
      <c r="V1" s="327"/>
      <c r="W1" s="327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main!F96</f>
        <v>728844</v>
      </c>
      <c r="E5" s="197">
        <f>main!G96</f>
        <v>738714</v>
      </c>
      <c r="F5" s="197">
        <f>main!H96</f>
        <v>755204</v>
      </c>
      <c r="G5" s="197">
        <f>main!I96</f>
        <v>763370</v>
      </c>
      <c r="H5" s="197">
        <f>main!J96</f>
        <v>760967</v>
      </c>
      <c r="I5" s="197">
        <f>main!K96</f>
        <v>767087</v>
      </c>
      <c r="J5" s="197">
        <f>main!L96</f>
        <v>812158</v>
      </c>
      <c r="K5" s="197">
        <f>main!M96</f>
        <v>828480</v>
      </c>
      <c r="L5" s="262">
        <f>main!N96</f>
        <v>818740</v>
      </c>
      <c r="M5" s="262">
        <f>main!O96</f>
        <v>831250.83502466371</v>
      </c>
      <c r="N5" s="262">
        <f>main!P96</f>
        <v>838457.84744285408</v>
      </c>
      <c r="O5" s="262">
        <f>main!Q96</f>
        <v>839187.01967747905</v>
      </c>
      <c r="P5" s="262">
        <f>main!R96</f>
        <v>840286.24682117626</v>
      </c>
      <c r="Q5" s="262">
        <f>main!S96</f>
        <v>841762.8752842095</v>
      </c>
      <c r="R5" s="262">
        <f>main!T96</f>
        <v>843107.97501111636</v>
      </c>
      <c r="S5" s="262">
        <f>main!U96</f>
        <v>844539.45728929248</v>
      </c>
      <c r="T5" s="262">
        <f>main!V96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main!F99</f>
        <v>589819</v>
      </c>
      <c r="E6" s="197">
        <f>main!G99</f>
        <v>599372</v>
      </c>
      <c r="F6" s="197">
        <f>main!H99</f>
        <v>614976</v>
      </c>
      <c r="G6" s="197">
        <f>main!I99</f>
        <v>622265</v>
      </c>
      <c r="H6" s="197">
        <f>main!J99</f>
        <v>619632</v>
      </c>
      <c r="I6" s="197">
        <f>main!K99</f>
        <v>624096</v>
      </c>
      <c r="J6" s="197">
        <f>main!L99</f>
        <v>668823</v>
      </c>
      <c r="K6" s="197">
        <f>main!M99</f>
        <v>683703</v>
      </c>
      <c r="L6" s="35">
        <f>main!N99</f>
        <v>673632</v>
      </c>
      <c r="M6" s="35">
        <f>main!O99</f>
        <v>685780.06502466369</v>
      </c>
      <c r="N6" s="35">
        <f>main!P99</f>
        <v>692623.40051785414</v>
      </c>
      <c r="O6" s="35">
        <f>main!Q99</f>
        <v>692623.40051785414</v>
      </c>
      <c r="P6" s="35">
        <f>main!R99</f>
        <v>692623.40051785414</v>
      </c>
      <c r="Q6" s="35">
        <f>main!S99</f>
        <v>692623.40051785414</v>
      </c>
      <c r="R6" s="35">
        <f>main!T99</f>
        <v>692623.40051785414</v>
      </c>
      <c r="S6" s="35">
        <f>main!U99</f>
        <v>692623.40051785414</v>
      </c>
      <c r="T6" s="35">
        <f>main!V99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5" t="s">
        <v>207</v>
      </c>
      <c r="B1" s="336"/>
      <c r="C1" s="35"/>
      <c r="I1" s="240"/>
      <c r="J1" s="343" t="s">
        <v>280</v>
      </c>
      <c r="V1" s="327"/>
      <c r="W1" s="327"/>
      <c r="X1" s="327"/>
      <c r="Y1" s="327"/>
    </row>
    <row r="2" spans="1:27" x14ac:dyDescent="0.2">
      <c r="A2" s="337" t="s">
        <v>191</v>
      </c>
      <c r="B2" s="126"/>
      <c r="C2" t="s">
        <v>192</v>
      </c>
      <c r="H2" s="95"/>
      <c r="I2" s="241"/>
      <c r="J2" s="343"/>
    </row>
    <row r="3" spans="1:27" x14ac:dyDescent="0.2">
      <c r="A3" s="338"/>
      <c r="B3" s="127"/>
      <c r="C3" t="s">
        <v>193</v>
      </c>
      <c r="H3" s="95"/>
      <c r="I3" s="241"/>
      <c r="J3" s="343"/>
    </row>
    <row r="4" spans="1:27" x14ac:dyDescent="0.2">
      <c r="A4" s="338"/>
      <c r="B4" s="128"/>
      <c r="C4" t="s">
        <v>194</v>
      </c>
      <c r="H4" s="95"/>
      <c r="I4" s="95"/>
      <c r="J4" s="95"/>
    </row>
    <row r="5" spans="1:27" x14ac:dyDescent="0.2">
      <c r="A5" s="339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89.587913196559953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91.189857921281316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108.66056724274401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99.041886971004146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88.930859906418476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85.160216065161137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81.542527324679924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69.661088956544148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57.978172785671859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abSelected="1" topLeftCell="A3" workbookViewId="0">
      <selection activeCell="G16" sqref="G16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7"/>
      <c r="S8" s="348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5"/>
      <c r="N11" s="325"/>
      <c r="O11" s="325"/>
      <c r="P11" s="325"/>
      <c r="Q11" s="325"/>
      <c r="R11" s="3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main!K101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221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8" t="s">
        <v>207</v>
      </c>
      <c r="B1" s="328"/>
      <c r="C1" s="35"/>
      <c r="H1"/>
      <c r="I1"/>
      <c r="J1"/>
      <c r="X1" t="s">
        <v>28</v>
      </c>
      <c r="Z1" s="349" t="s">
        <v>84</v>
      </c>
      <c r="AA1" s="349"/>
      <c r="AB1" s="349"/>
      <c r="AC1" s="327"/>
      <c r="AD1" s="327"/>
      <c r="AE1" s="327"/>
      <c r="AF1" s="327"/>
    </row>
    <row r="2" spans="1:32" x14ac:dyDescent="0.2">
      <c r="A2" s="350" t="s">
        <v>191</v>
      </c>
      <c r="B2" s="107"/>
      <c r="C2" t="s">
        <v>192</v>
      </c>
    </row>
    <row r="3" spans="1:32" x14ac:dyDescent="0.2">
      <c r="A3" s="350"/>
      <c r="B3" s="108"/>
      <c r="C3" t="s">
        <v>193</v>
      </c>
    </row>
    <row r="4" spans="1:32" x14ac:dyDescent="0.2">
      <c r="A4" s="350"/>
      <c r="B4" s="109"/>
      <c r="C4" t="s">
        <v>194</v>
      </c>
    </row>
    <row r="5" spans="1:32" x14ac:dyDescent="0.2">
      <c r="A5" s="350"/>
      <c r="B5" s="98"/>
      <c r="C5" t="s">
        <v>181</v>
      </c>
    </row>
    <row r="7" spans="1:32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2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6" t="s">
        <v>104</v>
      </c>
      <c r="B2" s="356"/>
      <c r="C2" s="356"/>
      <c r="D2" s="356"/>
      <c r="E2" s="356"/>
      <c r="F2" s="356"/>
      <c r="G2" s="356"/>
      <c r="H2" s="356"/>
      <c r="I2" s="356"/>
      <c r="J2" s="356"/>
      <c r="K2" s="77"/>
    </row>
    <row r="3" spans="1:24" x14ac:dyDescent="0.2">
      <c r="A3" s="356" t="s">
        <v>105</v>
      </c>
      <c r="B3" s="356"/>
      <c r="C3" s="356"/>
      <c r="D3" s="356"/>
      <c r="E3" s="356"/>
      <c r="F3" s="356"/>
      <c r="G3" s="356"/>
      <c r="H3" s="356"/>
      <c r="I3" s="356"/>
      <c r="J3" s="356"/>
      <c r="K3" s="77"/>
    </row>
    <row r="4" spans="1:24" ht="16" thickBot="1" x14ac:dyDescent="0.25">
      <c r="A4" s="357"/>
      <c r="B4" s="357"/>
      <c r="C4" s="357"/>
      <c r="D4" s="357"/>
      <c r="E4" s="357"/>
      <c r="F4" s="357"/>
      <c r="G4" s="357"/>
      <c r="H4" s="357"/>
      <c r="I4" s="357"/>
      <c r="J4" s="357"/>
      <c r="K4" s="362" t="s">
        <v>160</v>
      </c>
      <c r="L4" s="362"/>
      <c r="M4" s="362"/>
      <c r="N4" s="362"/>
    </row>
    <row r="5" spans="1:24" x14ac:dyDescent="0.2">
      <c r="A5" s="47"/>
      <c r="B5" s="48"/>
      <c r="C5" s="358" t="s">
        <v>106</v>
      </c>
      <c r="D5" s="359"/>
      <c r="E5" s="359"/>
      <c r="F5" s="359"/>
      <c r="G5" s="359"/>
      <c r="H5" s="359"/>
      <c r="I5" s="359"/>
      <c r="J5" s="360"/>
      <c r="K5" s="78"/>
      <c r="L5" s="361" t="s">
        <v>107</v>
      </c>
      <c r="M5" s="327"/>
      <c r="N5" s="327"/>
    </row>
    <row r="6" spans="1:24" x14ac:dyDescent="0.2">
      <c r="A6" s="1" t="s">
        <v>109</v>
      </c>
      <c r="B6" s="49"/>
      <c r="C6" s="352">
        <v>2020</v>
      </c>
      <c r="D6" s="353"/>
      <c r="E6" s="353"/>
      <c r="F6" s="353"/>
      <c r="G6" s="353"/>
      <c r="H6" s="353"/>
      <c r="I6" s="353"/>
      <c r="J6" s="35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7" t="s">
        <v>9</v>
      </c>
      <c r="L22" s="327"/>
      <c r="M22" s="327"/>
      <c r="N22" s="327"/>
      <c r="O22" s="327" t="s">
        <v>10</v>
      </c>
      <c r="P22" s="327"/>
      <c r="Q22" s="327"/>
      <c r="R22" s="327"/>
      <c r="S22" s="327" t="s">
        <v>11</v>
      </c>
      <c r="T22" s="327"/>
      <c r="U22" s="327"/>
      <c r="V22" s="327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5" t="s">
        <v>108</v>
      </c>
      <c r="L23" s="355"/>
      <c r="M23" s="355"/>
      <c r="N23" s="355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1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1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1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376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4" t="s">
        <v>87</v>
      </c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</row>
    <row r="7" spans="1:18" x14ac:dyDescent="0.2">
      <c r="A7" s="363" t="s">
        <v>88</v>
      </c>
      <c r="B7" s="363"/>
      <c r="C7" s="363"/>
      <c r="D7" s="36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3" t="s">
        <v>89</v>
      </c>
      <c r="C8" s="363"/>
      <c r="D8" s="36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3" t="s">
        <v>90</v>
      </c>
      <c r="C9" s="363"/>
      <c r="D9" s="36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3" t="s">
        <v>91</v>
      </c>
      <c r="C10" s="363"/>
      <c r="D10" s="36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3" t="s">
        <v>58</v>
      </c>
      <c r="C11" s="363"/>
      <c r="D11" s="36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3" t="s">
        <v>34</v>
      </c>
      <c r="D13" s="36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3" t="s">
        <v>89</v>
      </c>
      <c r="C19" s="363"/>
      <c r="D19" s="36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3" t="s">
        <v>90</v>
      </c>
      <c r="C20" s="363"/>
      <c r="D20" s="36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3" t="s">
        <v>91</v>
      </c>
      <c r="C21" s="363"/>
      <c r="D21" s="36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3" t="s">
        <v>58</v>
      </c>
      <c r="C22" s="363"/>
      <c r="D22" s="36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5" t="s">
        <v>95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6" t="s">
        <v>99</v>
      </c>
      <c r="G37" s="366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5" t="s">
        <v>101</v>
      </c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7" t="s">
        <v>34</v>
      </c>
      <c r="S8" s="348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7" t="s">
        <v>42</v>
      </c>
      <c r="E75" s="36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2021-02-24T21:12:45Z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