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BFB8A293-D629-4E7C-998B-AD63E75DD1E7}" xr6:coauthVersionLast="44" xr6:coauthVersionMax="45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6" l="1"/>
  <c r="Z77" i="1"/>
  <c r="Y77" i="1"/>
  <c r="X77" i="1"/>
  <c r="W77" i="1"/>
  <c r="V77" i="1"/>
  <c r="U77" i="1"/>
  <c r="T77" i="1"/>
  <c r="S77" i="1"/>
  <c r="R77" i="1"/>
  <c r="Q77" i="1"/>
  <c r="P77" i="1"/>
  <c r="Z76" i="1"/>
  <c r="Y76" i="1"/>
  <c r="X76" i="1"/>
  <c r="W76" i="1"/>
  <c r="V76" i="1"/>
  <c r="U76" i="1"/>
  <c r="T76" i="1"/>
  <c r="S76" i="1"/>
  <c r="R76" i="1"/>
  <c r="Q76" i="1"/>
  <c r="P76" i="1"/>
  <c r="Z75" i="1"/>
  <c r="Y75" i="1"/>
  <c r="X75" i="1"/>
  <c r="W75" i="1"/>
  <c r="V75" i="1"/>
  <c r="U75" i="1"/>
  <c r="T75" i="1"/>
  <c r="S75" i="1"/>
  <c r="R75" i="1"/>
  <c r="Q75" i="1"/>
  <c r="P75" i="1"/>
  <c r="O77" i="1"/>
  <c r="O76" i="1"/>
  <c r="O75" i="1"/>
  <c r="Z74" i="1"/>
  <c r="Y74" i="1"/>
  <c r="X74" i="1"/>
  <c r="W74" i="1"/>
  <c r="V74" i="1"/>
  <c r="U74" i="1"/>
  <c r="T74" i="1"/>
  <c r="S74" i="1"/>
  <c r="R74" i="1"/>
  <c r="Q74" i="1"/>
  <c r="P74" i="1"/>
  <c r="O74" i="1"/>
  <c r="O62" i="1"/>
  <c r="V51" i="1"/>
  <c r="V62" i="1"/>
  <c r="U62" i="1"/>
  <c r="T62" i="1"/>
  <c r="S62" i="1"/>
  <c r="P62" i="1"/>
  <c r="Q62" i="1"/>
  <c r="R62" i="1"/>
  <c r="R61" i="1"/>
  <c r="Q61" i="1"/>
  <c r="P61" i="1"/>
  <c r="O61" i="1"/>
  <c r="P60" i="1"/>
  <c r="Q60" i="1"/>
  <c r="O60" i="1"/>
  <c r="O59" i="1"/>
  <c r="P59" i="1"/>
  <c r="Q59" i="1"/>
  <c r="O41" i="1"/>
  <c r="P34" i="1"/>
  <c r="O34" i="1"/>
  <c r="R35" i="1"/>
  <c r="Q35" i="1"/>
  <c r="P35" i="1"/>
  <c r="O35" i="1"/>
  <c r="O33" i="1"/>
  <c r="C20" i="16"/>
  <c r="C19" i="16"/>
  <c r="C18" i="16"/>
  <c r="C17" i="16"/>
  <c r="C16" i="16"/>
  <c r="B16" i="16"/>
  <c r="C15" i="16"/>
  <c r="B13" i="16"/>
  <c r="C13" i="16" s="1"/>
  <c r="B10" i="16"/>
  <c r="C10" i="16" s="1"/>
  <c r="C9" i="16"/>
  <c r="C8" i="16"/>
  <c r="Q85" i="1" s="1"/>
  <c r="C7" i="16"/>
  <c r="C14" i="16"/>
  <c r="C12" i="16"/>
  <c r="C11" i="16"/>
  <c r="C6" i="16"/>
  <c r="C5" i="16"/>
  <c r="C4" i="16"/>
  <c r="C3" i="16"/>
  <c r="C2" i="16"/>
  <c r="R85" i="1"/>
  <c r="Q86" i="1"/>
  <c r="R86" i="1"/>
  <c r="R84" i="1"/>
  <c r="Q84" i="1"/>
  <c r="P84" i="1"/>
  <c r="P85" i="1"/>
  <c r="P86" i="1"/>
  <c r="O85" i="1"/>
  <c r="O86" i="1"/>
  <c r="O84" i="1"/>
  <c r="M87" i="1"/>
  <c r="AD87" i="1" s="1"/>
  <c r="AC87" i="1"/>
  <c r="AI87" i="1"/>
  <c r="AJ87" i="1"/>
  <c r="AK87" i="1"/>
  <c r="W88" i="1"/>
  <c r="X88" i="1"/>
  <c r="Y88" i="1"/>
  <c r="Z88" i="1"/>
  <c r="S51" i="1"/>
  <c r="O51" i="1" l="1"/>
  <c r="Q83" i="1"/>
  <c r="P83" i="1"/>
  <c r="O83" i="1"/>
  <c r="R83" i="1"/>
  <c r="W50" i="1"/>
  <c r="X50" i="1"/>
  <c r="Y50" i="1"/>
  <c r="Z50" i="1"/>
  <c r="Z89" i="1"/>
  <c r="N68" i="1"/>
  <c r="P73" i="1"/>
  <c r="P68" i="1" s="1"/>
  <c r="Q73" i="1"/>
  <c r="Q68" i="1" s="1"/>
  <c r="R73" i="1"/>
  <c r="R68" i="1" s="1"/>
  <c r="S73" i="1"/>
  <c r="S68" i="1" s="1"/>
  <c r="T73" i="1"/>
  <c r="T68" i="1" s="1"/>
  <c r="U73" i="1"/>
  <c r="U68" i="1" s="1"/>
  <c r="V73" i="1"/>
  <c r="V68" i="1" s="1"/>
  <c r="W73" i="1"/>
  <c r="W68" i="1" s="1"/>
  <c r="X73" i="1"/>
  <c r="X68" i="1" s="1"/>
  <c r="Y73" i="1"/>
  <c r="Y68" i="1" s="1"/>
  <c r="Z73" i="1"/>
  <c r="Z68" i="1" s="1"/>
  <c r="O73" i="1"/>
  <c r="O68" i="1" s="1"/>
  <c r="D27" i="15"/>
  <c r="D28" i="15" s="1"/>
  <c r="C15" i="15" s="1"/>
  <c r="D26" i="15"/>
  <c r="L21" i="15"/>
  <c r="G17" i="15"/>
  <c r="G20" i="15" s="1"/>
  <c r="F17" i="15"/>
  <c r="C17" i="15"/>
  <c r="L16" i="15"/>
  <c r="C16" i="15"/>
  <c r="L15" i="15"/>
  <c r="D6" i="15"/>
  <c r="P6" i="15" s="1"/>
  <c r="C6" i="15"/>
  <c r="D7" i="15" s="1"/>
  <c r="D5" i="15"/>
  <c r="E5" i="15" s="1"/>
  <c r="O2" i="9" l="1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4"/>
  <c r="M17" i="4"/>
  <c r="M39" i="1"/>
  <c r="M38" i="1" s="1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L5" i="15" l="1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Y107" i="1" s="1"/>
  <c r="X105" i="1"/>
  <c r="X107" i="1" s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O7" i="15" l="1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O31" i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T51" i="1" l="1"/>
  <c r="U51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N28" i="4"/>
  <c r="M33" i="4"/>
  <c r="L39" i="1" s="1"/>
  <c r="L38" i="1" s="1"/>
  <c r="AF39" i="1"/>
  <c r="L34" i="4"/>
  <c r="L38" i="4"/>
  <c r="L18" i="4" s="1"/>
  <c r="P18" i="4"/>
  <c r="O42" i="1" s="1"/>
  <c r="O18" i="4"/>
  <c r="N42" i="1" s="1"/>
  <c r="R18" i="4"/>
  <c r="Q42" i="1" s="1"/>
  <c r="N88" i="1" l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L88" i="1"/>
  <c r="E57" i="5" s="1"/>
  <c r="N33" i="4"/>
  <c r="N17" i="4" s="1"/>
  <c r="N10" i="4"/>
  <c r="AE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L2" i="9" l="1" a="1"/>
  <c r="L2" i="9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AE36" i="1"/>
  <c r="H49" i="2"/>
  <c r="H50" i="2" s="1"/>
  <c r="AD39" i="1"/>
  <c r="I49" i="2"/>
  <c r="I50" i="2" s="1"/>
  <c r="Q46" i="1" l="1"/>
  <c r="Q88" i="1" s="1"/>
  <c r="Z24" i="11"/>
  <c r="Y27" i="11"/>
  <c r="AD36" i="1"/>
  <c r="Z71" i="5"/>
  <c r="Y74" i="5"/>
  <c r="L107" i="1"/>
  <c r="E31" i="5" s="1"/>
  <c r="AE14" i="1"/>
  <c r="AF16" i="1"/>
  <c r="AE16" i="1"/>
  <c r="AC64" i="1"/>
  <c r="AC50" i="1"/>
  <c r="AC31" i="1"/>
  <c r="AC30" i="1"/>
  <c r="AG18" i="1"/>
  <c r="AG16" i="1"/>
  <c r="AG14" i="1"/>
  <c r="AG12" i="1"/>
  <c r="R46" i="1" l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O107" i="1" s="1"/>
  <c r="H31" i="5" s="1"/>
  <c r="H34" i="5" s="1"/>
  <c r="M5" i="10"/>
  <c r="H31" i="11" s="1"/>
  <c r="H34" i="11" s="1"/>
  <c r="N105" i="1"/>
  <c r="N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92" i="1"/>
  <c r="P91" i="1"/>
  <c r="Y48" i="11" l="1"/>
  <c r="P105" i="1"/>
  <c r="P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92" i="1"/>
  <c r="Q91" i="1"/>
  <c r="AA48" i="11" l="1"/>
  <c r="Z48" i="11"/>
  <c r="Q105" i="1"/>
  <c r="Q107" i="1" s="1"/>
  <c r="J31" i="5" s="1"/>
  <c r="J34" i="5" s="1"/>
  <c r="O5" i="10"/>
  <c r="J31" i="11" s="1"/>
  <c r="J34" i="11" s="1"/>
  <c r="R24" i="5"/>
  <c r="Q27" i="5"/>
  <c r="W50" i="5"/>
  <c r="V53" i="5"/>
  <c r="S92" i="1"/>
  <c r="R91" i="1"/>
  <c r="G2" i="12" l="1" a="1"/>
  <c r="G2" i="12" s="1"/>
  <c r="R105" i="1"/>
  <c r="R107" i="1" s="1"/>
  <c r="K31" i="5" s="1"/>
  <c r="K34" i="5" s="1"/>
  <c r="P5" i="10"/>
  <c r="K31" i="11" s="1"/>
  <c r="K34" i="11" s="1"/>
  <c r="R27" i="5"/>
  <c r="S24" i="5"/>
  <c r="X50" i="5"/>
  <c r="W53" i="5"/>
  <c r="S91" i="1"/>
  <c r="T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S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91" i="1"/>
  <c r="U92" i="1"/>
  <c r="L34" i="11" l="1"/>
  <c r="M31" i="11"/>
  <c r="T105" i="1"/>
  <c r="T107" i="1" s="1"/>
  <c r="R5" i="10"/>
  <c r="U91" i="1"/>
  <c r="V92" i="1"/>
  <c r="V91" i="1" s="1"/>
  <c r="T27" i="5"/>
  <c r="U24" i="5"/>
  <c r="L34" i="5"/>
  <c r="Z50" i="5"/>
  <c r="Y53" i="5"/>
  <c r="N31" i="11" l="1"/>
  <c r="M34" i="11"/>
  <c r="V105" i="1"/>
  <c r="V107" i="1" s="1"/>
  <c r="T5" i="10"/>
  <c r="U105" i="1"/>
  <c r="U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3" authorId="1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2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3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4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5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6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7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8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9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0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1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4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5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6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7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8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19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0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1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2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3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<sst xmlns="http://schemas.openxmlformats.org/spreadsheetml/2006/main" count="998" uniqueCount="374">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</sst>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tabSelected="1" zoomScale="110" zoomScaleNormal="11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P80" sqref="P80"/>
    </sheetView>
  </sheetViews>
  <sheetFormatPr defaultColWidth="8.81640625" defaultRowHeight="14.5" x14ac:dyDescent="0.35"/>
  <cols>
    <col min="1" max="1" width="29.906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9" max="39" width="8.6328125" style="146"/>
  </cols>
  <sheetData>
    <row r="1" spans="1:43" ht="18.5" x14ac:dyDescent="0.45">
      <c r="A1" s="302" t="s">
        <v>163</v>
      </c>
      <c r="B1" s="302"/>
      <c r="C1" s="280"/>
      <c r="D1" s="280"/>
      <c r="E1" s="35"/>
      <c r="M1" t="s">
        <v>337</v>
      </c>
      <c r="AC1" s="179" t="s">
        <v>249</v>
      </c>
      <c r="AD1" s="304" t="s">
        <v>247</v>
      </c>
      <c r="AE1" s="304"/>
      <c r="AF1" s="304"/>
      <c r="AG1" t="s">
        <v>28</v>
      </c>
      <c r="AI1" s="305" t="s">
        <v>281</v>
      </c>
      <c r="AJ1" s="305"/>
      <c r="AK1" s="305"/>
      <c r="AL1" s="305"/>
      <c r="AM1" s="303" t="s">
        <v>279</v>
      </c>
      <c r="AN1" s="303"/>
      <c r="AO1" s="303"/>
      <c r="AP1" s="303"/>
    </row>
    <row r="2" spans="1:43" x14ac:dyDescent="0.35">
      <c r="F2" s="301" t="s">
        <v>21</v>
      </c>
      <c r="G2" s="301"/>
      <c r="H2" s="301"/>
      <c r="I2" s="301"/>
      <c r="J2" s="301" t="s">
        <v>9</v>
      </c>
      <c r="K2" s="301"/>
      <c r="L2" s="301"/>
      <c r="M2" s="301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268</v>
      </c>
      <c r="W2" s="301"/>
      <c r="X2" s="301"/>
      <c r="Y2" s="301"/>
      <c r="Z2" s="229"/>
      <c r="AA2" s="298"/>
      <c r="AB2" s="229"/>
      <c r="AC2" s="156"/>
      <c r="AD2" s="301" t="s">
        <v>102</v>
      </c>
      <c r="AE2" s="301"/>
      <c r="AF2" s="301"/>
      <c r="AG2" s="156"/>
      <c r="AH2" s="156" t="s">
        <v>21</v>
      </c>
      <c r="AI2" s="301" t="s">
        <v>102</v>
      </c>
      <c r="AJ2" s="301"/>
      <c r="AK2" s="301"/>
      <c r="AL2" s="230"/>
    </row>
    <row r="3" spans="1:43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8.5" x14ac:dyDescent="0.45">
      <c r="A4" s="300" t="s">
        <v>264</v>
      </c>
      <c r="B4" s="300"/>
      <c r="C4" s="280"/>
      <c r="D4" s="280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3">
      <c r="A6" s="170" t="s">
        <v>216</v>
      </c>
      <c r="C6" s="281"/>
      <c r="D6" s="281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35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D11" s="146"/>
      <c r="AI11" s="146"/>
    </row>
    <row r="12" spans="1:43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1695.825</v>
      </c>
      <c r="AE12" s="45">
        <f>AVERAGE(N12:Q12)</f>
        <v>1883.0203657405443</v>
      </c>
      <c r="AF12" s="45">
        <f>AVERAGE(R12:U12)</f>
        <v>1978.5558845578876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35">
      <c r="A13" s="219" t="s">
        <v>216</v>
      </c>
      <c r="C13" s="281"/>
      <c r="D13" s="281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35">
      <c r="A15" s="219" t="s">
        <v>216</v>
      </c>
      <c r="C15" s="281"/>
      <c r="D15" s="281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1410.9210000000003</v>
      </c>
      <c r="AE16" s="45">
        <f>AVERAGE(N16:Q16)</f>
        <v>1465.655886794854</v>
      </c>
      <c r="AF16" s="45">
        <f>AVERAGE(R16:U16)</f>
        <v>1543.257446916881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35">
      <c r="A17" s="219" t="s">
        <v>216</v>
      </c>
      <c r="C17" s="281"/>
      <c r="D17" s="281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196.75</v>
      </c>
      <c r="AE18" s="45">
        <f>AVERAGE(N18:Q18)</f>
        <v>215.21475611492184</v>
      </c>
      <c r="AF18" s="45">
        <f>AVERAGE(R18:U18)</f>
        <v>255.09194929392049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35">
      <c r="A19" s="178" t="s">
        <v>216</v>
      </c>
      <c r="C19" s="281"/>
      <c r="D19" s="281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35">
      <c r="A20" s="170"/>
      <c r="C20" s="281"/>
      <c r="D20" s="281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35">
      <c r="A21" t="s">
        <v>265</v>
      </c>
      <c r="C21" s="281"/>
      <c r="D21" s="281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9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9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9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9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9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35">
      <c r="A28" s="196"/>
      <c r="B28" s="197"/>
      <c r="C28" s="281"/>
      <c r="D28" s="281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N31+N36+N46</f>
        <v>2847845.8319988288</v>
      </c>
      <c r="O30" s="44">
        <f t="shared" ref="O30:U30" si="19">O31+O36+O46</f>
        <v>3232064.9561336781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</f>
        <v>863499.75597117806</v>
      </c>
      <c r="P31" s="87">
        <f>O31*((($AJ$31/$AI$31)^0.25))</f>
        <v>874074.254602495</v>
      </c>
      <c r="Q31" s="87">
        <f>P31*((($AJ$31/$AI$31)^0.25))</f>
        <v>884778.24953132728</v>
      </c>
      <c r="R31" s="87">
        <f>Q31*((($AK$31/$AJ$31)^0.25))</f>
        <v>913710.09912095172</v>
      </c>
      <c r="S31" s="87">
        <f>R31*((($AK$31/$AJ$31)^0.25))</f>
        <v>943588.00713947637</v>
      </c>
      <c r="T31" s="87">
        <f>S31*((($AK$31/$AJ$31)^0.25))</f>
        <v>974442.9092707095</v>
      </c>
      <c r="U31" s="87">
        <f>T31*((($AK$31/$AJ$31)^0.25))</f>
        <v>1006306.7527813631</v>
      </c>
      <c r="V31" s="87">
        <f>U31*((($AL$31/$AK$31)^0.25))</f>
        <v>1016447.3981375673</v>
      </c>
      <c r="W31" s="87">
        <f>V31*((($AL$31/$AK$31)^0.25))</f>
        <v>1026690.2317062188</v>
      </c>
      <c r="X31" s="87">
        <f>W31*((($AL$31/$AK$31)^0.25))</f>
        <v>1037036.2832472979</v>
      </c>
      <c r="Y31" s="87">
        <f>X31*((($AL$31/$AK$31)^0.25))</f>
        <v>1047486.5928977706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868.85136177595723</v>
      </c>
      <c r="AF31" s="45">
        <f>AVERAGE(R31:U31)/1000</f>
        <v>959.51194207812523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x14ac:dyDescent="0.35">
      <c r="A32" s="93" t="s">
        <v>342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7" customFormat="1" x14ac:dyDescent="0.35">
      <c r="A33" s="296" t="s">
        <v>343</v>
      </c>
      <c r="F33" s="288"/>
      <c r="G33" s="288"/>
      <c r="H33" s="288"/>
      <c r="I33" s="288"/>
      <c r="J33" s="288"/>
      <c r="K33" s="288"/>
      <c r="L33" s="288"/>
      <c r="M33" s="289"/>
      <c r="N33" s="290"/>
      <c r="O33" s="290">
        <f>'Stimulus Round 2'!C4*4</f>
        <v>664000</v>
      </c>
      <c r="P33" s="290"/>
      <c r="Q33" s="290"/>
      <c r="R33" s="290"/>
      <c r="S33" s="290"/>
      <c r="T33" s="290"/>
      <c r="U33" s="290"/>
      <c r="AD33" s="292"/>
      <c r="AE33" s="292"/>
      <c r="AF33" s="292"/>
      <c r="AG33" s="291"/>
      <c r="AI33" s="291"/>
      <c r="AJ33" s="291"/>
      <c r="AK33" s="291"/>
      <c r="AL33" s="291"/>
      <c r="AM33" s="293"/>
    </row>
    <row r="34" spans="1:41" s="287" customFormat="1" x14ac:dyDescent="0.35">
      <c r="A34" s="296" t="s">
        <v>350</v>
      </c>
      <c r="F34" s="288"/>
      <c r="G34" s="288"/>
      <c r="H34" s="288"/>
      <c r="I34" s="288"/>
      <c r="J34" s="288"/>
      <c r="K34" s="288"/>
      <c r="L34" s="288"/>
      <c r="M34" s="289"/>
      <c r="N34" s="290"/>
      <c r="O34" s="290">
        <f>'Stimulus Round 2'!$C$15*4/2</f>
        <v>52000</v>
      </c>
      <c r="P34" s="290">
        <f>'Stimulus Round 2'!$C$15*4/2</f>
        <v>52000</v>
      </c>
      <c r="Q34" s="290"/>
      <c r="R34" s="290"/>
      <c r="S34" s="290"/>
      <c r="T34" s="290"/>
      <c r="U34" s="290"/>
      <c r="AD34" s="292"/>
      <c r="AE34" s="292"/>
      <c r="AF34" s="292"/>
      <c r="AG34" s="291"/>
      <c r="AI34" s="291"/>
      <c r="AJ34" s="291"/>
      <c r="AK34" s="291"/>
      <c r="AL34" s="291"/>
      <c r="AM34" s="293"/>
    </row>
    <row r="35" spans="1:41" s="287" customFormat="1" x14ac:dyDescent="0.35">
      <c r="A35" s="296" t="s">
        <v>354</v>
      </c>
      <c r="F35" s="288"/>
      <c r="G35" s="288"/>
      <c r="H35" s="288"/>
      <c r="I35" s="288"/>
      <c r="J35" s="288"/>
      <c r="K35" s="288"/>
      <c r="L35" s="288"/>
      <c r="M35" s="289"/>
      <c r="N35" s="290"/>
      <c r="O35" s="290">
        <f>'Stimulus Round 2'!$C$19*4/4</f>
        <v>5000</v>
      </c>
      <c r="P35" s="290">
        <f>'Stimulus Round 2'!$C$19*4/4</f>
        <v>5000</v>
      </c>
      <c r="Q35" s="290">
        <f>'Stimulus Round 2'!$C$19*4/4</f>
        <v>5000</v>
      </c>
      <c r="R35" s="290">
        <f>'Stimulus Round 2'!$C$19*4/4</f>
        <v>5000</v>
      </c>
      <c r="S35" s="290"/>
      <c r="T35" s="290"/>
      <c r="U35" s="290"/>
      <c r="AD35" s="292"/>
      <c r="AE35" s="292"/>
      <c r="AF35" s="292"/>
      <c r="AG35" s="291"/>
      <c r="AI35" s="291"/>
      <c r="AJ35" s="291"/>
      <c r="AK35" s="291"/>
      <c r="AL35" s="291"/>
      <c r="AM35" s="293"/>
    </row>
    <row r="36" spans="1:41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874878</v>
      </c>
      <c r="N36" s="87">
        <f>N38+N42</f>
        <v>337800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514.68875000000003</v>
      </c>
      <c r="AE36" s="45">
        <f t="shared" ref="AE36:AE46" si="21">AVERAGE(N36:Q36)/1000</f>
        <v>314.45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768678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x14ac:dyDescent="0.35">
      <c r="A39" s="282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366.73333333333329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x14ac:dyDescent="0.35">
      <c r="A40" s="282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7" customFormat="1" ht="14.5" customHeight="1" x14ac:dyDescent="0.35">
      <c r="A41" s="286" t="s">
        <v>348</v>
      </c>
      <c r="F41" s="288"/>
      <c r="G41" s="288"/>
      <c r="H41" s="288"/>
      <c r="I41" s="288"/>
      <c r="J41" s="288"/>
      <c r="K41" s="288"/>
      <c r="L41" s="288"/>
      <c r="M41" s="289"/>
      <c r="N41" s="290"/>
      <c r="O41" s="290">
        <f>'Stimulus Round 2'!$C$3*4</f>
        <v>480000</v>
      </c>
      <c r="P41" s="290"/>
      <c r="Q41" s="290"/>
      <c r="R41" s="290"/>
      <c r="S41" s="290"/>
      <c r="T41" s="290"/>
      <c r="U41" s="290"/>
      <c r="V41" s="291"/>
      <c r="W41" s="291"/>
      <c r="X41" s="291"/>
      <c r="Y41" s="291"/>
      <c r="Z41" s="291"/>
      <c r="AA41" s="291"/>
      <c r="AB41" s="291"/>
      <c r="AC41" s="291"/>
      <c r="AD41" s="292"/>
      <c r="AE41" s="292"/>
      <c r="AF41" s="292"/>
      <c r="AG41" s="291"/>
      <c r="AI41" s="291"/>
      <c r="AJ41" s="291"/>
      <c r="AK41" s="291"/>
      <c r="AL41" s="291"/>
      <c r="AM41" s="293"/>
    </row>
    <row r="42" spans="1:41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87">
        <f>1000*'figuring out UI'!O18</f>
        <v>80000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104.4</v>
      </c>
      <c r="AE42" s="45">
        <f t="shared" si="21"/>
        <v>57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1669514</v>
      </c>
      <c r="N46" s="88">
        <f>M46*(1+N48)</f>
        <v>1656992.645</v>
      </c>
      <c r="O46" s="88">
        <f t="shared" ref="O46:Q46" si="27">N46*(1+O48)</f>
        <v>1644565.2001625001</v>
      </c>
      <c r="P46" s="88">
        <f t="shared" si="27"/>
        <v>1632230.9611612814</v>
      </c>
      <c r="Q46" s="88">
        <f t="shared" si="27"/>
        <v>1619989.228952572</v>
      </c>
      <c r="R46" s="88">
        <f>Q46*(1+R48)</f>
        <v>1644289.0673868605</v>
      </c>
      <c r="S46" s="88">
        <f t="shared" ref="S46:U46" si="28">R46*(1+S48)</f>
        <v>1668953.4033976633</v>
      </c>
      <c r="T46" s="88">
        <f t="shared" si="28"/>
        <v>1693987.704448628</v>
      </c>
      <c r="U46" s="88">
        <f t="shared" si="28"/>
        <v>1719397.5200153573</v>
      </c>
      <c r="V46" s="88">
        <f>U46*(1+V48)</f>
        <v>1736591.4952155109</v>
      </c>
      <c r="W46" s="44"/>
      <c r="X46" s="3"/>
      <c r="Y46" s="3"/>
      <c r="Z46" s="3"/>
      <c r="AA46" s="3"/>
      <c r="AB46" s="3"/>
      <c r="AC46" s="3">
        <f>AD30-AD32-AD36-AD31-AD43</f>
        <v>-1671.75325</v>
      </c>
      <c r="AD46" s="45">
        <f>AVERAGE(J46:M46)/1000</f>
        <v>1596.6622500000001</v>
      </c>
      <c r="AE46" s="45">
        <f t="shared" si="21"/>
        <v>1638.4445088190882</v>
      </c>
      <c r="AF46" s="45">
        <f t="shared" si="22"/>
        <v>1681.6569238121272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1671.0682458472502</v>
      </c>
      <c r="AO46">
        <f>AK46/AI46*AD46</f>
        <v>1711.6524753198171</v>
      </c>
    </row>
    <row r="47" spans="1:41" s="171" customFormat="1" x14ac:dyDescent="0.35">
      <c r="A47" s="170" t="s">
        <v>216</v>
      </c>
      <c r="C47" s="281"/>
      <c r="D47" s="281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2.938781628264131E-2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1671.7532500000002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1213308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x14ac:dyDescent="0.35">
      <c r="A52" s="227" t="s">
        <v>340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x14ac:dyDescent="0.35">
      <c r="A53" s="284" t="s">
        <v>338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35">
      <c r="A55" s="285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35">
      <c r="A56" s="285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35">
      <c r="A57" s="285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x14ac:dyDescent="0.35">
      <c r="A58" s="227" t="s">
        <v>341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7" customFormat="1" x14ac:dyDescent="0.35">
      <c r="A59" s="286" t="s">
        <v>339</v>
      </c>
      <c r="F59" s="289"/>
      <c r="G59" s="289"/>
      <c r="H59" s="289"/>
      <c r="I59" s="288"/>
      <c r="J59" s="288"/>
      <c r="K59" s="288"/>
      <c r="L59" s="288"/>
      <c r="M59" s="289"/>
      <c r="N59" s="294"/>
      <c r="O59" s="294">
        <f>'Stimulus Round 2'!$C$2*4/3</f>
        <v>433333.33333333331</v>
      </c>
      <c r="P59" s="294">
        <f>'Stimulus Round 2'!$C$2*4/3</f>
        <v>433333.33333333331</v>
      </c>
      <c r="Q59" s="294">
        <f>'Stimulus Round 2'!$C$2*4/3</f>
        <v>433333.33333333331</v>
      </c>
      <c r="R59" s="294"/>
      <c r="S59" s="294"/>
      <c r="T59" s="294"/>
      <c r="U59" s="294"/>
      <c r="V59" s="294"/>
      <c r="W59" s="291"/>
      <c r="X59" s="291"/>
      <c r="Y59" s="291"/>
      <c r="Z59" s="291"/>
      <c r="AA59" s="291"/>
      <c r="AB59" s="291"/>
      <c r="AC59" s="291"/>
      <c r="AD59" s="291"/>
      <c r="AE59" s="291"/>
      <c r="AF59" s="291"/>
      <c r="AG59" s="291"/>
      <c r="AM59" s="295"/>
    </row>
    <row r="60" spans="1:39" s="287" customFormat="1" x14ac:dyDescent="0.35">
      <c r="A60" s="286" t="s">
        <v>352</v>
      </c>
      <c r="F60" s="289"/>
      <c r="G60" s="289"/>
      <c r="H60" s="289"/>
      <c r="I60" s="288"/>
      <c r="J60" s="288"/>
      <c r="K60" s="288"/>
      <c r="L60" s="288"/>
      <c r="M60" s="289"/>
      <c r="N60" s="294"/>
      <c r="O60" s="294">
        <f>'Stimulus Round 2'!$C$12*4/3</f>
        <v>21333.333333333332</v>
      </c>
      <c r="P60" s="294">
        <f>'Stimulus Round 2'!$C$12*4/3</f>
        <v>21333.333333333332</v>
      </c>
      <c r="Q60" s="294">
        <f>'Stimulus Round 2'!$C$12*4/3</f>
        <v>21333.333333333332</v>
      </c>
      <c r="R60" s="294"/>
      <c r="S60" s="294"/>
      <c r="T60" s="294"/>
      <c r="U60" s="294"/>
      <c r="V60" s="294"/>
      <c r="W60" s="291"/>
      <c r="X60" s="291"/>
      <c r="Y60" s="291"/>
      <c r="Z60" s="291"/>
      <c r="AA60" s="291"/>
      <c r="AB60" s="291"/>
      <c r="AC60" s="291"/>
      <c r="AD60" s="291"/>
      <c r="AE60" s="291"/>
      <c r="AF60" s="291"/>
      <c r="AG60" s="291"/>
      <c r="AM60" s="295"/>
    </row>
    <row r="61" spans="1:39" s="287" customFormat="1" x14ac:dyDescent="0.35">
      <c r="A61" s="286" t="s">
        <v>285</v>
      </c>
      <c r="F61" s="289"/>
      <c r="G61" s="289"/>
      <c r="H61" s="289"/>
      <c r="I61" s="288"/>
      <c r="J61" s="288"/>
      <c r="K61" s="288"/>
      <c r="L61" s="288"/>
      <c r="M61" s="289"/>
      <c r="N61" s="294"/>
      <c r="O61" s="294">
        <f>'Stimulus Round 2'!$C$18*4/4</f>
        <v>20000</v>
      </c>
      <c r="P61" s="294">
        <f>'Stimulus Round 2'!$C$18*4/4</f>
        <v>20000</v>
      </c>
      <c r="Q61" s="294">
        <f>'Stimulus Round 2'!$C$18*4/4</f>
        <v>20000</v>
      </c>
      <c r="R61" s="294">
        <f>'Stimulus Round 2'!$C$18*4/4</f>
        <v>20000</v>
      </c>
      <c r="S61" s="294"/>
      <c r="T61" s="294"/>
      <c r="U61" s="294"/>
      <c r="V61" s="294"/>
      <c r="W61" s="291"/>
      <c r="X61" s="291"/>
      <c r="Y61" s="291"/>
      <c r="Z61" s="291"/>
      <c r="AA61" s="291"/>
      <c r="AB61" s="291"/>
      <c r="AC61" s="291"/>
      <c r="AD61" s="291"/>
      <c r="AE61" s="291"/>
      <c r="AF61" s="291"/>
      <c r="AG61" s="291"/>
      <c r="AM61" s="295"/>
    </row>
    <row r="62" spans="1:39" s="287" customFormat="1" x14ac:dyDescent="0.35">
      <c r="A62" s="286" t="s">
        <v>355</v>
      </c>
      <c r="F62" s="289"/>
      <c r="G62" s="289"/>
      <c r="H62" s="289"/>
      <c r="I62" s="288"/>
      <c r="J62" s="288"/>
      <c r="K62" s="288"/>
      <c r="L62" s="288"/>
      <c r="M62" s="289"/>
      <c r="N62" s="294"/>
      <c r="O62" s="294">
        <f>'Stimulus Round 2'!$C$20*4/8</f>
        <v>2500</v>
      </c>
      <c r="P62" s="294">
        <f>'Stimulus Round 2'!$C$20*4/8</f>
        <v>2500</v>
      </c>
      <c r="Q62" s="294">
        <f>'Stimulus Round 2'!$C$20*4/8</f>
        <v>2500</v>
      </c>
      <c r="R62" s="294">
        <f>'Stimulus Round 2'!$C$20*4/8</f>
        <v>2500</v>
      </c>
      <c r="S62" s="294">
        <f>'Stimulus Round 2'!$C$20*4/8</f>
        <v>2500</v>
      </c>
      <c r="T62" s="294">
        <f>'Stimulus Round 2'!$C$20*4/8</f>
        <v>2500</v>
      </c>
      <c r="U62" s="294">
        <f>'Stimulus Round 2'!$C$20*4/8</f>
        <v>2500</v>
      </c>
      <c r="V62" s="294">
        <f>'Stimulus Round 2'!$C$20*4/8</f>
        <v>2500</v>
      </c>
      <c r="W62" s="291"/>
      <c r="X62" s="291"/>
      <c r="Y62" s="291"/>
      <c r="Z62" s="291"/>
      <c r="AA62" s="291"/>
      <c r="AB62" s="291"/>
      <c r="AC62" s="291"/>
      <c r="AD62" s="291"/>
      <c r="AE62" s="291"/>
      <c r="AF62" s="291"/>
      <c r="AG62" s="291"/>
      <c r="AM62" s="295"/>
    </row>
    <row r="63" spans="1:39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309706.21811040066</v>
      </c>
      <c r="O64" s="116">
        <f>O66+(SUM($M$68:$R$68))/4/6*4</f>
        <v>310474.32878097624</v>
      </c>
      <c r="P64" s="116">
        <f>P66+(SUM($M$68:$R$68))/4/6*4</f>
        <v>311355.76725540578</v>
      </c>
      <c r="Q64" s="116">
        <f>Q66+(SUM($M$68:$R$68))/4/6*4</f>
        <v>312388.30946831079</v>
      </c>
      <c r="R64" s="116">
        <f>R66+(SUM($M$68:$R$68))/4/6*4</f>
        <v>313877.71302658436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35">
      <c r="A65" s="35" t="s">
        <v>229</v>
      </c>
      <c r="F65" s="205">
        <f>F64-F87</f>
        <v>196851</v>
      </c>
      <c r="G65" s="205">
        <f>G64-G87</f>
        <v>189684</v>
      </c>
      <c r="H65" s="205">
        <f>H64-H87</f>
        <v>192875</v>
      </c>
      <c r="I65" s="205">
        <f>I64-I87</f>
        <v>191507</v>
      </c>
      <c r="J65" s="205">
        <f>J64-J87</f>
        <v>203997</v>
      </c>
      <c r="K65" s="205">
        <f>K64-K87</f>
        <v>204376</v>
      </c>
      <c r="L65" s="205">
        <f>L64-L87</f>
        <v>884250</v>
      </c>
      <c r="M65" s="199">
        <f>M64-M87</f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9">
        <f>L66*(1+M82)</f>
        <v>189950.61436735778</v>
      </c>
      <c r="N66" s="116">
        <f>M66*(1+N82)</f>
        <v>191372.88477706735</v>
      </c>
      <c r="O66" s="116">
        <f t="shared" ref="O66:R66" si="33">N66*(1+O82)</f>
        <v>192140.9954476429</v>
      </c>
      <c r="P66" s="116">
        <f t="shared" si="33"/>
        <v>193022.43392207247</v>
      </c>
      <c r="Q66" s="116">
        <f t="shared" si="33"/>
        <v>194054.97613497748</v>
      </c>
      <c r="R66" s="116">
        <f t="shared" si="33"/>
        <v>195544.37969325102</v>
      </c>
      <c r="S66" s="116">
        <f t="shared" ref="S66" si="34">R66*(1+S82)</f>
        <v>197240.80684971521</v>
      </c>
      <c r="T66" s="116">
        <f t="shared" ref="T66" si="35">S66*(1+T82)</f>
        <v>198958.57178194768</v>
      </c>
      <c r="U66" s="116">
        <f t="shared" ref="U66" si="36">T66*(1+U82)</f>
        <v>200866.80125051294</v>
      </c>
      <c r="V66" s="116">
        <f t="shared" ref="V66:X66" si="37">U66*(1+V82)</f>
        <v>202622.47677399646</v>
      </c>
      <c r="W66" s="116">
        <f t="shared" si="37"/>
        <v>204572.45802602731</v>
      </c>
      <c r="X66" s="116">
        <f t="shared" si="37"/>
        <v>206361.5615193437</v>
      </c>
      <c r="Y66" s="116">
        <f t="shared" ref="Y66" si="38">X66*(1+Y82)</f>
        <v>208346.79396445845</v>
      </c>
      <c r="Z66" s="116">
        <f t="shared" ref="Z66" si="39">Y66*(1+Z82)</f>
        <v>214810.11799163782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0">SUM(P70:P72)+P73</f>
        <v>121000</v>
      </c>
      <c r="Q68" s="116">
        <f t="shared" si="40"/>
        <v>121000</v>
      </c>
      <c r="R68" s="116">
        <f t="shared" si="40"/>
        <v>115000</v>
      </c>
      <c r="S68" s="116">
        <f t="shared" si="40"/>
        <v>109000</v>
      </c>
      <c r="T68" s="116">
        <f t="shared" si="40"/>
        <v>109000</v>
      </c>
      <c r="U68" s="116">
        <f t="shared" si="40"/>
        <v>109000</v>
      </c>
      <c r="V68" s="116">
        <f t="shared" si="40"/>
        <v>109000</v>
      </c>
      <c r="W68" s="116">
        <f t="shared" si="40"/>
        <v>109000</v>
      </c>
      <c r="X68" s="116">
        <f t="shared" si="40"/>
        <v>59000</v>
      </c>
      <c r="Y68" s="116">
        <f t="shared" si="40"/>
        <v>59000</v>
      </c>
      <c r="Z68" s="116">
        <f t="shared" si="40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x14ac:dyDescent="0.35">
      <c r="A69" s="227" t="s">
        <v>344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35">
      <c r="A73" s="228" t="s">
        <v>345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1">SUM(P74:P77)</f>
        <v>59000</v>
      </c>
      <c r="Q73" s="116">
        <f t="shared" si="41"/>
        <v>59000</v>
      </c>
      <c r="R73" s="116">
        <f t="shared" si="41"/>
        <v>59000</v>
      </c>
      <c r="S73" s="116">
        <f t="shared" si="41"/>
        <v>59000</v>
      </c>
      <c r="T73" s="116">
        <f t="shared" si="41"/>
        <v>59000</v>
      </c>
      <c r="U73" s="116">
        <f t="shared" si="41"/>
        <v>59000</v>
      </c>
      <c r="V73" s="116">
        <f t="shared" si="41"/>
        <v>59000</v>
      </c>
      <c r="W73" s="116">
        <f t="shared" si="41"/>
        <v>59000</v>
      </c>
      <c r="X73" s="116">
        <f t="shared" si="41"/>
        <v>59000</v>
      </c>
      <c r="Y73" s="116">
        <f t="shared" si="41"/>
        <v>59000</v>
      </c>
      <c r="Z73" s="116">
        <f t="shared" si="41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7" customFormat="1" x14ac:dyDescent="0.35">
      <c r="A74" s="297" t="s">
        <v>346</v>
      </c>
      <c r="F74" s="289"/>
      <c r="G74" s="289"/>
      <c r="H74" s="289"/>
      <c r="I74" s="288"/>
      <c r="J74" s="288"/>
      <c r="K74" s="288"/>
      <c r="L74" s="288"/>
      <c r="M74" s="289"/>
      <c r="N74" s="294"/>
      <c r="O74" s="294">
        <f>'Stimulus Round 2'!$C$13*4/12</f>
        <v>9666.6666666666661</v>
      </c>
      <c r="P74" s="294">
        <f>'Stimulus Round 2'!$C$13*4/12</f>
        <v>9666.6666666666661</v>
      </c>
      <c r="Q74" s="294">
        <f>'Stimulus Round 2'!$C$13*4/12</f>
        <v>9666.6666666666661</v>
      </c>
      <c r="R74" s="294">
        <f>'Stimulus Round 2'!$C$13*4/12</f>
        <v>9666.6666666666661</v>
      </c>
      <c r="S74" s="294">
        <f>'Stimulus Round 2'!$C$13*4/12</f>
        <v>9666.6666666666661</v>
      </c>
      <c r="T74" s="294">
        <f>'Stimulus Round 2'!$C$13*4/12</f>
        <v>9666.6666666666661</v>
      </c>
      <c r="U74" s="294">
        <f>'Stimulus Round 2'!$C$13*4/12</f>
        <v>9666.6666666666661</v>
      </c>
      <c r="V74" s="294">
        <f>'Stimulus Round 2'!$C$13*4/12</f>
        <v>9666.6666666666661</v>
      </c>
      <c r="W74" s="294">
        <f>'Stimulus Round 2'!$C$13*4/12</f>
        <v>9666.6666666666661</v>
      </c>
      <c r="X74" s="294">
        <f>'Stimulus Round 2'!$C$13*4/12</f>
        <v>9666.6666666666661</v>
      </c>
      <c r="Y74" s="294">
        <f>'Stimulus Round 2'!$C$13*4/12</f>
        <v>9666.6666666666661</v>
      </c>
      <c r="Z74" s="294">
        <f>'Stimulus Round 2'!$C$13*4/12</f>
        <v>9666.6666666666661</v>
      </c>
      <c r="AA74" s="291"/>
      <c r="AB74" s="291"/>
      <c r="AC74" s="291"/>
      <c r="AD74" s="291"/>
      <c r="AE74" s="291"/>
      <c r="AF74" s="291"/>
      <c r="AG74" s="291"/>
      <c r="AM74" s="295"/>
    </row>
    <row r="75" spans="1:39" s="287" customFormat="1" x14ac:dyDescent="0.35">
      <c r="A75" s="297" t="s">
        <v>347</v>
      </c>
      <c r="F75" s="289"/>
      <c r="G75" s="289"/>
      <c r="H75" s="289"/>
      <c r="I75" s="288"/>
      <c r="J75" s="288"/>
      <c r="K75" s="288"/>
      <c r="L75" s="288"/>
      <c r="M75" s="289"/>
      <c r="N75" s="294"/>
      <c r="O75" s="294">
        <f>'Stimulus Round 2'!$C$5*4/12</f>
        <v>27333.333333333332</v>
      </c>
      <c r="P75" s="294">
        <f>'Stimulus Round 2'!$C$5*4/12</f>
        <v>27333.333333333332</v>
      </c>
      <c r="Q75" s="294">
        <f>'Stimulus Round 2'!$C$5*4/12</f>
        <v>27333.333333333332</v>
      </c>
      <c r="R75" s="294">
        <f>'Stimulus Round 2'!$C$5*4/12</f>
        <v>27333.333333333332</v>
      </c>
      <c r="S75" s="294">
        <f>'Stimulus Round 2'!$C$5*4/12</f>
        <v>27333.333333333332</v>
      </c>
      <c r="T75" s="294">
        <f>'Stimulus Round 2'!$C$5*4/12</f>
        <v>27333.333333333332</v>
      </c>
      <c r="U75" s="294">
        <f>'Stimulus Round 2'!$C$5*4/12</f>
        <v>27333.333333333332</v>
      </c>
      <c r="V75" s="294">
        <f>'Stimulus Round 2'!$C$5*4/12</f>
        <v>27333.333333333332</v>
      </c>
      <c r="W75" s="294">
        <f>'Stimulus Round 2'!$C$5*4/12</f>
        <v>27333.333333333332</v>
      </c>
      <c r="X75" s="294">
        <f>'Stimulus Round 2'!$C$5*4/12</f>
        <v>27333.333333333332</v>
      </c>
      <c r="Y75" s="294">
        <f>'Stimulus Round 2'!$C$5*4/12</f>
        <v>27333.333333333332</v>
      </c>
      <c r="Z75" s="294">
        <f>'Stimulus Round 2'!$C$5*4/12</f>
        <v>27333.333333333332</v>
      </c>
      <c r="AA75" s="291"/>
      <c r="AB75" s="291"/>
      <c r="AC75" s="291"/>
      <c r="AD75" s="291"/>
      <c r="AE75" s="291"/>
      <c r="AF75" s="291"/>
      <c r="AG75" s="291"/>
      <c r="AM75" s="295"/>
    </row>
    <row r="76" spans="1:39" s="287" customFormat="1" x14ac:dyDescent="0.35">
      <c r="A76" s="297" t="s">
        <v>351</v>
      </c>
      <c r="F76" s="289"/>
      <c r="G76" s="289"/>
      <c r="H76" s="289"/>
      <c r="I76" s="288"/>
      <c r="J76" s="288"/>
      <c r="K76" s="288"/>
      <c r="L76" s="288"/>
      <c r="M76" s="289"/>
      <c r="N76" s="294"/>
      <c r="O76" s="294">
        <f>'Stimulus Round 2'!$C$10*4/12</f>
        <v>4000</v>
      </c>
      <c r="P76" s="294">
        <f>'Stimulus Round 2'!$C$10*4/12</f>
        <v>4000</v>
      </c>
      <c r="Q76" s="294">
        <f>'Stimulus Round 2'!$C$10*4/12</f>
        <v>4000</v>
      </c>
      <c r="R76" s="294">
        <f>'Stimulus Round 2'!$C$10*4/12</f>
        <v>4000</v>
      </c>
      <c r="S76" s="294">
        <f>'Stimulus Round 2'!$C$10*4/12</f>
        <v>4000</v>
      </c>
      <c r="T76" s="294">
        <f>'Stimulus Round 2'!$C$10*4/12</f>
        <v>4000</v>
      </c>
      <c r="U76" s="294">
        <f>'Stimulus Round 2'!$C$10*4/12</f>
        <v>4000</v>
      </c>
      <c r="V76" s="294">
        <f>'Stimulus Round 2'!$C$10*4/12</f>
        <v>4000</v>
      </c>
      <c r="W76" s="294">
        <f>'Stimulus Round 2'!$C$10*4/12</f>
        <v>4000</v>
      </c>
      <c r="X76" s="294">
        <f>'Stimulus Round 2'!$C$10*4/12</f>
        <v>4000</v>
      </c>
      <c r="Y76" s="294">
        <f>'Stimulus Round 2'!$C$10*4/12</f>
        <v>4000</v>
      </c>
      <c r="Z76" s="294">
        <f>'Stimulus Round 2'!$C$10*4/12</f>
        <v>4000</v>
      </c>
      <c r="AA76" s="291"/>
      <c r="AB76" s="291"/>
      <c r="AC76" s="291"/>
      <c r="AD76" s="291"/>
      <c r="AE76" s="291"/>
      <c r="AF76" s="291"/>
      <c r="AG76" s="291"/>
      <c r="AM76" s="295"/>
    </row>
    <row r="77" spans="1:39" s="287" customFormat="1" x14ac:dyDescent="0.35">
      <c r="A77" s="297" t="s">
        <v>353</v>
      </c>
      <c r="F77" s="289"/>
      <c r="G77" s="289"/>
      <c r="H77" s="289"/>
      <c r="I77" s="288"/>
      <c r="J77" s="288"/>
      <c r="K77" s="288"/>
      <c r="L77" s="288"/>
      <c r="M77" s="289"/>
      <c r="N77" s="294"/>
      <c r="O77" s="294">
        <f>'Stimulus Round 2'!$C$16*4/12</f>
        <v>18000</v>
      </c>
      <c r="P77" s="294">
        <f>'Stimulus Round 2'!$C$16*4/12</f>
        <v>18000</v>
      </c>
      <c r="Q77" s="294">
        <f>'Stimulus Round 2'!$C$16*4/12</f>
        <v>18000</v>
      </c>
      <c r="R77" s="294">
        <f>'Stimulus Round 2'!$C$16*4/12</f>
        <v>18000</v>
      </c>
      <c r="S77" s="294">
        <f>'Stimulus Round 2'!$C$16*4/12</f>
        <v>18000</v>
      </c>
      <c r="T77" s="294">
        <f>'Stimulus Round 2'!$C$16*4/12</f>
        <v>18000</v>
      </c>
      <c r="U77" s="294">
        <f>'Stimulus Round 2'!$C$16*4/12</f>
        <v>18000</v>
      </c>
      <c r="V77" s="294">
        <f>'Stimulus Round 2'!$C$16*4/12</f>
        <v>18000</v>
      </c>
      <c r="W77" s="294">
        <f>'Stimulus Round 2'!$C$16*4/12</f>
        <v>18000</v>
      </c>
      <c r="X77" s="294">
        <f>'Stimulus Round 2'!$C$16*4/12</f>
        <v>18000</v>
      </c>
      <c r="Y77" s="294">
        <f>'Stimulus Round 2'!$C$16*4/12</f>
        <v>18000</v>
      </c>
      <c r="Z77" s="294">
        <f>'Stimulus Round 2'!$C$16*4/12</f>
        <v>18000</v>
      </c>
      <c r="AA77" s="291"/>
      <c r="AB77" s="291"/>
      <c r="AC77" s="291"/>
      <c r="AD77" s="291"/>
      <c r="AE77" s="291"/>
      <c r="AF77" s="291"/>
      <c r="AG77" s="291"/>
      <c r="AM77" s="295"/>
    </row>
    <row r="78" spans="1:39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2">M66+M68</f>
        <v>286950.6143673578</v>
      </c>
      <c r="N78" s="144">
        <f t="shared" si="42"/>
        <v>298372.88477706735</v>
      </c>
      <c r="O78" s="144">
        <f t="shared" si="42"/>
        <v>341140.99544764287</v>
      </c>
      <c r="P78" s="144">
        <f t="shared" si="42"/>
        <v>314022.43392207247</v>
      </c>
      <c r="Q78" s="144">
        <f t="shared" si="42"/>
        <v>315054.97613497748</v>
      </c>
      <c r="R78" s="144">
        <f t="shared" si="42"/>
        <v>310544.37969325099</v>
      </c>
      <c r="S78" s="144">
        <f t="shared" si="42"/>
        <v>306240.80684971518</v>
      </c>
      <c r="T78" s="144">
        <f t="shared" si="42"/>
        <v>307958.57178194768</v>
      </c>
      <c r="U78" s="144">
        <f t="shared" si="42"/>
        <v>309866.80125051294</v>
      </c>
      <c r="V78" s="144">
        <f t="shared" si="42"/>
        <v>311622.47677399649</v>
      </c>
      <c r="W78" s="144">
        <f t="shared" si="42"/>
        <v>313572.45802602731</v>
      </c>
      <c r="X78" s="144">
        <f t="shared" si="42"/>
        <v>265361.5615193437</v>
      </c>
      <c r="Y78" s="144">
        <f t="shared" si="42"/>
        <v>267346.79396445845</v>
      </c>
      <c r="Z78" s="144">
        <f t="shared" si="42"/>
        <v>273810.11799163779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1335.3219999999999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1486.8019999999999</v>
      </c>
      <c r="N81">
        <v>1497.93454882981</v>
      </c>
      <c r="O81">
        <v>1503.94678777432</v>
      </c>
      <c r="P81">
        <v>1510.84607836637</v>
      </c>
      <c r="Q81">
        <v>1518.9281044884999</v>
      </c>
      <c r="R81">
        <v>1530.5861251620499</v>
      </c>
      <c r="S81">
        <v>1543.8645833417499</v>
      </c>
      <c r="T81">
        <v>1557.3100588685299</v>
      </c>
      <c r="U81">
        <v>1572.24635902092</v>
      </c>
      <c r="V81">
        <v>1585.9885724291801</v>
      </c>
      <c r="W81">
        <v>1601.2516766583401</v>
      </c>
      <c r="X81">
        <v>1615.2555410887301</v>
      </c>
      <c r="Y81">
        <v>1630.7945672703099</v>
      </c>
      <c r="Z81">
        <v>1681.38499637876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3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-1.1960393407761893E-2</v>
      </c>
      <c r="N82" s="188">
        <f>N81/M81-1</f>
        <v>7.4875799399045651E-3</v>
      </c>
      <c r="O82" s="188">
        <f t="shared" ref="O82:V82" si="43">O81/N81-1</f>
        <v>4.0136860113193507E-3</v>
      </c>
      <c r="P82" s="188">
        <f t="shared" si="43"/>
        <v>4.5874565829953085E-3</v>
      </c>
      <c r="Q82" s="188">
        <f t="shared" si="43"/>
        <v>5.3493378563544969E-3</v>
      </c>
      <c r="R82" s="188">
        <f t="shared" si="43"/>
        <v>7.6751629251576858E-3</v>
      </c>
      <c r="S82" s="188">
        <f t="shared" si="43"/>
        <v>8.675407388979206E-3</v>
      </c>
      <c r="T82" s="188">
        <f t="shared" si="43"/>
        <v>8.7089733593581631E-3</v>
      </c>
      <c r="U82" s="188">
        <f t="shared" si="43"/>
        <v>9.5910894990571816E-3</v>
      </c>
      <c r="V82" s="188">
        <f t="shared" si="43"/>
        <v>8.7404962520107876E-3</v>
      </c>
      <c r="W82" s="188">
        <f t="shared" ref="W82" si="44">W81/V81-1</f>
        <v>9.6237163965073869E-3</v>
      </c>
      <c r="X82" s="188">
        <f t="shared" ref="X82" si="45">X81/W81-1</f>
        <v>8.7455736250123817E-3</v>
      </c>
      <c r="Y82" s="188">
        <f>Y81/X81-1</f>
        <v>9.6201658414407643E-3</v>
      </c>
      <c r="Z82" s="188">
        <f t="shared" ref="Z82" si="46">Z81/Y81-1</f>
        <v>3.1021950970274714E-2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35">
      <c r="A83" s="114" t="s">
        <v>360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7">SUM(P84:P86)</f>
        <v>71400</v>
      </c>
      <c r="Q83" s="102">
        <f t="shared" si="47"/>
        <v>30600</v>
      </c>
      <c r="R83" s="102">
        <f t="shared" si="47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41" customFormat="1" x14ac:dyDescent="0.35">
      <c r="A84" s="340" t="s">
        <v>356</v>
      </c>
      <c r="F84" s="342"/>
      <c r="G84" s="342"/>
      <c r="H84" s="342"/>
      <c r="I84" s="342"/>
      <c r="J84" s="342"/>
      <c r="K84" s="342"/>
      <c r="L84" s="342"/>
      <c r="M84" s="343"/>
      <c r="N84" s="344"/>
      <c r="O84" s="294">
        <f>('Stimulus Round 2'!$C7*0.7*4)/2</f>
        <v>30799.999999999996</v>
      </c>
      <c r="P84" s="294">
        <f>('Stimulus Round 2'!$C7*0.7*4)/2</f>
        <v>30799.999999999996</v>
      </c>
      <c r="Q84" s="294">
        <f>('Stimulus Round 2'!$C7*0.3*4)/2</f>
        <v>13200</v>
      </c>
      <c r="R84" s="294">
        <f>('Stimulus Round 2'!$C7*0.3*4)/2</f>
        <v>13200</v>
      </c>
      <c r="S84" s="344"/>
      <c r="T84" s="344"/>
      <c r="U84" s="344"/>
      <c r="V84" s="344"/>
      <c r="W84" s="344"/>
      <c r="X84" s="344"/>
      <c r="Y84" s="344"/>
      <c r="Z84" s="344"/>
      <c r="AA84" s="344"/>
      <c r="AB84" s="344"/>
      <c r="AE84" s="345"/>
      <c r="AF84" s="345"/>
      <c r="AG84" s="345"/>
      <c r="AI84" s="345"/>
      <c r="AJ84" s="345"/>
      <c r="AK84" s="345"/>
      <c r="AL84" s="345"/>
      <c r="AM84" s="346"/>
    </row>
    <row r="85" spans="1:39" s="341" customFormat="1" x14ac:dyDescent="0.35">
      <c r="A85" s="340" t="s">
        <v>357</v>
      </c>
      <c r="F85" s="342"/>
      <c r="G85" s="342"/>
      <c r="H85" s="342"/>
      <c r="I85" s="342"/>
      <c r="J85" s="342"/>
      <c r="K85" s="342"/>
      <c r="L85" s="342"/>
      <c r="M85" s="343"/>
      <c r="N85" s="344"/>
      <c r="O85" s="294">
        <f>('Stimulus Round 2'!$C8*0.7*4)/2</f>
        <v>28000</v>
      </c>
      <c r="P85" s="294">
        <f>('Stimulus Round 2'!$C8*0.7*4)/2</f>
        <v>28000</v>
      </c>
      <c r="Q85" s="294">
        <f>('Stimulus Round 2'!$C8*0.3*4)/2</f>
        <v>12000</v>
      </c>
      <c r="R85" s="294">
        <f>('Stimulus Round 2'!$C8*0.3*4)/2</f>
        <v>12000</v>
      </c>
      <c r="S85" s="344"/>
      <c r="T85" s="344"/>
      <c r="U85" s="344"/>
      <c r="V85" s="344"/>
      <c r="W85" s="344"/>
      <c r="X85" s="344"/>
      <c r="Y85" s="344"/>
      <c r="Z85" s="344"/>
      <c r="AA85" s="344"/>
      <c r="AB85" s="344"/>
      <c r="AE85" s="345"/>
      <c r="AF85" s="345"/>
      <c r="AG85" s="345"/>
      <c r="AI85" s="345"/>
      <c r="AJ85" s="345"/>
      <c r="AK85" s="345"/>
      <c r="AL85" s="345"/>
      <c r="AM85" s="346"/>
    </row>
    <row r="86" spans="1:39" s="341" customFormat="1" x14ac:dyDescent="0.35">
      <c r="A86" s="340" t="s">
        <v>358</v>
      </c>
      <c r="F86" s="342"/>
      <c r="G86" s="342"/>
      <c r="H86" s="342"/>
      <c r="I86" s="342"/>
      <c r="J86" s="342"/>
      <c r="K86" s="342"/>
      <c r="L86" s="342"/>
      <c r="M86" s="343"/>
      <c r="N86" s="344"/>
      <c r="O86" s="294">
        <f>('Stimulus Round 2'!$C9*0.7*4)/2</f>
        <v>12600</v>
      </c>
      <c r="P86" s="294">
        <f>('Stimulus Round 2'!$C9*0.7*4)/2</f>
        <v>12600</v>
      </c>
      <c r="Q86" s="294">
        <f>('Stimulus Round 2'!$C9*0.3*4)/2</f>
        <v>5400</v>
      </c>
      <c r="R86" s="294">
        <f>('Stimulus Round 2'!$C9*0.3*4)/2</f>
        <v>5400</v>
      </c>
      <c r="S86" s="344"/>
      <c r="T86" s="344"/>
      <c r="U86" s="344"/>
      <c r="V86" s="344"/>
      <c r="W86" s="344"/>
      <c r="X86" s="344"/>
      <c r="Y86" s="344"/>
      <c r="Z86" s="344"/>
      <c r="AA86" s="344"/>
      <c r="AB86" s="344"/>
      <c r="AE86" s="345"/>
      <c r="AF86" s="345"/>
      <c r="AG86" s="345"/>
      <c r="AI86" s="345"/>
      <c r="AJ86" s="345"/>
      <c r="AK86" s="345"/>
      <c r="AL86" s="345"/>
      <c r="AM86" s="346"/>
    </row>
    <row r="87" spans="1:39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8">N94*0.74</f>
        <v>520762.48586017155</v>
      </c>
      <c r="O87" s="116">
        <f t="shared" si="48"/>
        <v>530153.75073570432</v>
      </c>
      <c r="P87" s="116">
        <f t="shared" si="48"/>
        <v>535444.10571143136</v>
      </c>
      <c r="Q87" s="116">
        <f t="shared" si="48"/>
        <v>535444.10571143136</v>
      </c>
      <c r="R87" s="116">
        <f t="shared" si="48"/>
        <v>535444.10571143136</v>
      </c>
      <c r="S87" s="116">
        <f t="shared" si="48"/>
        <v>535444.10571143136</v>
      </c>
      <c r="T87" s="116">
        <f>T94*0.68</f>
        <v>492029.71876185591</v>
      </c>
      <c r="U87" s="116">
        <f>U94*0.68</f>
        <v>492029.71876185591</v>
      </c>
      <c r="V87" s="116">
        <f>V94*0.68</f>
        <v>492029.71876185591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530451.11200468463</v>
      </c>
      <c r="AF87" s="45">
        <f>AVERAGE(R87:U87)</f>
        <v>513736.91223664366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35">
      <c r="A88" s="141" t="s">
        <v>161</v>
      </c>
      <c r="B88" s="141"/>
      <c r="E88" s="141"/>
      <c r="F88" s="203">
        <f>F46+F43+F32+F38</f>
        <v>1440187</v>
      </c>
      <c r="G88" s="203">
        <f>G46+G43+G32+G38</f>
        <v>1503410</v>
      </c>
      <c r="H88" s="203">
        <f>H46+H43+H32+H38</f>
        <v>1508652</v>
      </c>
      <c r="I88" s="203">
        <f>I46+I43+I32+I38</f>
        <v>1513957</v>
      </c>
      <c r="J88" s="203">
        <f>J46+J43+J32+J38</f>
        <v>1521941</v>
      </c>
      <c r="K88" s="203">
        <f>K46+K43+K32+K38</f>
        <v>1574462</v>
      </c>
      <c r="L88" s="203">
        <f>L46+L43+L32+L38</f>
        <v>3713565.333333333</v>
      </c>
      <c r="M88" s="199">
        <f>M46+M43+M32+M38</f>
        <v>2508714</v>
      </c>
      <c r="N88" s="142">
        <f>N46+N43+N32+N38+N33+N34</f>
        <v>1966597.486653418</v>
      </c>
      <c r="O88" s="142">
        <f>O46+O43+O32+O38+O33+O34+O35</f>
        <v>3088942.7957109897</v>
      </c>
      <c r="P88" s="142">
        <f>P46+P43+P32+P38+P33+P34+P35</f>
        <v>1856230.9611612814</v>
      </c>
      <c r="Q88" s="142">
        <f>Q46+Q43+Q32+Q38+Q33+Q34+Q35</f>
        <v>1667989.228952572</v>
      </c>
      <c r="R88" s="142">
        <f>R46+R43+R32+R38+R33+R34+R35</f>
        <v>1664289.0673868605</v>
      </c>
      <c r="S88" s="142">
        <f>S46+S43+S32+S38+S33+S34+S35</f>
        <v>1668953.4033976633</v>
      </c>
      <c r="T88" s="142">
        <f>T46+T43+T32+T38+T33+T34+T35</f>
        <v>1693987.704448628</v>
      </c>
      <c r="U88" s="142">
        <f>U46+U43+U32+U38+U33+U34+U35</f>
        <v>1719397.5200153573</v>
      </c>
      <c r="V88" s="142">
        <f>V46+V43+V32+V38+V33+V34+V35</f>
        <v>1736591.4952155109</v>
      </c>
      <c r="W88" s="142">
        <f>W46+W43+W32+W38+W33+W34+W35</f>
        <v>0</v>
      </c>
      <c r="X88" s="142">
        <f>X46+X43+X32+X38+X33+X34+X35</f>
        <v>0</v>
      </c>
      <c r="Y88" s="142">
        <f>Y46+Y43+Y32+Y38+Y33+Y34+Y35</f>
        <v>0</v>
      </c>
      <c r="Z88" s="142">
        <f>Z46+Z43+Z32+Z38+Z33+Z34+Z35</f>
        <v>0</v>
      </c>
      <c r="AM88" s="243"/>
    </row>
    <row r="89" spans="1:39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>L87+L31</f>
        <v>1336698</v>
      </c>
      <c r="M89" s="199">
        <f>M87+M31</f>
        <v>1328805</v>
      </c>
      <c r="N89" s="143">
        <f>N87+N31</f>
        <v>1373815.6728590003</v>
      </c>
      <c r="O89" s="143">
        <f>O87+O31</f>
        <v>1393653.5067068823</v>
      </c>
      <c r="P89" s="143">
        <f>P87+P31</f>
        <v>1409518.3603139264</v>
      </c>
      <c r="Q89" s="143">
        <f>Q87+Q31</f>
        <v>1420222.3552427585</v>
      </c>
      <c r="R89" s="143">
        <f>R87+R31</f>
        <v>1449154.204832383</v>
      </c>
      <c r="S89" s="143">
        <f>S87+S31</f>
        <v>1479032.1128509077</v>
      </c>
      <c r="T89" s="143">
        <f>T87+T31</f>
        <v>1466472.6280325653</v>
      </c>
      <c r="U89" s="143">
        <f>U87+U31</f>
        <v>1498336.4715432189</v>
      </c>
      <c r="V89" s="143">
        <f>V87+V31</f>
        <v>1508477.1168994233</v>
      </c>
      <c r="W89" s="143">
        <f>W87+W31</f>
        <v>1026690.2317062188</v>
      </c>
      <c r="X89" s="143">
        <f>X87+X31</f>
        <v>1037036.2832472979</v>
      </c>
      <c r="Y89" s="143">
        <f>Y87+Y31</f>
        <v>1047486.5928977706</v>
      </c>
      <c r="Z89" s="143">
        <f>Z87+Z31</f>
        <v>0</v>
      </c>
      <c r="AM89" s="243"/>
    </row>
    <row r="90" spans="1:39" s="35" customFormat="1" x14ac:dyDescent="0.35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835999</v>
      </c>
      <c r="N91" s="133">
        <f t="shared" ref="N91:U91" si="49">N92+N94</f>
        <v>846655.9390002318</v>
      </c>
      <c r="O91" s="133">
        <f t="shared" si="49"/>
        <v>859704.14460568153</v>
      </c>
      <c r="P91" s="133">
        <f t="shared" si="49"/>
        <v>867211.47334407107</v>
      </c>
      <c r="Q91" s="133">
        <f t="shared" si="49"/>
        <v>867929.66513166018</v>
      </c>
      <c r="R91" s="133">
        <f t="shared" si="49"/>
        <v>869012.33925145073</v>
      </c>
      <c r="S91" s="133">
        <f t="shared" si="49"/>
        <v>870466.73148570256</v>
      </c>
      <c r="T91" s="133">
        <f t="shared" si="49"/>
        <v>872014.07451017783</v>
      </c>
      <c r="U91" s="133">
        <f t="shared" si="49"/>
        <v>873408.51802630571</v>
      </c>
      <c r="V91" s="133">
        <f t="shared" ref="V91" si="50">V92+V94</f>
        <v>874637.8300734181</v>
      </c>
      <c r="AM91" s="243"/>
    </row>
    <row r="92" spans="1:39" s="35" customFormat="1" x14ac:dyDescent="0.35">
      <c r="A92" s="35" t="s">
        <v>231</v>
      </c>
      <c r="F92" s="205">
        <f t="shared" ref="F92:K92" si="51">F91-F94</f>
        <v>139025</v>
      </c>
      <c r="G92" s="205">
        <f t="shared" si="51"/>
        <v>139342</v>
      </c>
      <c r="H92" s="205">
        <f t="shared" si="51"/>
        <v>140228</v>
      </c>
      <c r="I92" s="205">
        <f t="shared" si="51"/>
        <v>141105</v>
      </c>
      <c r="J92" s="205">
        <f t="shared" si="51"/>
        <v>141335</v>
      </c>
      <c r="K92" s="205">
        <f t="shared" si="51"/>
        <v>142991</v>
      </c>
      <c r="L92" s="205">
        <f>L91-L94</f>
        <v>143335</v>
      </c>
      <c r="M92" s="199">
        <f>M91-M94</f>
        <v>144732</v>
      </c>
      <c r="N92" s="133">
        <f>M92*(1+N103-0.015)</f>
        <v>142922.84999999998</v>
      </c>
      <c r="O92" s="133">
        <f t="shared" ref="O92:V92" si="52">N92*(1+O103)</f>
        <v>143280.15712499997</v>
      </c>
      <c r="P92" s="133">
        <f t="shared" si="52"/>
        <v>143638.35751781246</v>
      </c>
      <c r="Q92" s="133">
        <f t="shared" si="52"/>
        <v>144356.54930540151</v>
      </c>
      <c r="R92" s="133">
        <f t="shared" si="52"/>
        <v>145439.22342519203</v>
      </c>
      <c r="S92" s="133">
        <f t="shared" si="52"/>
        <v>146893.61565944395</v>
      </c>
      <c r="T92" s="133">
        <f t="shared" si="52"/>
        <v>148440.9586839191</v>
      </c>
      <c r="U92" s="133">
        <f t="shared" si="52"/>
        <v>149835.40220004701</v>
      </c>
      <c r="V92" s="133">
        <f t="shared" si="52"/>
        <v>151064.71424715937</v>
      </c>
      <c r="AM92" s="243"/>
    </row>
    <row r="93" spans="1:39" s="35" customFormat="1" x14ac:dyDescent="0.35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691267</v>
      </c>
      <c r="N94" s="135">
        <f>M94*(($AJ$94/$AI$94)^0.18)</f>
        <v>703733.08900023182</v>
      </c>
      <c r="O94" s="135">
        <f>N94*(($AJ$94/$AI$94)^0.18)</f>
        <v>716423.98748068151</v>
      </c>
      <c r="P94" s="135">
        <f>O94*(($AJ$94/$AI$94)^0.1)</f>
        <v>723573.11582625867</v>
      </c>
      <c r="Q94" s="135">
        <f>P94*(1+Q95)</f>
        <v>723573.11582625867</v>
      </c>
      <c r="R94" s="135">
        <f t="shared" ref="R94:V94" si="53">Q94*(1+R95)</f>
        <v>723573.11582625867</v>
      </c>
      <c r="S94" s="135">
        <f t="shared" si="53"/>
        <v>723573.11582625867</v>
      </c>
      <c r="T94" s="135">
        <f t="shared" si="53"/>
        <v>723573.11582625867</v>
      </c>
      <c r="U94" s="135">
        <f t="shared" si="53"/>
        <v>723573.11582625867</v>
      </c>
      <c r="V94" s="135">
        <f t="shared" si="53"/>
        <v>723573.11582625867</v>
      </c>
      <c r="AD94" s="45">
        <f>AVERAGE(J94:M94)/1000</f>
        <v>650.95450000000005</v>
      </c>
      <c r="AE94" s="45">
        <f>AVERAGE(N94:Q94)/1000</f>
        <v>716.82582703335765</v>
      </c>
      <c r="AF94" s="45">
        <f>AVERAGE(R94:U94)/1000</f>
        <v>723.57311582625869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35">
      <c r="A96" s="153" t="s">
        <v>223</v>
      </c>
      <c r="F96" s="210">
        <f>F87/F94</f>
        <v>0.66058231423538405</v>
      </c>
      <c r="G96" s="210">
        <f>G87/G94</f>
        <v>0.6749214177505789</v>
      </c>
      <c r="H96" s="210">
        <f>H87/H94</f>
        <v>0.68242012696430432</v>
      </c>
      <c r="I96" s="210">
        <f>I87/I94</f>
        <v>0.6730637268687778</v>
      </c>
      <c r="J96" s="210">
        <f>J87/J94</f>
        <v>0.66395699382859508</v>
      </c>
      <c r="K96" s="210">
        <f>K87/K94</f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1992.6769999999999</v>
      </c>
      <c r="N97" s="35">
        <f>M97*(1+N99)</f>
        <v>2031.6535672371635</v>
      </c>
      <c r="O97" s="35">
        <f t="shared" ref="O97:V97" si="54">N97*(1+O99)</f>
        <v>2057.2848967789942</v>
      </c>
      <c r="P97" s="35">
        <f t="shared" si="54"/>
        <v>2079.7387887743166</v>
      </c>
      <c r="Q97" s="35">
        <f t="shared" si="54"/>
        <v>2094.5668306580201</v>
      </c>
      <c r="R97" s="35">
        <f t="shared" si="54"/>
        <v>2104.8405453917289</v>
      </c>
      <c r="S97" s="35">
        <f t="shared" si="54"/>
        <v>2115.0083455405543</v>
      </c>
      <c r="T97" s="35">
        <f t="shared" si="54"/>
        <v>2122.4223664824062</v>
      </c>
      <c r="U97" s="35">
        <f t="shared" si="54"/>
        <v>2126.9766936324008</v>
      </c>
      <c r="V97" s="35">
        <f t="shared" si="54"/>
        <v>2128.6713269905381</v>
      </c>
      <c r="AM97" s="243"/>
    </row>
    <row r="98" spans="1:39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55">(G97/F97)-1</f>
        <v>7.8113264233139468E-3</v>
      </c>
      <c r="H98" s="202">
        <f t="shared" si="55"/>
        <v>6.3596164356336526E-3</v>
      </c>
      <c r="I98" s="202">
        <f t="shared" si="55"/>
        <v>1.3823747222907468E-3</v>
      </c>
      <c r="J98" s="202">
        <f t="shared" si="55"/>
        <v>3.5990731154167399E-3</v>
      </c>
      <c r="K98" s="202">
        <f t="shared" si="55"/>
        <v>2.6527805069758159E-3</v>
      </c>
      <c r="L98" s="202">
        <f t="shared" si="55"/>
        <v>-1.36697697207252E-2</v>
      </c>
      <c r="M98" s="199">
        <f>(M97/L97)-1</f>
        <v>-1.0145049923004357E-2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2329.6770000000001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2335.5011924999999</v>
      </c>
      <c r="O101">
        <f>N101*(1+O103)</f>
        <v>2341.3399454812497</v>
      </c>
      <c r="P101">
        <f t="shared" ref="P101:V101" si="56">O101*(1+P103)</f>
        <v>2347.1932953449527</v>
      </c>
      <c r="Q101">
        <f t="shared" si="56"/>
        <v>2358.9292618216773</v>
      </c>
      <c r="R101">
        <f t="shared" si="56"/>
        <v>2376.6212312853399</v>
      </c>
      <c r="S101">
        <f t="shared" si="56"/>
        <v>2400.3874435981934</v>
      </c>
      <c r="T101">
        <f t="shared" si="56"/>
        <v>2425.6725640591153</v>
      </c>
      <c r="U101">
        <f t="shared" si="56"/>
        <v>2448.4591548302242</v>
      </c>
      <c r="V101">
        <f t="shared" si="56"/>
        <v>2468.5473335363272</v>
      </c>
      <c r="W101"/>
      <c r="X101"/>
      <c r="Y101"/>
      <c r="AM101" s="243"/>
    </row>
    <row r="102" spans="1:39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57">(K100/J100)-1</f>
        <v>1.0265546788835067E-2</v>
      </c>
      <c r="L102" s="202">
        <f t="shared" ref="L102" si="58">(L100/K100)-1</f>
        <v>-1.9776620759153429E-2</v>
      </c>
      <c r="M102" s="202">
        <f>(((M100/L100))^4)-1</f>
        <v>-8.2382940014741335E-3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35">
      <c r="A105" s="35" t="s">
        <v>164</v>
      </c>
      <c r="F105" s="203">
        <f>F91+F42-F87</f>
        <v>339220</v>
      </c>
      <c r="G105" s="203">
        <f>G91+G42-G87</f>
        <v>334185</v>
      </c>
      <c r="H105" s="203">
        <f>H91+H42-H87</f>
        <v>335532</v>
      </c>
      <c r="I105" s="203">
        <f>I91+I42-I87</f>
        <v>344546</v>
      </c>
      <c r="J105" s="203">
        <f>J91+J42-J87</f>
        <v>349558</v>
      </c>
      <c r="K105" s="203">
        <f>K91+K42-K87</f>
        <v>343658</v>
      </c>
      <c r="L105" s="203">
        <f>L91+L42-L87</f>
        <v>577118</v>
      </c>
      <c r="M105" s="199">
        <f>M91+M42-M87</f>
        <v>489927</v>
      </c>
      <c r="N105" s="223">
        <f>N91+N42-N87</f>
        <v>405893.45314006024</v>
      </c>
      <c r="O105" s="223">
        <f>O91+O42-O87</f>
        <v>389550.39386997721</v>
      </c>
      <c r="P105" s="223">
        <f>P91+P42-P87</f>
        <v>375767.36763263971</v>
      </c>
      <c r="Q105" s="223">
        <f>Q91+Q42-Q87</f>
        <v>376485.55942022882</v>
      </c>
      <c r="R105" s="223">
        <f>R91+R42-R87</f>
        <v>377568.23354001937</v>
      </c>
      <c r="S105" s="223">
        <f>S91+S42-S87</f>
        <v>379022.6257742712</v>
      </c>
      <c r="T105" s="223">
        <f>T91+T42-T87</f>
        <v>423984.35574832192</v>
      </c>
      <c r="U105" s="223">
        <f>U91+U42-U87</f>
        <v>425378.7992644498</v>
      </c>
      <c r="V105" s="223">
        <f>V91+V42-V87</f>
        <v>426608.11131156218</v>
      </c>
      <c r="W105" s="223">
        <f>W91+W42-W87</f>
        <v>0</v>
      </c>
      <c r="X105" s="223">
        <f>X91+X42-X87</f>
        <v>0</v>
      </c>
      <c r="Y105" s="223">
        <f>Y91+Y42-Y87</f>
        <v>0</v>
      </c>
      <c r="AM105" s="243"/>
    </row>
    <row r="106" spans="1:39" s="35" customFormat="1" x14ac:dyDescent="0.35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>L94-L87</f>
        <v>156183</v>
      </c>
      <c r="M106" s="199">
        <f>M94-M87</f>
        <v>205195</v>
      </c>
      <c r="N106" s="142">
        <f>N94-N87</f>
        <v>182970.60314006027</v>
      </c>
      <c r="O106" s="142">
        <f>O94-O87</f>
        <v>186270.23674497718</v>
      </c>
      <c r="P106" s="142">
        <f>P94-P87</f>
        <v>188129.01011482731</v>
      </c>
      <c r="Q106" s="142">
        <f>Q94-Q87</f>
        <v>188129.01011482731</v>
      </c>
      <c r="R106" s="142">
        <f>R94-R87</f>
        <v>188129.01011482731</v>
      </c>
      <c r="S106" s="142">
        <f>S94-S87</f>
        <v>188129.01011482731</v>
      </c>
      <c r="T106" s="142">
        <f>T94-T87</f>
        <v>231543.39706440276</v>
      </c>
      <c r="U106" s="142">
        <f>U94-U87</f>
        <v>231543.39706440276</v>
      </c>
      <c r="V106" s="142">
        <f>V94-V87</f>
        <v>231543.39706440276</v>
      </c>
      <c r="W106" s="142">
        <f>W94-W87</f>
        <v>0</v>
      </c>
      <c r="X106" s="142">
        <f>X94-X87</f>
        <v>0</v>
      </c>
      <c r="Y106" s="142">
        <f>Y94-Y87</f>
        <v>0</v>
      </c>
      <c r="AM106" s="243"/>
    </row>
    <row r="107" spans="1:39" s="141" customFormat="1" x14ac:dyDescent="0.35">
      <c r="A107" s="141" t="s">
        <v>232</v>
      </c>
      <c r="C107" s="35"/>
      <c r="D107" s="35"/>
      <c r="F107" s="203">
        <f>F105-(F94-F87)</f>
        <v>139025</v>
      </c>
      <c r="G107" s="203">
        <f>G105-(G94-G87)</f>
        <v>139342</v>
      </c>
      <c r="H107" s="203">
        <f>H105-(H94-H87)</f>
        <v>140228</v>
      </c>
      <c r="I107" s="203">
        <f>I105-(I94-I87)</f>
        <v>141105</v>
      </c>
      <c r="J107" s="203">
        <f>J105-(J94-J87)</f>
        <v>141335</v>
      </c>
      <c r="K107" s="203">
        <f>K105-(K94-K87)</f>
        <v>142991</v>
      </c>
      <c r="L107" s="203">
        <f>L105-(L94-L87)</f>
        <v>420935</v>
      </c>
      <c r="M107" s="199">
        <f>M105-(M94-M87)</f>
        <v>284732</v>
      </c>
      <c r="N107" s="143">
        <f>N105-(N94-N87)</f>
        <v>222922.84999999998</v>
      </c>
      <c r="O107" s="143">
        <f>O105-(O94-O87)</f>
        <v>203280.15712500003</v>
      </c>
      <c r="P107" s="143">
        <f>P105-(P94-P87)</f>
        <v>187638.3575178124</v>
      </c>
      <c r="Q107" s="143">
        <f>Q105-(Q94-Q87)</f>
        <v>188356.54930540151</v>
      </c>
      <c r="R107" s="143">
        <f>R105-(R94-R87)</f>
        <v>189439.22342519206</v>
      </c>
      <c r="S107" s="143">
        <f>S105-(S94-S87)</f>
        <v>190893.61565944389</v>
      </c>
      <c r="T107" s="143">
        <f>T105-(T94-T87)</f>
        <v>192440.95868391916</v>
      </c>
      <c r="U107" s="143">
        <f>U105-(U94-U87)</f>
        <v>193835.40220004704</v>
      </c>
      <c r="V107" s="143">
        <f>V105-(V94-V87)</f>
        <v>195064.71424715943</v>
      </c>
      <c r="W107" s="143">
        <f>W105-(W94-W87)</f>
        <v>0</v>
      </c>
      <c r="X107" s="143">
        <f>X105-(X94-X87)</f>
        <v>0</v>
      </c>
      <c r="Y107" s="143">
        <f>Y105-(Y94-Y87)</f>
        <v>0</v>
      </c>
      <c r="AM107" s="267"/>
    </row>
    <row r="108" spans="1:39" s="35" customFormat="1" x14ac:dyDescent="0.35">
      <c r="A108"/>
      <c r="F108" s="220"/>
      <c r="G108" s="220"/>
      <c r="H108" s="220"/>
      <c r="I108" s="220"/>
      <c r="J108" s="220"/>
      <c r="K108" s="220"/>
      <c r="L108" s="220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RowHeight="14.5" x14ac:dyDescent="0.35"/>
  <cols>
    <col min="1" max="1" width="25.453125" bestFit="1" customWidth="1"/>
    <col min="2" max="2" width="8" bestFit="1" customWidth="1"/>
    <col min="3" max="3" width="11.08984375" bestFit="1" customWidth="1"/>
  </cols>
  <sheetData>
    <row r="1" spans="1:3" x14ac:dyDescent="0.35">
      <c r="A1" s="97" t="s">
        <v>359</v>
      </c>
      <c r="B1" s="97" t="s">
        <v>361</v>
      </c>
      <c r="C1" s="97" t="s">
        <v>362</v>
      </c>
    </row>
    <row r="2" spans="1:3" x14ac:dyDescent="0.35">
      <c r="A2" s="347" t="s">
        <v>364</v>
      </c>
      <c r="B2" s="347">
        <v>325</v>
      </c>
      <c r="C2" s="348">
        <f>B2*1000</f>
        <v>325000</v>
      </c>
    </row>
    <row r="3" spans="1:3" x14ac:dyDescent="0.35">
      <c r="A3" s="347" t="s">
        <v>365</v>
      </c>
      <c r="B3" s="347">
        <v>120</v>
      </c>
      <c r="C3" s="348">
        <f t="shared" ref="C3:C20" si="0">B3*1000</f>
        <v>120000</v>
      </c>
    </row>
    <row r="4" spans="1:3" x14ac:dyDescent="0.35">
      <c r="A4" s="347" t="s">
        <v>20</v>
      </c>
      <c r="B4" s="347">
        <v>166</v>
      </c>
      <c r="C4" s="348">
        <f t="shared" si="0"/>
        <v>166000</v>
      </c>
    </row>
    <row r="5" spans="1:3" x14ac:dyDescent="0.35">
      <c r="A5" s="347" t="s">
        <v>199</v>
      </c>
      <c r="B5" s="347">
        <v>82</v>
      </c>
      <c r="C5" s="348">
        <f t="shared" si="0"/>
        <v>82000</v>
      </c>
    </row>
    <row r="6" spans="1:3" x14ac:dyDescent="0.35">
      <c r="A6" s="347" t="s">
        <v>366</v>
      </c>
      <c r="B6" s="347">
        <v>63</v>
      </c>
      <c r="C6" s="348">
        <f t="shared" si="0"/>
        <v>63000</v>
      </c>
    </row>
    <row r="7" spans="1:3" x14ac:dyDescent="0.35">
      <c r="A7" s="349" t="s">
        <v>356</v>
      </c>
      <c r="B7">
        <v>22</v>
      </c>
      <c r="C7" s="348">
        <f>B7*1000</f>
        <v>22000</v>
      </c>
    </row>
    <row r="8" spans="1:3" x14ac:dyDescent="0.35">
      <c r="A8" s="177" t="s">
        <v>357</v>
      </c>
      <c r="B8">
        <v>20</v>
      </c>
      <c r="C8" s="348">
        <f>B8*1000</f>
        <v>20000</v>
      </c>
    </row>
    <row r="9" spans="1:3" x14ac:dyDescent="0.35">
      <c r="A9" s="177" t="s">
        <v>358</v>
      </c>
      <c r="B9">
        <v>9</v>
      </c>
      <c r="C9" s="348">
        <f>B9*1000</f>
        <v>9000</v>
      </c>
    </row>
    <row r="10" spans="1:3" x14ac:dyDescent="0.35">
      <c r="A10" s="349" t="s">
        <v>58</v>
      </c>
      <c r="B10" s="347">
        <f>B6-SUM(B7:B9)</f>
        <v>12</v>
      </c>
      <c r="C10" s="348">
        <f t="shared" si="0"/>
        <v>12000</v>
      </c>
    </row>
    <row r="11" spans="1:3" x14ac:dyDescent="0.35">
      <c r="A11" s="350" t="s">
        <v>367</v>
      </c>
      <c r="B11" s="347">
        <v>45</v>
      </c>
      <c r="C11" s="348">
        <f t="shared" si="0"/>
        <v>45000</v>
      </c>
    </row>
    <row r="12" spans="1:3" x14ac:dyDescent="0.35">
      <c r="A12" s="349" t="s">
        <v>368</v>
      </c>
      <c r="B12" s="347">
        <v>16</v>
      </c>
      <c r="C12" s="348">
        <f t="shared" si="0"/>
        <v>16000</v>
      </c>
    </row>
    <row r="13" spans="1:3" x14ac:dyDescent="0.35">
      <c r="A13" s="349" t="s">
        <v>58</v>
      </c>
      <c r="B13" s="347">
        <f>B11-B12</f>
        <v>29</v>
      </c>
      <c r="C13" s="348">
        <f t="shared" si="0"/>
        <v>29000</v>
      </c>
    </row>
    <row r="14" spans="1:3" x14ac:dyDescent="0.35">
      <c r="A14" s="350" t="s">
        <v>369</v>
      </c>
      <c r="B14" s="347">
        <v>80</v>
      </c>
      <c r="C14" s="348">
        <f t="shared" si="0"/>
        <v>80000</v>
      </c>
    </row>
    <row r="15" spans="1:3" x14ac:dyDescent="0.35">
      <c r="A15" s="349" t="s">
        <v>350</v>
      </c>
      <c r="B15" s="347">
        <v>26</v>
      </c>
      <c r="C15" s="348">
        <f t="shared" si="0"/>
        <v>26000</v>
      </c>
    </row>
    <row r="16" spans="1:3" x14ac:dyDescent="0.35">
      <c r="A16" s="349" t="s">
        <v>58</v>
      </c>
      <c r="B16">
        <f>B14-B15</f>
        <v>54</v>
      </c>
      <c r="C16" s="348">
        <f t="shared" si="0"/>
        <v>54000</v>
      </c>
    </row>
    <row r="17" spans="1:3" x14ac:dyDescent="0.35">
      <c r="A17" s="350" t="s">
        <v>370</v>
      </c>
      <c r="B17">
        <v>30</v>
      </c>
      <c r="C17" s="348">
        <f t="shared" si="0"/>
        <v>30000</v>
      </c>
    </row>
    <row r="18" spans="1:3" x14ac:dyDescent="0.35">
      <c r="A18" s="349" t="s">
        <v>371</v>
      </c>
      <c r="B18">
        <v>20</v>
      </c>
      <c r="C18" s="348">
        <f t="shared" si="0"/>
        <v>20000</v>
      </c>
    </row>
    <row r="19" spans="1:3" x14ac:dyDescent="0.35">
      <c r="A19" s="349" t="s">
        <v>372</v>
      </c>
      <c r="B19">
        <v>5</v>
      </c>
      <c r="C19" s="348">
        <f t="shared" si="0"/>
        <v>5000</v>
      </c>
    </row>
    <row r="20" spans="1:3" ht="15" thickBot="1" x14ac:dyDescent="0.4">
      <c r="A20" s="351" t="s">
        <v>373</v>
      </c>
      <c r="B20" s="352">
        <v>5</v>
      </c>
      <c r="C20" s="353">
        <f t="shared" si="0"/>
        <v>5000</v>
      </c>
    </row>
    <row r="21" spans="1:3" x14ac:dyDescent="0.35">
      <c r="A21" s="350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I55" activePane="bottomRight" state="frozen"/>
      <selection pane="topRight" activeCell="C1" sqref="C1"/>
      <selection pane="bottomLeft" activeCell="A9" sqref="A9"/>
      <selection pane="bottomRight" activeCell="S64" sqref="S64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06" t="s">
        <v>208</v>
      </c>
      <c r="B1" s="307"/>
      <c r="C1" s="35"/>
      <c r="H1"/>
      <c r="I1" s="250"/>
      <c r="J1" s="314" t="s">
        <v>282</v>
      </c>
      <c r="V1" s="301"/>
      <c r="W1" s="301"/>
      <c r="X1" s="301"/>
      <c r="Y1" s="301"/>
    </row>
    <row r="2" spans="1:27" x14ac:dyDescent="0.35">
      <c r="A2" s="308" t="s">
        <v>192</v>
      </c>
      <c r="B2" s="126"/>
      <c r="C2" t="s">
        <v>193</v>
      </c>
      <c r="I2" s="251"/>
      <c r="J2" s="314"/>
    </row>
    <row r="3" spans="1:27" x14ac:dyDescent="0.35">
      <c r="A3" s="309"/>
      <c r="B3" s="127"/>
      <c r="C3" t="s">
        <v>194</v>
      </c>
      <c r="I3" s="251"/>
      <c r="J3" s="314"/>
    </row>
    <row r="4" spans="1:27" x14ac:dyDescent="0.35">
      <c r="A4" s="309"/>
      <c r="B4" s="128"/>
      <c r="C4" t="s">
        <v>195</v>
      </c>
    </row>
    <row r="5" spans="1:27" x14ac:dyDescent="0.35">
      <c r="A5" s="310"/>
      <c r="B5" s="129"/>
      <c r="C5" t="s">
        <v>182</v>
      </c>
    </row>
    <row r="7" spans="1:27" x14ac:dyDescent="0.35">
      <c r="C7" s="311" t="s">
        <v>160</v>
      </c>
      <c r="D7" s="312"/>
      <c r="E7" s="312"/>
      <c r="F7" s="313"/>
      <c r="G7" s="311" t="s">
        <v>166</v>
      </c>
      <c r="H7" s="312"/>
      <c r="I7" s="312"/>
      <c r="J7" s="313"/>
      <c r="K7" s="311" t="s">
        <v>177</v>
      </c>
      <c r="L7" s="312"/>
      <c r="M7" s="312"/>
      <c r="N7" s="312"/>
      <c r="O7" s="311" t="s">
        <v>272</v>
      </c>
      <c r="P7" s="312"/>
      <c r="Q7" s="312"/>
      <c r="R7" s="312"/>
      <c r="S7" s="311" t="s">
        <v>276</v>
      </c>
      <c r="T7" s="312"/>
      <c r="U7" s="312"/>
      <c r="V7" s="312"/>
      <c r="W7" s="311" t="s">
        <v>277</v>
      </c>
      <c r="X7" s="312"/>
      <c r="Y7" s="312"/>
      <c r="Z7" s="312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205.19499999999999</v>
      </c>
      <c r="F24" s="104">
        <f>main!N106/1000</f>
        <v>182.97060314006026</v>
      </c>
      <c r="G24" s="149">
        <f>main!O106/1000</f>
        <v>186.27023674497718</v>
      </c>
      <c r="H24" s="104">
        <f>main!P106/1000</f>
        <v>188.12901011482731</v>
      </c>
      <c r="I24" s="104">
        <f>main!Q106/1000</f>
        <v>188.12901011482731</v>
      </c>
      <c r="J24" s="104">
        <f>main!R106/1000</f>
        <v>188.12901011482731</v>
      </c>
      <c r="K24" s="149">
        <f>main!S106/1000</f>
        <v>188.12901011482731</v>
      </c>
      <c r="L24" s="104">
        <f>main!T106/1000</f>
        <v>231.54339706440277</v>
      </c>
      <c r="M24" s="232">
        <f>main!U106/1000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420.935</v>
      </c>
      <c r="F31" s="104">
        <f>main!M107/1000</f>
        <v>284.73200000000003</v>
      </c>
      <c r="G31" s="104">
        <f>main!N107/1000</f>
        <v>222.92284999999998</v>
      </c>
      <c r="H31" s="104">
        <f>main!O107/1000</f>
        <v>203.28015712500002</v>
      </c>
      <c r="I31" s="104">
        <f>main!P107/1000</f>
        <v>187.63835751781241</v>
      </c>
      <c r="J31" s="104">
        <f>main!Q107/1000</f>
        <v>188.3565493054015</v>
      </c>
      <c r="K31" s="104">
        <f>main!R107/1000</f>
        <v>189.43922342519207</v>
      </c>
      <c r="L31" s="104">
        <f>main!S107/1000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1373.8156728590002</v>
      </c>
      <c r="H50" s="104">
        <f>main!O89/1000</f>
        <v>1393.6535067068824</v>
      </c>
      <c r="I50" s="104">
        <f>main!P89/1000</f>
        <v>1409.5183603139265</v>
      </c>
      <c r="J50" s="232">
        <f>main!Q89/1000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2508.7139999999999</v>
      </c>
      <c r="G57" s="149">
        <f>main!N88/1000</f>
        <v>1966.5974866534179</v>
      </c>
      <c r="H57" s="104">
        <f>main!O88/1000</f>
        <v>3088.9427957109897</v>
      </c>
      <c r="I57" s="104">
        <f>main!P88/1000</f>
        <v>1856.2309611612814</v>
      </c>
      <c r="J57" s="104">
        <f>main!Q88/1000</f>
        <v>1667.9892289525719</v>
      </c>
      <c r="K57" s="274">
        <f>main!R88/1000</f>
        <v>1664.2890673868606</v>
      </c>
      <c r="L57" s="104">
        <f>K57*(1+L59)</f>
        <v>1671.6812287184507</v>
      </c>
      <c r="M57" s="104">
        <f t="shared" ref="M57:AA57" si="75">L57*(1+M59)</f>
        <v>1659.1077563929985</v>
      </c>
      <c r="N57" s="104">
        <f t="shared" si="75"/>
        <v>1618.8882858325874</v>
      </c>
      <c r="O57" s="104">
        <f t="shared" si="75"/>
        <v>1618.107488150679</v>
      </c>
      <c r="P57" s="104">
        <f t="shared" si="75"/>
        <v>1618.107488150679</v>
      </c>
      <c r="Q57" s="104">
        <f t="shared" si="75"/>
        <v>1618.107488150679</v>
      </c>
      <c r="R57" s="104">
        <f t="shared" si="75"/>
        <v>1618.107488150679</v>
      </c>
      <c r="S57" s="104">
        <f t="shared" si="75"/>
        <v>1618.107488150679</v>
      </c>
      <c r="T57" s="104">
        <f t="shared" si="75"/>
        <v>1618.107488150679</v>
      </c>
      <c r="U57" s="104">
        <f t="shared" si="75"/>
        <v>1618.107488150679</v>
      </c>
      <c r="V57" s="104">
        <f t="shared" si="75"/>
        <v>1618.107488150679</v>
      </c>
      <c r="W57" s="104">
        <f t="shared" si="75"/>
        <v>1618.107488150679</v>
      </c>
      <c r="X57" s="104">
        <f t="shared" si="75"/>
        <v>1618.107488150679</v>
      </c>
      <c r="Y57" s="104">
        <f t="shared" si="75"/>
        <v>1618.107488150679</v>
      </c>
      <c r="Z57" s="104">
        <f t="shared" si="75"/>
        <v>1618.107488150679</v>
      </c>
      <c r="AA57" s="104">
        <f t="shared" si="75"/>
        <v>1618.107488150679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4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1641.9267533528007</v>
      </c>
      <c r="I60" s="225">
        <f t="shared" ref="I60" si="96">I57-I58</f>
        <v>574.2278108710334</v>
      </c>
      <c r="J60" s="225">
        <f t="shared" ref="J60" si="97">J57-J58</f>
        <v>500.34254097599887</v>
      </c>
      <c r="K60" s="275">
        <f t="shared" ref="K60" si="98">K57-K58</f>
        <v>468.78244356721166</v>
      </c>
      <c r="L60" s="225">
        <f t="shared" ref="L60:AA60" si="99">L57-L58</f>
        <v>470.86460316326475</v>
      </c>
      <c r="M60" s="225">
        <f t="shared" si="99"/>
        <v>467.32301703117241</v>
      </c>
      <c r="N60" s="225">
        <f t="shared" si="99"/>
        <v>455.99434699556832</v>
      </c>
      <c r="O60" s="150">
        <f t="shared" si="99"/>
        <v>455.77441870761095</v>
      </c>
      <c r="P60" s="225">
        <f t="shared" si="99"/>
        <v>455.77441870761095</v>
      </c>
      <c r="Q60" s="225">
        <f t="shared" si="99"/>
        <v>455.77441870761095</v>
      </c>
      <c r="R60" s="225">
        <f t="shared" si="99"/>
        <v>455.77441870761095</v>
      </c>
      <c r="S60" s="150">
        <f t="shared" si="99"/>
        <v>455.77441870761095</v>
      </c>
      <c r="T60" s="225">
        <f t="shared" si="99"/>
        <v>455.77441870761095</v>
      </c>
      <c r="U60" s="225">
        <f t="shared" si="99"/>
        <v>455.77441870761095</v>
      </c>
      <c r="V60" s="225">
        <f t="shared" si="99"/>
        <v>455.77441870761095</v>
      </c>
      <c r="W60" s="150">
        <f t="shared" si="99"/>
        <v>455.77441870761095</v>
      </c>
      <c r="X60" s="225">
        <f t="shared" si="99"/>
        <v>455.77441870761095</v>
      </c>
      <c r="Y60" s="225">
        <f t="shared" si="99"/>
        <v>455.77441870761095</v>
      </c>
      <c r="Z60" s="225">
        <f t="shared" si="99"/>
        <v>455.77441870761095</v>
      </c>
      <c r="AA60" s="150">
        <f t="shared" si="99"/>
        <v>455.77441870761095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1213.308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77.668082321497423</v>
      </c>
      <c r="N64" s="240">
        <f>M64*(1+N66)</f>
        <v>78.010230735371735</v>
      </c>
      <c r="O64" s="257">
        <f>N64*(1+O66)</f>
        <v>78.35669524162283</v>
      </c>
      <c r="P64" s="240">
        <f>O64*(1+P66)</f>
        <v>78.708260584319405</v>
      </c>
      <c r="Q64" s="240">
        <f t="shared" ref="Q64:AA64" si="100">P64*(1+Q66)</f>
        <v>79.061395415152958</v>
      </c>
      <c r="R64" s="240">
        <f t="shared" si="100"/>
        <v>79.419631082431877</v>
      </c>
      <c r="S64" s="257">
        <f t="shared" si="100"/>
        <v>79.782967586156133</v>
      </c>
      <c r="T64" s="240">
        <f t="shared" si="100"/>
        <v>80.150227810223058</v>
      </c>
      <c r="U64" s="240">
        <f t="shared" si="100"/>
        <v>80.518272778358451</v>
      </c>
      <c r="V64" s="240">
        <f t="shared" si="100"/>
        <v>80.888279606665179</v>
      </c>
      <c r="W64" s="257">
        <f t="shared" si="100"/>
        <v>81.260248295143171</v>
      </c>
      <c r="X64" s="240">
        <f t="shared" si="100"/>
        <v>81.633001727689688</v>
      </c>
      <c r="Y64" s="240">
        <f t="shared" si="100"/>
        <v>82.003793300064928</v>
      </c>
      <c r="Z64" s="240">
        <f t="shared" si="100"/>
        <v>82.374977244474408</v>
      </c>
      <c r="AA64" s="257">
        <f t="shared" si="100"/>
        <v>82.746161188883946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-643.37710701026424</v>
      </c>
      <c r="I67" s="225">
        <f t="shared" si="103"/>
        <v>-647.78916812809337</v>
      </c>
      <c r="J67" s="225">
        <f t="shared" si="103"/>
        <v>-652.5536906191013</v>
      </c>
      <c r="K67" s="150">
        <f t="shared" si="103"/>
        <v>-1112.356223009233</v>
      </c>
      <c r="L67" s="225">
        <f t="shared" si="103"/>
        <v>-1163.1072012785651</v>
      </c>
      <c r="M67" s="225">
        <f t="shared" si="103"/>
        <v>-1168.1884625696937</v>
      </c>
      <c r="N67" s="225">
        <f t="shared" si="103"/>
        <v>-1173.3346412524631</v>
      </c>
      <c r="O67" s="150">
        <f t="shared" si="103"/>
        <v>-1178.5457373268721</v>
      </c>
      <c r="P67" s="225">
        <f t="shared" si="103"/>
        <v>-1183.8335539550396</v>
      </c>
      <c r="Q67" s="225">
        <f t="shared" si="103"/>
        <v>-1189.1449769074391</v>
      </c>
      <c r="R67" s="225">
        <f t="shared" si="103"/>
        <v>-1194.5331204135953</v>
      </c>
      <c r="S67" s="150">
        <f t="shared" si="103"/>
        <v>-1199.997984473508</v>
      </c>
      <c r="T67" s="225">
        <f t="shared" si="103"/>
        <v>-1205.5218643440039</v>
      </c>
      <c r="U67" s="225">
        <f t="shared" si="103"/>
        <v>-1211.0575473766155</v>
      </c>
      <c r="V67" s="225">
        <f t="shared" si="103"/>
        <v>-1216.6227383145188</v>
      </c>
      <c r="W67" s="150">
        <f t="shared" si="103"/>
        <v>-1222.2174371577128</v>
      </c>
      <c r="X67" s="225">
        <f t="shared" si="103"/>
        <v>-1227.8239391630234</v>
      </c>
      <c r="Y67" s="225">
        <f t="shared" si="103"/>
        <v>-1233.400933263043</v>
      </c>
      <c r="Z67" s="225">
        <f t="shared" si="103"/>
        <v>-1238.9838289441207</v>
      </c>
      <c r="AA67" s="150">
        <f t="shared" si="103"/>
        <v>-1244.5667246251992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286.95061436735779</v>
      </c>
      <c r="G71" s="151">
        <f>main!N78/1000</f>
        <v>298.37288477706733</v>
      </c>
      <c r="H71" s="226">
        <f>main!O78/1000</f>
        <v>341.14099544764287</v>
      </c>
      <c r="I71" s="226">
        <f>main!P78/1000</f>
        <v>314.02243392207248</v>
      </c>
      <c r="J71" s="226">
        <f>main!Q78/1000</f>
        <v>315.05497613497749</v>
      </c>
      <c r="K71" s="151">
        <f>main!R78/1000</f>
        <v>310.54437969325096</v>
      </c>
      <c r="L71" s="226">
        <f>main!S78/1000</f>
        <v>306.24080684971517</v>
      </c>
      <c r="M71" s="226">
        <f>main!T78/1000</f>
        <v>307.95857178194768</v>
      </c>
      <c r="N71" s="226">
        <f>main!U78/1000</f>
        <v>309.86680125051294</v>
      </c>
      <c r="O71" s="151">
        <f>main!V78/1000</f>
        <v>311.62247677399648</v>
      </c>
      <c r="P71" s="258">
        <f>main!W78/1000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40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67.178458618642878</v>
      </c>
      <c r="P74" s="260">
        <f t="shared" si="120"/>
        <v>56.129915947324207</v>
      </c>
      <c r="Q74" s="260">
        <f t="shared" si="120"/>
        <v>60.68122131327442</v>
      </c>
      <c r="R74" s="260">
        <f t="shared" si="120"/>
        <v>47.547539065059425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O24"/>
  <sheetViews>
    <sheetView zoomScale="120" zoomScaleNormal="120" workbookViewId="0">
      <pane xSplit="1" topLeftCell="M1" activePane="topRight" state="frozen"/>
      <selection pane="topRight" activeCell="O20" sqref="O2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5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349</v>
      </c>
      <c r="O1" t="s">
        <v>363</v>
      </c>
    </row>
    <row r="2" spans="1:15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</row>
    <row r="3" spans="1:15" x14ac:dyDescent="0.35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TRANSPOSE(main!M36:V36)/1000</f>
        <v>874.87800000000004</v>
      </c>
      <c r="L3">
        <v>738.2</v>
      </c>
      <c r="M3">
        <v>140</v>
      </c>
      <c r="N3">
        <v>0</v>
      </c>
      <c r="O3">
        <v>0</v>
      </c>
    </row>
    <row r="4" spans="1:15" x14ac:dyDescent="0.35">
      <c r="A4" s="190">
        <v>44196</v>
      </c>
      <c r="B4">
        <v>-26.789650629444708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  <c r="O4">
        <v>0</v>
      </c>
    </row>
    <row r="5" spans="1:15" x14ac:dyDescent="0.35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1641.9267533528007</v>
      </c>
      <c r="H5">
        <v>-643.37710701026424</v>
      </c>
      <c r="I5">
        <v>127.61464764872966</v>
      </c>
      <c r="K5">
        <v>724</v>
      </c>
      <c r="L5">
        <v>664</v>
      </c>
      <c r="M5">
        <v>60</v>
      </c>
      <c r="N5">
        <v>59</v>
      </c>
      <c r="O5">
        <v>71.400000000000006</v>
      </c>
    </row>
    <row r="6" spans="1:15" x14ac:dyDescent="0.35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574.2278108710334</v>
      </c>
      <c r="H6">
        <v>-647.78916812809337</v>
      </c>
      <c r="I6">
        <v>115.66594358351179</v>
      </c>
      <c r="K6">
        <v>152</v>
      </c>
      <c r="L6">
        <v>108</v>
      </c>
      <c r="M6">
        <v>44</v>
      </c>
      <c r="N6">
        <v>59</v>
      </c>
      <c r="O6">
        <v>71.400000000000006</v>
      </c>
    </row>
    <row r="7" spans="1:15" x14ac:dyDescent="0.35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500.34254097599887</v>
      </c>
      <c r="H7">
        <v>-652.5536906191013</v>
      </c>
      <c r="I7">
        <v>131.28898901689669</v>
      </c>
      <c r="K7">
        <v>44</v>
      </c>
      <c r="L7">
        <v>0</v>
      </c>
      <c r="M7">
        <v>44</v>
      </c>
      <c r="N7">
        <v>59</v>
      </c>
      <c r="O7">
        <v>30.6</v>
      </c>
    </row>
    <row r="8" spans="1:15" x14ac:dyDescent="0.35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468.78244356721166</v>
      </c>
      <c r="H8">
        <v>-1112.356223009233</v>
      </c>
      <c r="I8">
        <v>115.49105945954116</v>
      </c>
      <c r="K8">
        <v>44</v>
      </c>
      <c r="L8">
        <v>0</v>
      </c>
      <c r="M8">
        <v>44</v>
      </c>
      <c r="N8">
        <v>59</v>
      </c>
      <c r="O8">
        <v>30.6</v>
      </c>
    </row>
    <row r="9" spans="1:15" x14ac:dyDescent="0.35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470.86460316326475</v>
      </c>
      <c r="H9">
        <v>-1163.1072012785651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0</v>
      </c>
    </row>
    <row r="10" spans="1:15" x14ac:dyDescent="0.35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467.32301703117241</v>
      </c>
      <c r="H10">
        <v>-1168.1884625696937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0</v>
      </c>
    </row>
    <row r="11" spans="1:15" x14ac:dyDescent="0.35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455.99434699556832</v>
      </c>
      <c r="H11">
        <v>-1173.3346412524631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</row>
    <row r="12" spans="1:15" x14ac:dyDescent="0.35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455.77441870761095</v>
      </c>
      <c r="H12">
        <v>-1178.5457373268721</v>
      </c>
      <c r="I12">
        <v>67.178458618642878</v>
      </c>
      <c r="K12">
        <v>44</v>
      </c>
      <c r="M12">
        <v>44</v>
      </c>
      <c r="N12">
        <v>59</v>
      </c>
      <c r="O12">
        <v>0</v>
      </c>
    </row>
    <row r="13" spans="1:15" x14ac:dyDescent="0.35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455.77441870761095</v>
      </c>
      <c r="H13">
        <v>-1183.8335539550396</v>
      </c>
      <c r="I13">
        <v>56.129915947324207</v>
      </c>
      <c r="N13">
        <v>59</v>
      </c>
      <c r="O13">
        <v>0</v>
      </c>
    </row>
    <row r="14" spans="1:15" x14ac:dyDescent="0.35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455.77441870761095</v>
      </c>
      <c r="H14">
        <v>-1189.1449769074391</v>
      </c>
      <c r="I14">
        <v>60.68122131327442</v>
      </c>
      <c r="N14">
        <v>59</v>
      </c>
      <c r="O14">
        <v>0</v>
      </c>
    </row>
    <row r="15" spans="1:15" x14ac:dyDescent="0.35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455.77441870761095</v>
      </c>
      <c r="H15">
        <v>-1194.5331204135953</v>
      </c>
      <c r="I15">
        <v>47.547539065059425</v>
      </c>
      <c r="N15">
        <v>59</v>
      </c>
      <c r="O15">
        <v>0</v>
      </c>
    </row>
    <row r="16" spans="1:15" x14ac:dyDescent="0.35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455.77441870761095</v>
      </c>
      <c r="H16">
        <v>-1199.997984473508</v>
      </c>
      <c r="I16">
        <v>45.661372118098029</v>
      </c>
      <c r="N16">
        <v>59</v>
      </c>
      <c r="O16">
        <v>0</v>
      </c>
    </row>
    <row r="17" spans="1:9" x14ac:dyDescent="0.35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455.77441870761095</v>
      </c>
      <c r="H17">
        <v>-1205.5218643440039</v>
      </c>
      <c r="I17">
        <v>45.975992958117956</v>
      </c>
    </row>
    <row r="18" spans="1:9" x14ac:dyDescent="0.35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455.77441870761095</v>
      </c>
      <c r="H18">
        <v>-1211.0575473766155</v>
      </c>
      <c r="I18">
        <v>46.297859579612521</v>
      </c>
    </row>
    <row r="19" spans="1:9" x14ac:dyDescent="0.35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455.77441870761095</v>
      </c>
      <c r="H19">
        <v>-1216.6227383145188</v>
      </c>
      <c r="I19">
        <v>46.628917748543074</v>
      </c>
    </row>
    <row r="20" spans="1:9" x14ac:dyDescent="0.35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455.77441870761095</v>
      </c>
      <c r="H20">
        <v>-1222.2174371577128</v>
      </c>
      <c r="I20">
        <v>46.720623828499299</v>
      </c>
    </row>
    <row r="21" spans="1:9" x14ac:dyDescent="0.35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455.77441870761095</v>
      </c>
      <c r="H21">
        <v>-1227.8239391630234</v>
      </c>
      <c r="I21">
        <v>46.930226557055903</v>
      </c>
    </row>
    <row r="22" spans="1:9" x14ac:dyDescent="0.35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455.77441870761095</v>
      </c>
      <c r="H22">
        <v>-1233.400933263043</v>
      </c>
      <c r="I22">
        <v>47.032571404843281</v>
      </c>
    </row>
    <row r="23" spans="1:9" x14ac:dyDescent="0.35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455.77441870761095</v>
      </c>
      <c r="H23">
        <v>-1238.9838289441207</v>
      </c>
      <c r="I23">
        <v>47.141596715840137</v>
      </c>
    </row>
    <row r="24" spans="1:9" x14ac:dyDescent="0.35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455.77441870761095</v>
      </c>
      <c r="H24">
        <v>-1244.5667246251992</v>
      </c>
      <c r="I24">
        <v>47.208731610573466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01" t="s">
        <v>21</v>
      </c>
      <c r="E1" s="301"/>
      <c r="F1" s="301"/>
      <c r="G1" s="301"/>
      <c r="H1" s="301" t="s">
        <v>9</v>
      </c>
      <c r="I1" s="301"/>
      <c r="J1" s="301"/>
      <c r="K1" s="301"/>
      <c r="L1" s="301" t="s">
        <v>10</v>
      </c>
      <c r="M1" s="301"/>
      <c r="N1" s="301"/>
      <c r="O1" s="301"/>
      <c r="P1" s="301" t="s">
        <v>11</v>
      </c>
      <c r="Q1" s="301"/>
      <c r="R1" s="301"/>
      <c r="S1" s="301"/>
      <c r="T1" s="301" t="s">
        <v>268</v>
      </c>
      <c r="U1" s="301"/>
      <c r="V1" s="301"/>
      <c r="W1" s="301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6">
        <f>main!N30</f>
        <v>2847845.8319988288</v>
      </c>
      <c r="M3" s="266">
        <f>main!O30</f>
        <v>3232064.9561336781</v>
      </c>
      <c r="N3" s="266">
        <f>main!P30</f>
        <v>2658305.2157637766</v>
      </c>
      <c r="O3" s="266">
        <f>main!Q30</f>
        <v>2548767.4784838995</v>
      </c>
      <c r="P3" s="266">
        <f>main!R30</f>
        <v>2601999.1665078122</v>
      </c>
      <c r="Q3" s="266">
        <f>main!S30</f>
        <v>2656541.4105371395</v>
      </c>
      <c r="R3" s="266">
        <f>main!T30</f>
        <v>2712430.6137193376</v>
      </c>
      <c r="S3" s="266">
        <f>main!U30</f>
        <v>2769704.2727967203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835999</v>
      </c>
      <c r="L5" s="273">
        <f>main!N91</f>
        <v>846655.9390002318</v>
      </c>
      <c r="M5" s="273">
        <f>main!O91</f>
        <v>859704.14460568153</v>
      </c>
      <c r="N5" s="273">
        <f>main!P91</f>
        <v>867211.47334407107</v>
      </c>
      <c r="O5" s="273">
        <f>main!Q91</f>
        <v>867929.66513166018</v>
      </c>
      <c r="P5" s="273">
        <f>main!R91</f>
        <v>869012.33925145073</v>
      </c>
      <c r="Q5" s="273">
        <f>main!S91</f>
        <v>870466.73148570256</v>
      </c>
      <c r="R5" s="273">
        <f>main!T91</f>
        <v>872014.07451017783</v>
      </c>
      <c r="S5" s="273">
        <f>main!U91</f>
        <v>873408.51802630571</v>
      </c>
      <c r="T5" s="273">
        <f>main!V91</f>
        <v>874637.8300734181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691267</v>
      </c>
      <c r="L6" s="35">
        <f>main!N94</f>
        <v>703733.08900023182</v>
      </c>
      <c r="M6" s="35">
        <f>main!O94</f>
        <v>716423.98748068151</v>
      </c>
      <c r="N6" s="35">
        <f>main!P94</f>
        <v>723573.11582625867</v>
      </c>
      <c r="O6" s="35">
        <f>main!Q94</f>
        <v>723573.11582625867</v>
      </c>
      <c r="P6" s="35">
        <f>main!R94</f>
        <v>723573.11582625867</v>
      </c>
      <c r="Q6" s="35">
        <f>main!S94</f>
        <v>723573.11582625867</v>
      </c>
      <c r="R6" s="35">
        <f>main!T94</f>
        <v>723573.11582625867</v>
      </c>
      <c r="S6" s="35">
        <f>main!U94</f>
        <v>723573.11582625867</v>
      </c>
      <c r="T6" s="35">
        <f>main!V94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06" t="s">
        <v>208</v>
      </c>
      <c r="B1" s="307"/>
      <c r="C1" s="35"/>
      <c r="I1" s="250"/>
      <c r="J1" s="314" t="s">
        <v>282</v>
      </c>
      <c r="V1" s="301"/>
      <c r="W1" s="301"/>
      <c r="X1" s="301"/>
      <c r="Y1" s="301"/>
    </row>
    <row r="2" spans="1:27" x14ac:dyDescent="0.35">
      <c r="A2" s="308" t="s">
        <v>192</v>
      </c>
      <c r="B2" s="126"/>
      <c r="C2" t="s">
        <v>193</v>
      </c>
      <c r="H2" s="95"/>
      <c r="I2" s="251"/>
      <c r="J2" s="314"/>
    </row>
    <row r="3" spans="1:27" x14ac:dyDescent="0.35">
      <c r="A3" s="309"/>
      <c r="B3" s="127"/>
      <c r="C3" t="s">
        <v>194</v>
      </c>
      <c r="H3" s="95"/>
      <c r="I3" s="251"/>
      <c r="J3" s="314"/>
    </row>
    <row r="4" spans="1:27" x14ac:dyDescent="0.35">
      <c r="A4" s="309"/>
      <c r="B4" s="128"/>
      <c r="C4" t="s">
        <v>195</v>
      </c>
      <c r="H4" s="95"/>
      <c r="I4" s="95"/>
      <c r="J4" s="95"/>
    </row>
    <row r="5" spans="1:27" x14ac:dyDescent="0.35">
      <c r="A5" s="310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11" t="s">
        <v>160</v>
      </c>
      <c r="D7" s="312"/>
      <c r="E7" s="312"/>
      <c r="F7" s="313"/>
      <c r="G7" s="311" t="s">
        <v>166</v>
      </c>
      <c r="H7" s="312"/>
      <c r="I7" s="312"/>
      <c r="J7" s="313"/>
      <c r="K7" s="311" t="s">
        <v>177</v>
      </c>
      <c r="L7" s="312"/>
      <c r="M7" s="312"/>
      <c r="N7" s="312"/>
      <c r="O7" s="311" t="s">
        <v>272</v>
      </c>
      <c r="P7" s="312"/>
      <c r="Q7" s="312"/>
      <c r="R7" s="312"/>
      <c r="S7" s="311" t="s">
        <v>276</v>
      </c>
      <c r="T7" s="312"/>
      <c r="U7" s="312"/>
      <c r="V7" s="312"/>
      <c r="W7" s="311" t="s">
        <v>277</v>
      </c>
      <c r="X7" s="312"/>
      <c r="Y7" s="312"/>
      <c r="Z7" s="312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3232.0649561336782</v>
      </c>
      <c r="I45" s="102">
        <f>main_nipas!N3/1000</f>
        <v>2658.3052157637767</v>
      </c>
      <c r="J45" s="102">
        <f>main_nipas!O3/1000</f>
        <v>2548.7674784838996</v>
      </c>
      <c r="K45" s="274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1163.501858301976</v>
      </c>
      <c r="I48" s="225">
        <f t="shared" si="30"/>
        <v>803.5651155471096</v>
      </c>
      <c r="J48" s="225">
        <f t="shared" si="30"/>
        <v>843.28782539808162</v>
      </c>
      <c r="K48" s="275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-7.7329999999999472</v>
      </c>
      <c r="C2" s="270">
        <f t="array" ref="C2:C23">TRANSPOSE('add-ons calculations nipas'!F34:AA34)</f>
        <v>691.399</v>
      </c>
      <c r="D2" s="270">
        <f t="array" ref="D2:D23">TRANSPOSE('add-ons calculations'!F40:AA40)</f>
        <v>4.5999999999821739E-2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817.02500000000009</v>
      </c>
      <c r="H2" s="270">
        <f t="array" ref="H2:H23">TRANSPOSE('add-ons calculations'!F67:AA67)</f>
        <v>0.60799999999994725</v>
      </c>
      <c r="I2" s="270">
        <f t="array" ref="I2:I23">TRANSPOSE('add-ons calculations'!F74:AA74)</f>
        <v>44.822614367357801</v>
      </c>
    </row>
    <row r="3" spans="1:9" x14ac:dyDescent="0.35">
      <c r="A3" s="271">
        <v>44196</v>
      </c>
      <c r="B3" s="270">
        <v>-21.942068749787381</v>
      </c>
      <c r="C3" s="270">
        <v>726.6220967502511</v>
      </c>
      <c r="D3" s="270">
        <v>9.1220108456809612E-2</v>
      </c>
      <c r="E3" s="270">
        <v>1.9071502101439819E-3</v>
      </c>
      <c r="F3" s="270">
        <v>23.142985628403267</v>
      </c>
      <c r="G3" s="270">
        <v>513.85424509879022</v>
      </c>
      <c r="H3" s="270">
        <v>-833.73947605477315</v>
      </c>
      <c r="I3" s="270">
        <v>69.242163837897039</v>
      </c>
    </row>
    <row r="4" spans="1:9" x14ac:dyDescent="0.35">
      <c r="A4" s="271">
        <v>44286</v>
      </c>
      <c r="B4" s="270">
        <v>-35.926328019357129</v>
      </c>
      <c r="C4" s="270">
        <v>764.23118760572027</v>
      </c>
      <c r="D4" s="270">
        <v>9.2732986063538192E-2</v>
      </c>
      <c r="E4" s="270">
        <v>1.9387801313541786E-3</v>
      </c>
      <c r="F4" s="270">
        <v>46.379353230327069</v>
      </c>
      <c r="G4" s="270">
        <v>1163.501858301976</v>
      </c>
      <c r="H4" s="270">
        <v>-643.37710701026424</v>
      </c>
      <c r="I4" s="270">
        <v>127.61464764872966</v>
      </c>
    </row>
    <row r="5" spans="1:9" x14ac:dyDescent="0.35">
      <c r="A5" s="271">
        <v>44377</v>
      </c>
      <c r="B5" s="270">
        <v>-55.452357423799299</v>
      </c>
      <c r="C5" s="270">
        <v>796.29411591287919</v>
      </c>
      <c r="D5" s="270">
        <v>9.4207574237998415E-2</v>
      </c>
      <c r="E5" s="270">
        <v>1.969609530561911E-3</v>
      </c>
      <c r="F5" s="270">
        <v>69.743650491218432</v>
      </c>
      <c r="G5" s="270">
        <v>803.5651155471096</v>
      </c>
      <c r="H5" s="270">
        <v>-647.78916812809337</v>
      </c>
      <c r="I5" s="270">
        <v>115.66594358351179</v>
      </c>
    </row>
    <row r="6" spans="1:9" x14ac:dyDescent="0.35">
      <c r="A6" s="271">
        <v>44469</v>
      </c>
      <c r="B6" s="270">
        <v>-82.127515173818438</v>
      </c>
      <c r="C6" s="270">
        <v>819.43775129708126</v>
      </c>
      <c r="D6" s="270">
        <v>9.5783673922369417E-2</v>
      </c>
      <c r="E6" s="270">
        <v>2.0025612436285201E-3</v>
      </c>
      <c r="F6" s="270">
        <v>93.23744404962531</v>
      </c>
      <c r="G6" s="270">
        <v>843.28782539808162</v>
      </c>
      <c r="H6" s="270">
        <v>-652.5536906191013</v>
      </c>
      <c r="I6" s="270">
        <v>131.28898901689669</v>
      </c>
    </row>
    <row r="7" spans="1:9" x14ac:dyDescent="0.35">
      <c r="A7" s="271">
        <v>44561</v>
      </c>
      <c r="B7" s="270">
        <v>-74.107839317399907</v>
      </c>
      <c r="C7" s="270">
        <v>806.09430547419333</v>
      </c>
      <c r="D7" s="270">
        <v>9.6839304535023984E-2</v>
      </c>
      <c r="E7" s="270">
        <v>2.024631444953684E-3</v>
      </c>
      <c r="F7" s="270">
        <v>97.945155839323775</v>
      </c>
      <c r="G7" s="270">
        <v>850.04005809445835</v>
      </c>
      <c r="H7" s="270">
        <v>-1112.356223009233</v>
      </c>
      <c r="I7" s="270">
        <v>115.49105945954116</v>
      </c>
    </row>
    <row r="8" spans="1:9" x14ac:dyDescent="0.35">
      <c r="A8" s="271">
        <v>44651</v>
      </c>
      <c r="B8" s="270">
        <v>-66.088163460981491</v>
      </c>
      <c r="C8" s="270">
        <v>790.92303196281762</v>
      </c>
      <c r="D8" s="270">
        <v>0</v>
      </c>
      <c r="E8" s="270">
        <v>0</v>
      </c>
      <c r="F8" s="270">
        <v>102.65286762902224</v>
      </c>
      <c r="G8" s="270">
        <v>858.64698733295586</v>
      </c>
      <c r="H8" s="270">
        <v>-1163.1072012785651</v>
      </c>
      <c r="I8" s="270">
        <v>99.106394189216473</v>
      </c>
    </row>
    <row r="9" spans="1:9" x14ac:dyDescent="0.35">
      <c r="A9" s="271">
        <v>44742</v>
      </c>
      <c r="B9" s="270">
        <v>-58.068487604563074</v>
      </c>
      <c r="C9" s="270">
        <v>961.70512289327155</v>
      </c>
      <c r="D9" s="270">
        <v>0</v>
      </c>
      <c r="E9" s="270">
        <v>0</v>
      </c>
      <c r="F9" s="270">
        <v>107.3605794187207</v>
      </c>
      <c r="G9" s="270">
        <v>858.38505548999569</v>
      </c>
      <c r="H9" s="270">
        <v>-1168.1884625696937</v>
      </c>
      <c r="I9" s="270">
        <v>88.661254484149993</v>
      </c>
    </row>
    <row r="10" spans="1:9" x14ac:dyDescent="0.35">
      <c r="A10" s="271">
        <v>44834</v>
      </c>
      <c r="B10" s="270">
        <v>-57.472702469768592</v>
      </c>
      <c r="C10" s="270">
        <v>1123.4911234396754</v>
      </c>
      <c r="D10" s="270">
        <v>0</v>
      </c>
      <c r="E10" s="270">
        <v>0</v>
      </c>
      <c r="F10" s="270">
        <v>112.06829120841905</v>
      </c>
      <c r="G10" s="270">
        <v>845.84259591544492</v>
      </c>
      <c r="H10" s="270">
        <v>-1173.3346412524631</v>
      </c>
      <c r="I10" s="270">
        <v>77.676309913851043</v>
      </c>
    </row>
    <row r="11" spans="1:9" x14ac:dyDescent="0.35">
      <c r="A11" s="271">
        <v>44926</v>
      </c>
      <c r="B11" s="270">
        <v>-56.882764644330791</v>
      </c>
      <c r="C11" s="270">
        <v>1274.778725078075</v>
      </c>
      <c r="D11" s="270">
        <v>0</v>
      </c>
      <c r="E11" s="270">
        <v>0</v>
      </c>
      <c r="F11" s="270">
        <v>113.21479904544935</v>
      </c>
      <c r="G11" s="270">
        <v>846.79218391518066</v>
      </c>
      <c r="H11" s="270">
        <v>-1178.5457373268721</v>
      </c>
      <c r="I11" s="270">
        <v>67.178458618642878</v>
      </c>
    </row>
    <row r="12" spans="1:9" x14ac:dyDescent="0.35">
      <c r="A12" s="271">
        <v>45016</v>
      </c>
      <c r="B12" s="270">
        <v>-56.292826818892991</v>
      </c>
      <c r="C12" s="270">
        <v>1423.5474214089395</v>
      </c>
      <c r="D12" s="270">
        <v>0</v>
      </c>
      <c r="E12" s="270">
        <v>0</v>
      </c>
      <c r="F12" s="270">
        <v>114.36130688247965</v>
      </c>
      <c r="G12" s="270">
        <v>848.25444289166103</v>
      </c>
      <c r="H12" s="270">
        <v>-1183.8335539550396</v>
      </c>
      <c r="I12" s="270">
        <v>56.129915947324207</v>
      </c>
    </row>
    <row r="13" spans="1:9" x14ac:dyDescent="0.35">
      <c r="A13" s="271">
        <v>45107</v>
      </c>
      <c r="B13" s="270">
        <v>-55.70288899345519</v>
      </c>
      <c r="C13" s="270">
        <v>1580.2326772777706</v>
      </c>
      <c r="D13" s="270">
        <v>0</v>
      </c>
      <c r="E13" s="270">
        <v>0</v>
      </c>
      <c r="F13" s="270">
        <v>115.50781471950995</v>
      </c>
      <c r="G13" s="270">
        <v>850.06731710176859</v>
      </c>
      <c r="H13" s="270">
        <v>-1189.1449769074391</v>
      </c>
      <c r="I13" s="270">
        <v>60.68122131327442</v>
      </c>
    </row>
    <row r="14" spans="1:9" x14ac:dyDescent="0.35">
      <c r="A14" s="271">
        <v>45199</v>
      </c>
      <c r="B14" s="270">
        <v>-55.112951168017389</v>
      </c>
      <c r="C14" s="270">
        <v>1736.1982459158774</v>
      </c>
      <c r="D14" s="270">
        <v>0</v>
      </c>
      <c r="E14" s="270">
        <v>0</v>
      </c>
      <c r="F14" s="270">
        <v>116.65432255654025</v>
      </c>
      <c r="G14" s="270">
        <v>852.88477510766552</v>
      </c>
      <c r="H14" s="270">
        <v>-1194.5331204135953</v>
      </c>
      <c r="I14" s="270">
        <v>47.547539065059425</v>
      </c>
    </row>
    <row r="15" spans="1:9" x14ac:dyDescent="0.35">
      <c r="A15" s="271">
        <v>45291</v>
      </c>
      <c r="B15" s="270">
        <v>-55.733991110367128</v>
      </c>
      <c r="C15" s="270">
        <v>1730.8026319571122</v>
      </c>
      <c r="D15" s="270">
        <v>0</v>
      </c>
      <c r="E15" s="270">
        <v>0</v>
      </c>
      <c r="F15" s="270">
        <v>117.32067194419665</v>
      </c>
      <c r="G15" s="270">
        <v>861.50572629627095</v>
      </c>
      <c r="H15" s="270">
        <v>-1199.997984473508</v>
      </c>
      <c r="I15" s="270">
        <v>45.661372118098029</v>
      </c>
    </row>
    <row r="16" spans="1:9" x14ac:dyDescent="0.35">
      <c r="A16" s="271">
        <v>45382</v>
      </c>
      <c r="B16" s="270">
        <v>-56.355031052716868</v>
      </c>
      <c r="C16" s="270">
        <v>1729.7251413826953</v>
      </c>
      <c r="D16" s="270">
        <v>0</v>
      </c>
      <c r="E16" s="270">
        <v>0</v>
      </c>
      <c r="F16" s="270">
        <v>117.98702133185293</v>
      </c>
      <c r="G16" s="270">
        <v>869.78940994020809</v>
      </c>
      <c r="H16" s="270">
        <v>-1205.5218643440039</v>
      </c>
      <c r="I16" s="270">
        <v>45.975992958117956</v>
      </c>
    </row>
    <row r="17" spans="1:9" x14ac:dyDescent="0.35">
      <c r="A17" s="271">
        <v>45473</v>
      </c>
      <c r="B17" s="270">
        <v>-56.976070995066607</v>
      </c>
      <c r="C17" s="270">
        <v>1732.6059305772574</v>
      </c>
      <c r="D17" s="270">
        <v>0</v>
      </c>
      <c r="E17" s="270">
        <v>0</v>
      </c>
      <c r="F17" s="270">
        <v>118.65337071950921</v>
      </c>
      <c r="G17" s="270">
        <v>876.50054554939038</v>
      </c>
      <c r="H17" s="270">
        <v>-1211.0575473766155</v>
      </c>
      <c r="I17" s="270">
        <v>46.297859579612521</v>
      </c>
    </row>
    <row r="18" spans="1:9" x14ac:dyDescent="0.35">
      <c r="A18" s="271">
        <v>45565</v>
      </c>
      <c r="B18" s="270">
        <v>-57.597110937416346</v>
      </c>
      <c r="C18" s="270">
        <v>1741.244217617616</v>
      </c>
      <c r="D18" s="270">
        <v>0</v>
      </c>
      <c r="E18" s="270">
        <v>0</v>
      </c>
      <c r="F18" s="270">
        <v>119.31972010716561</v>
      </c>
      <c r="G18" s="270">
        <v>882.24775744790236</v>
      </c>
      <c r="H18" s="270">
        <v>-1216.6227383145188</v>
      </c>
      <c r="I18" s="270">
        <v>46.628917748543074</v>
      </c>
    </row>
    <row r="19" spans="1:9" x14ac:dyDescent="0.35">
      <c r="A19" s="271">
        <v>45657</v>
      </c>
      <c r="B19" s="270">
        <v>-58.383824644874608</v>
      </c>
      <c r="C19" s="270">
        <v>1728.7877655292568</v>
      </c>
      <c r="D19" s="270">
        <v>0</v>
      </c>
      <c r="E19" s="270">
        <v>0</v>
      </c>
      <c r="F19" s="270">
        <v>122.81863012191729</v>
      </c>
      <c r="G19" s="270">
        <v>902.60982095533109</v>
      </c>
      <c r="H19" s="270">
        <v>-1222.2174371577128</v>
      </c>
      <c r="I19" s="270">
        <v>46.720623828499299</v>
      </c>
    </row>
    <row r="20" spans="1:9" x14ac:dyDescent="0.35">
      <c r="A20" s="271">
        <v>45747</v>
      </c>
      <c r="B20" s="270">
        <v>-59.170538352332983</v>
      </c>
      <c r="C20" s="270">
        <v>1715.6116262101732</v>
      </c>
      <c r="D20" s="270">
        <v>0</v>
      </c>
      <c r="E20" s="270">
        <v>0</v>
      </c>
      <c r="F20" s="270">
        <v>126.31754013666887</v>
      </c>
      <c r="G20" s="270">
        <v>919.79903559883928</v>
      </c>
      <c r="H20" s="270">
        <v>-1227.8239391630234</v>
      </c>
      <c r="I20" s="270">
        <v>46.930226557055903</v>
      </c>
    </row>
    <row r="21" spans="1:9" x14ac:dyDescent="0.35">
      <c r="A21" s="271">
        <v>45838</v>
      </c>
      <c r="B21" s="270">
        <v>-59.957252059791244</v>
      </c>
      <c r="C21" s="270">
        <v>1705.3142358139858</v>
      </c>
      <c r="D21" s="270">
        <v>0</v>
      </c>
      <c r="E21" s="270">
        <v>0</v>
      </c>
      <c r="F21" s="270">
        <v>129.81645015142067</v>
      </c>
      <c r="G21" s="270">
        <v>934.17753410578689</v>
      </c>
      <c r="H21" s="270">
        <v>-1233.400933263043</v>
      </c>
      <c r="I21" s="270">
        <v>47.032571404843281</v>
      </c>
    </row>
    <row r="22" spans="1:9" x14ac:dyDescent="0.35">
      <c r="A22" s="271">
        <v>45930</v>
      </c>
      <c r="B22" s="270">
        <v>-60.74396576724962</v>
      </c>
      <c r="C22" s="270">
        <v>1698.2554379560565</v>
      </c>
      <c r="D22" s="270">
        <v>0</v>
      </c>
      <c r="E22" s="270">
        <v>0</v>
      </c>
      <c r="F22" s="270">
        <v>133.31536016617247</v>
      </c>
      <c r="G22" s="270">
        <v>945.44284276820849</v>
      </c>
      <c r="H22" s="270">
        <v>-1238.9838289441207</v>
      </c>
      <c r="I22" s="270">
        <v>47.141596715840137</v>
      </c>
    </row>
    <row r="23" spans="1:9" x14ac:dyDescent="0.35">
      <c r="A23" s="271">
        <v>46022</v>
      </c>
      <c r="B23" s="270">
        <v>-61.562616921527933</v>
      </c>
      <c r="C23" s="270">
        <v>1689.8007860527734</v>
      </c>
      <c r="D23" s="270">
        <v>0</v>
      </c>
      <c r="E23" s="270">
        <v>0</v>
      </c>
      <c r="F23" s="270">
        <v>135.67395143661656</v>
      </c>
      <c r="G23" s="270">
        <v>951.51196828767593</v>
      </c>
      <c r="H23" s="270">
        <v>-1244.5667246251992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defaultColWidth="8.81640625" defaultRowHeight="14.5" x14ac:dyDescent="0.35"/>
  <cols>
    <col min="1" max="1" width="7.36328125" bestFit="1" customWidth="1"/>
    <col min="2" max="9" width="10.1796875" bestFit="1" customWidth="1"/>
  </cols>
  <sheetData>
    <row r="1" spans="1:9" s="279" customFormat="1" x14ac:dyDescent="0.35">
      <c r="A1" s="279" t="s">
        <v>324</v>
      </c>
      <c r="B1" s="279" t="s">
        <v>325</v>
      </c>
      <c r="C1" s="279" t="s">
        <v>326</v>
      </c>
      <c r="D1" s="279" t="s">
        <v>327</v>
      </c>
      <c r="E1" s="279" t="s">
        <v>328</v>
      </c>
      <c r="F1" s="279" t="s">
        <v>329</v>
      </c>
      <c r="G1" s="279" t="s">
        <v>330</v>
      </c>
      <c r="H1" s="279" t="s">
        <v>331</v>
      </c>
      <c r="I1" s="279" t="s">
        <v>332</v>
      </c>
    </row>
    <row r="2" spans="1:9" x14ac:dyDescent="0.35">
      <c r="A2" t="s">
        <v>294</v>
      </c>
      <c r="B2" s="283">
        <v>20909.900000000001</v>
      </c>
      <c r="C2" s="283">
        <v>21115.3</v>
      </c>
      <c r="D2" s="283">
        <v>21329.9</v>
      </c>
      <c r="E2" s="283">
        <v>21540.3</v>
      </c>
      <c r="F2" s="283">
        <v>21747.4</v>
      </c>
      <c r="G2" s="283">
        <v>21561.1</v>
      </c>
      <c r="H2" s="283">
        <v>19520.099999999999</v>
      </c>
      <c r="I2" s="283">
        <v>21157.1</v>
      </c>
    </row>
    <row r="3" spans="1:9" x14ac:dyDescent="0.35">
      <c r="A3" t="s">
        <v>295</v>
      </c>
      <c r="B3" s="283">
        <v>18813.900000000001</v>
      </c>
      <c r="C3" s="283">
        <v>18950.3</v>
      </c>
      <c r="D3" s="283">
        <v>19020.599999999999</v>
      </c>
      <c r="E3" s="283">
        <v>19141.7</v>
      </c>
      <c r="F3" s="283">
        <v>19254</v>
      </c>
      <c r="G3" s="283">
        <v>19010.8</v>
      </c>
      <c r="H3" s="283">
        <v>17302.5</v>
      </c>
      <c r="I3" s="283">
        <v>18583.5</v>
      </c>
    </row>
    <row r="4" spans="1:9" x14ac:dyDescent="0.35">
      <c r="A4" t="s">
        <v>296</v>
      </c>
      <c r="B4" s="283">
        <v>1634.2</v>
      </c>
      <c r="C4" s="283">
        <v>1695.5</v>
      </c>
      <c r="D4" s="283">
        <v>1703.1</v>
      </c>
      <c r="E4" s="283">
        <v>1713.2</v>
      </c>
      <c r="F4" s="283">
        <v>1740.2</v>
      </c>
      <c r="G4" s="283">
        <v>1756.6</v>
      </c>
      <c r="H4" s="283">
        <v>1600.1</v>
      </c>
      <c r="I4" s="283">
        <v>1687.2</v>
      </c>
    </row>
    <row r="5" spans="1:9" x14ac:dyDescent="0.35">
      <c r="A5" t="s">
        <v>297</v>
      </c>
      <c r="B5" s="283">
        <v>183.5</v>
      </c>
      <c r="C5" s="283">
        <v>172.1</v>
      </c>
      <c r="D5" s="283">
        <v>168.3</v>
      </c>
      <c r="E5" s="283">
        <v>175.1</v>
      </c>
      <c r="F5" s="283">
        <v>179.2</v>
      </c>
      <c r="G5" s="283">
        <v>183.8</v>
      </c>
      <c r="H5" s="283">
        <v>131.4</v>
      </c>
      <c r="I5" s="283">
        <v>144.69999999999999</v>
      </c>
    </row>
    <row r="6" spans="1:9" x14ac:dyDescent="0.35">
      <c r="A6" t="s">
        <v>298</v>
      </c>
      <c r="B6" s="283">
        <v>1355.2</v>
      </c>
      <c r="C6" s="283">
        <v>1386.7</v>
      </c>
      <c r="D6" s="283">
        <v>1392.6</v>
      </c>
      <c r="E6" s="283">
        <v>1397.2</v>
      </c>
      <c r="F6" s="283">
        <v>1411.7</v>
      </c>
      <c r="G6" s="283">
        <v>1431.2</v>
      </c>
      <c r="H6" s="283">
        <v>1369.2</v>
      </c>
      <c r="I6" s="283">
        <v>1429.6</v>
      </c>
    </row>
    <row r="7" spans="1:9" x14ac:dyDescent="0.35">
      <c r="A7" t="s">
        <v>299</v>
      </c>
      <c r="B7" s="283">
        <v>234.7</v>
      </c>
      <c r="C7" s="283">
        <v>213.8</v>
      </c>
      <c r="D7" s="283">
        <v>224.2</v>
      </c>
      <c r="E7" s="283">
        <v>201.6</v>
      </c>
      <c r="F7" s="283">
        <v>229.7</v>
      </c>
      <c r="G7" s="283">
        <v>180.5</v>
      </c>
      <c r="H7" s="283">
        <v>171.5</v>
      </c>
      <c r="I7" s="283">
        <v>205.3</v>
      </c>
    </row>
    <row r="8" spans="1:9" x14ac:dyDescent="0.35">
      <c r="A8" t="s">
        <v>300</v>
      </c>
      <c r="B8" s="283">
        <v>456.5</v>
      </c>
      <c r="C8" s="283">
        <v>475.2</v>
      </c>
      <c r="D8" s="283">
        <v>519.4</v>
      </c>
      <c r="E8" s="283">
        <v>483.9</v>
      </c>
      <c r="F8" s="283">
        <v>480.9</v>
      </c>
      <c r="G8" s="283">
        <v>495.8</v>
      </c>
      <c r="H8" s="283">
        <v>496.4</v>
      </c>
      <c r="I8" s="283">
        <v>499.4</v>
      </c>
    </row>
    <row r="9" spans="1:9" x14ac:dyDescent="0.35">
      <c r="A9" t="s">
        <v>301</v>
      </c>
      <c r="B9" s="283">
        <v>1295.5</v>
      </c>
      <c r="C9" s="283">
        <v>1301.5999999999999</v>
      </c>
      <c r="D9" s="283">
        <v>1312.4</v>
      </c>
      <c r="E9" s="283">
        <v>1326.5</v>
      </c>
      <c r="F9" s="283">
        <v>1330.4</v>
      </c>
      <c r="G9" s="283">
        <v>1346.2</v>
      </c>
      <c r="H9" s="283">
        <v>1264.3</v>
      </c>
      <c r="I9" s="283">
        <v>1317.3</v>
      </c>
    </row>
    <row r="10" spans="1:9" x14ac:dyDescent="0.35">
      <c r="A10" t="s">
        <v>333</v>
      </c>
      <c r="B10" s="283">
        <v>8600</v>
      </c>
      <c r="C10" s="283">
        <v>8932</v>
      </c>
      <c r="D10" s="283">
        <v>8944</v>
      </c>
      <c r="E10" s="283">
        <v>8604</v>
      </c>
      <c r="F10" s="283">
        <v>7908</v>
      </c>
      <c r="G10" s="283">
        <v>7020</v>
      </c>
      <c r="H10" s="283">
        <v>6744</v>
      </c>
      <c r="I10" s="283">
        <v>7248</v>
      </c>
    </row>
    <row r="11" spans="1:9" x14ac:dyDescent="0.35">
      <c r="A11" t="s">
        <v>334</v>
      </c>
      <c r="B11" s="283">
        <v>12969</v>
      </c>
      <c r="C11" s="283">
        <v>13054</v>
      </c>
      <c r="D11" s="283">
        <v>13132</v>
      </c>
      <c r="E11" s="283">
        <v>13183</v>
      </c>
      <c r="F11" s="283">
        <v>13235</v>
      </c>
      <c r="G11" s="283">
        <v>13345</v>
      </c>
      <c r="H11" s="283">
        <v>12362</v>
      </c>
      <c r="I11" s="283">
        <v>12998</v>
      </c>
    </row>
    <row r="12" spans="1:9" x14ac:dyDescent="0.35">
      <c r="A12" t="s">
        <v>303</v>
      </c>
      <c r="B12" s="283">
        <v>63.5</v>
      </c>
      <c r="C12" s="283">
        <v>68.5</v>
      </c>
      <c r="D12" s="283">
        <v>68.7</v>
      </c>
      <c r="E12" s="283">
        <v>69.8</v>
      </c>
      <c r="F12" s="283">
        <v>71</v>
      </c>
      <c r="G12" s="283">
        <v>62.7</v>
      </c>
      <c r="H12" s="283">
        <v>54.2</v>
      </c>
      <c r="I12" s="283">
        <v>79.099999999999994</v>
      </c>
    </row>
    <row r="13" spans="1:9" x14ac:dyDescent="0.35">
      <c r="A13" t="s">
        <v>304</v>
      </c>
      <c r="B13" s="283">
        <v>2220523</v>
      </c>
      <c r="C13" s="283">
        <v>2298792</v>
      </c>
      <c r="D13" s="283">
        <v>2315842</v>
      </c>
      <c r="E13" s="283">
        <v>2331428</v>
      </c>
      <c r="F13" s="283">
        <v>2347737</v>
      </c>
      <c r="G13" s="283">
        <v>2422546</v>
      </c>
      <c r="H13" s="283">
        <v>4815254</v>
      </c>
      <c r="I13" s="283">
        <v>3488125</v>
      </c>
    </row>
    <row r="14" spans="1:9" x14ac:dyDescent="0.35">
      <c r="A14" t="s">
        <v>305</v>
      </c>
      <c r="B14" s="283">
        <v>753311</v>
      </c>
      <c r="C14" s="283">
        <v>767353</v>
      </c>
      <c r="D14" s="283">
        <v>779707</v>
      </c>
      <c r="E14" s="283">
        <v>789893</v>
      </c>
      <c r="F14" s="283">
        <v>797912</v>
      </c>
      <c r="G14" s="283">
        <v>804655</v>
      </c>
      <c r="H14" s="283">
        <v>824058</v>
      </c>
      <c r="I14" s="283">
        <v>842733</v>
      </c>
    </row>
    <row r="15" spans="1:9" x14ac:dyDescent="0.35">
      <c r="A15" t="s">
        <v>306</v>
      </c>
      <c r="H15" s="283">
        <v>1078100</v>
      </c>
      <c r="I15" s="283">
        <v>15600</v>
      </c>
    </row>
    <row r="16" spans="1:9" x14ac:dyDescent="0.35">
      <c r="A16" t="s">
        <v>307</v>
      </c>
      <c r="B16" s="283">
        <v>27025</v>
      </c>
      <c r="C16" s="283">
        <v>28029</v>
      </c>
      <c r="D16" s="283">
        <v>27483</v>
      </c>
      <c r="E16" s="283">
        <v>27578</v>
      </c>
      <c r="F16" s="283">
        <v>27884</v>
      </c>
      <c r="G16" s="283">
        <v>43429</v>
      </c>
      <c r="H16" s="283">
        <v>1084572</v>
      </c>
      <c r="I16" s="283">
        <v>768678</v>
      </c>
    </row>
    <row r="17" spans="1:9" x14ac:dyDescent="0.35">
      <c r="A17" t="s">
        <v>308</v>
      </c>
      <c r="H17" s="283">
        <v>19100</v>
      </c>
      <c r="I17" s="283">
        <v>27000</v>
      </c>
    </row>
    <row r="18" spans="1:9" x14ac:dyDescent="0.35">
      <c r="A18" t="s">
        <v>309</v>
      </c>
      <c r="H18" s="283">
        <v>160900</v>
      </c>
      <c r="I18" s="283">
        <v>58400</v>
      </c>
    </row>
    <row r="19" spans="1:9" x14ac:dyDescent="0.35">
      <c r="A19" t="s">
        <v>310</v>
      </c>
      <c r="B19" s="283">
        <v>79458</v>
      </c>
      <c r="C19" s="283">
        <v>71318</v>
      </c>
      <c r="D19" s="283">
        <v>61083</v>
      </c>
      <c r="E19" s="283">
        <v>81998</v>
      </c>
      <c r="F19" s="283">
        <v>81147</v>
      </c>
      <c r="G19" s="283">
        <v>75093</v>
      </c>
      <c r="H19" s="283">
        <v>1086548</v>
      </c>
      <c r="I19" s="283">
        <v>1213308</v>
      </c>
    </row>
    <row r="20" spans="1:9" x14ac:dyDescent="0.35">
      <c r="A20" t="s">
        <v>311</v>
      </c>
      <c r="H20" s="283">
        <v>609300</v>
      </c>
      <c r="I20" s="283">
        <v>865600</v>
      </c>
    </row>
    <row r="21" spans="1:9" x14ac:dyDescent="0.35">
      <c r="A21" t="s">
        <v>312</v>
      </c>
      <c r="H21" s="283">
        <v>63800</v>
      </c>
      <c r="I21" s="283">
        <v>15000</v>
      </c>
    </row>
    <row r="22" spans="1:9" x14ac:dyDescent="0.35">
      <c r="A22" t="s">
        <v>313</v>
      </c>
      <c r="H22" s="283">
        <v>73300</v>
      </c>
      <c r="I22" s="283">
        <v>73300</v>
      </c>
    </row>
    <row r="23" spans="1:9" x14ac:dyDescent="0.35">
      <c r="A23" t="s">
        <v>314</v>
      </c>
      <c r="H23" s="283">
        <v>140000</v>
      </c>
      <c r="I23" s="283">
        <v>140000</v>
      </c>
    </row>
    <row r="24" spans="1:9" x14ac:dyDescent="0.35">
      <c r="A24" t="s">
        <v>315</v>
      </c>
      <c r="B24" s="283">
        <v>586475</v>
      </c>
      <c r="C24" s="283">
        <v>594213</v>
      </c>
      <c r="D24" s="283">
        <v>612547</v>
      </c>
      <c r="E24" s="283">
        <v>610331</v>
      </c>
      <c r="F24" s="283">
        <v>615406</v>
      </c>
      <c r="G24" s="283">
        <v>627805</v>
      </c>
      <c r="H24" s="283">
        <v>1396890</v>
      </c>
      <c r="I24" s="283">
        <v>728172</v>
      </c>
    </row>
    <row r="25" spans="1:9" x14ac:dyDescent="0.35">
      <c r="A25" t="s">
        <v>318</v>
      </c>
      <c r="B25" s="283">
        <v>1368395</v>
      </c>
      <c r="C25" s="283">
        <v>1388750</v>
      </c>
      <c r="D25" s="283">
        <v>1410626</v>
      </c>
      <c r="E25" s="283">
        <v>1429281</v>
      </c>
      <c r="F25" s="283">
        <v>1447946</v>
      </c>
      <c r="G25" s="283">
        <v>1452551</v>
      </c>
      <c r="H25" s="283">
        <v>1504782</v>
      </c>
      <c r="I25" s="283">
        <v>1486802</v>
      </c>
    </row>
    <row r="26" spans="1:9" x14ac:dyDescent="0.35">
      <c r="A26" t="s">
        <v>317</v>
      </c>
      <c r="B26" s="283">
        <v>1241599</v>
      </c>
      <c r="C26" s="283">
        <v>1245767</v>
      </c>
      <c r="D26" s="283">
        <v>1273567</v>
      </c>
      <c r="E26" s="283">
        <v>1288518</v>
      </c>
      <c r="F26" s="283">
        <v>1301120</v>
      </c>
      <c r="G26" s="283">
        <v>1306142</v>
      </c>
      <c r="H26" s="283">
        <v>1356816</v>
      </c>
      <c r="I26" s="283">
        <v>1335322</v>
      </c>
    </row>
    <row r="27" spans="1:9" x14ac:dyDescent="0.35">
      <c r="A27" t="s">
        <v>319</v>
      </c>
      <c r="B27" s="283">
        <v>389624</v>
      </c>
      <c r="C27" s="283">
        <v>404529</v>
      </c>
      <c r="D27" s="283">
        <v>419672</v>
      </c>
      <c r="E27" s="283">
        <v>418824</v>
      </c>
      <c r="F27" s="283">
        <v>411409</v>
      </c>
      <c r="G27" s="283">
        <v>423429</v>
      </c>
      <c r="H27" s="283">
        <v>512640</v>
      </c>
      <c r="I27" s="283">
        <v>486072</v>
      </c>
    </row>
    <row r="28" spans="1:9" x14ac:dyDescent="0.35">
      <c r="A28" t="s">
        <v>320</v>
      </c>
      <c r="B28" s="283">
        <v>728844</v>
      </c>
      <c r="C28" s="283">
        <v>738714</v>
      </c>
      <c r="D28" s="283">
        <v>755204</v>
      </c>
      <c r="E28" s="283">
        <v>763370</v>
      </c>
      <c r="F28" s="283">
        <v>760967</v>
      </c>
      <c r="G28" s="283">
        <v>767087</v>
      </c>
      <c r="H28" s="283">
        <v>812158</v>
      </c>
      <c r="I28" s="283">
        <v>835999</v>
      </c>
    </row>
    <row r="29" spans="1:9" x14ac:dyDescent="0.35">
      <c r="A29" t="s">
        <v>321</v>
      </c>
      <c r="B29" s="283">
        <v>589819</v>
      </c>
      <c r="C29" s="283">
        <v>599372</v>
      </c>
      <c r="D29" s="283">
        <v>614976</v>
      </c>
      <c r="E29" s="283">
        <v>622265</v>
      </c>
      <c r="F29" s="283">
        <v>619362</v>
      </c>
      <c r="G29" s="283">
        <v>624096</v>
      </c>
      <c r="H29" s="283">
        <v>668823</v>
      </c>
      <c r="I29" s="283">
        <v>691267</v>
      </c>
    </row>
    <row r="30" spans="1:9" x14ac:dyDescent="0.35">
      <c r="A30" t="s">
        <v>322</v>
      </c>
      <c r="B30" s="283">
        <v>1997129</v>
      </c>
      <c r="C30" s="283">
        <v>2012720</v>
      </c>
      <c r="D30" s="283">
        <v>2025477</v>
      </c>
      <c r="E30" s="283">
        <v>2028275</v>
      </c>
      <c r="F30" s="283">
        <v>2035602</v>
      </c>
      <c r="G30" s="283">
        <v>2041017</v>
      </c>
      <c r="H30" s="283">
        <v>2013139</v>
      </c>
      <c r="I30" s="283">
        <v>1992677</v>
      </c>
    </row>
    <row r="31" spans="1:9" x14ac:dyDescent="0.35">
      <c r="A31" t="s">
        <v>323</v>
      </c>
      <c r="B31" s="283">
        <v>2279638</v>
      </c>
      <c r="C31" s="283">
        <v>2292717</v>
      </c>
      <c r="D31" s="283">
        <v>2327018</v>
      </c>
      <c r="E31" s="283">
        <v>2337774</v>
      </c>
      <c r="F31" s="283">
        <v>2357385</v>
      </c>
      <c r="G31" s="283">
        <v>2381563</v>
      </c>
      <c r="H31" s="283">
        <v>2334544</v>
      </c>
      <c r="I31" s="283">
        <v>2329677</v>
      </c>
    </row>
    <row r="32" spans="1:9" x14ac:dyDescent="0.35">
      <c r="A32" t="s">
        <v>302</v>
      </c>
      <c r="B32" s="283">
        <v>21.568999999999999</v>
      </c>
      <c r="C32" s="283">
        <v>21.986000000000001</v>
      </c>
      <c r="D32" s="283">
        <v>22.076000000000001</v>
      </c>
      <c r="E32" s="283">
        <v>21.786999999999999</v>
      </c>
      <c r="F32" s="283">
        <v>21.143000000000001</v>
      </c>
      <c r="G32" s="283">
        <v>20.364999999999998</v>
      </c>
      <c r="H32" s="283">
        <v>19.106000000000002</v>
      </c>
      <c r="I32" s="283">
        <v>20.245999999999999</v>
      </c>
    </row>
    <row r="33" spans="1:9" x14ac:dyDescent="0.35">
      <c r="A33" t="s">
        <v>336</v>
      </c>
      <c r="H33" s="283">
        <v>277100</v>
      </c>
      <c r="I33" s="283">
        <v>228300</v>
      </c>
    </row>
    <row r="34" spans="1:9" x14ac:dyDescent="0.35">
      <c r="A34" t="s">
        <v>316</v>
      </c>
      <c r="H34" s="283">
        <v>690700</v>
      </c>
      <c r="I34" s="283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3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02" t="s">
        <v>208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35">
      <c r="A2" s="321" t="s">
        <v>192</v>
      </c>
      <c r="B2" s="107"/>
      <c r="C2" t="s">
        <v>193</v>
      </c>
    </row>
    <row r="3" spans="1:32" x14ac:dyDescent="0.35">
      <c r="A3" s="321"/>
      <c r="B3" s="108"/>
      <c r="C3" t="s">
        <v>194</v>
      </c>
    </row>
    <row r="4" spans="1:32" x14ac:dyDescent="0.35">
      <c r="A4" s="321"/>
      <c r="B4" s="109"/>
      <c r="C4" t="s">
        <v>195</v>
      </c>
    </row>
    <row r="5" spans="1:32" x14ac:dyDescent="0.35">
      <c r="A5" s="321"/>
      <c r="B5" s="98"/>
      <c r="C5" t="s">
        <v>182</v>
      </c>
    </row>
    <row r="7" spans="1:32" x14ac:dyDescent="0.35">
      <c r="C7" s="311" t="s">
        <v>160</v>
      </c>
      <c r="D7" s="312"/>
      <c r="E7" s="312"/>
      <c r="F7" s="313"/>
      <c r="G7" s="311" t="s">
        <v>166</v>
      </c>
      <c r="H7" s="312"/>
      <c r="I7" s="312"/>
      <c r="J7" s="313"/>
      <c r="K7" s="311" t="s">
        <v>177</v>
      </c>
      <c r="L7" s="312"/>
      <c r="M7" s="312"/>
      <c r="N7" s="313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1213.308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G23" sqref="G23:G24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22" t="s">
        <v>104</v>
      </c>
      <c r="B2" s="322"/>
      <c r="C2" s="322"/>
      <c r="D2" s="322"/>
      <c r="E2" s="322"/>
      <c r="F2" s="322"/>
      <c r="G2" s="322"/>
      <c r="H2" s="322"/>
      <c r="I2" s="322"/>
      <c r="J2" s="322"/>
      <c r="K2" s="77"/>
    </row>
    <row r="3" spans="1:24" x14ac:dyDescent="0.35">
      <c r="A3" s="322" t="s">
        <v>105</v>
      </c>
      <c r="B3" s="322"/>
      <c r="C3" s="322"/>
      <c r="D3" s="322"/>
      <c r="E3" s="322"/>
      <c r="F3" s="322"/>
      <c r="G3" s="322"/>
      <c r="H3" s="322"/>
      <c r="I3" s="322"/>
      <c r="J3" s="322"/>
      <c r="K3" s="77"/>
    </row>
    <row r="4" spans="1:24" ht="15" thickBot="1" x14ac:dyDescent="0.4">
      <c r="A4" s="323"/>
      <c r="B4" s="323"/>
      <c r="C4" s="323"/>
      <c r="D4" s="323"/>
      <c r="E4" s="323"/>
      <c r="F4" s="323"/>
      <c r="G4" s="323"/>
      <c r="H4" s="323"/>
      <c r="I4" s="323"/>
      <c r="J4" s="323"/>
      <c r="K4" s="328" t="s">
        <v>160</v>
      </c>
      <c r="L4" s="328"/>
      <c r="M4" s="328"/>
      <c r="N4" s="328"/>
    </row>
    <row r="5" spans="1:24" x14ac:dyDescent="0.35">
      <c r="A5" s="47"/>
      <c r="B5" s="48"/>
      <c r="C5" s="324" t="s">
        <v>106</v>
      </c>
      <c r="D5" s="325"/>
      <c r="E5" s="325"/>
      <c r="F5" s="325"/>
      <c r="G5" s="325"/>
      <c r="H5" s="325"/>
      <c r="I5" s="325"/>
      <c r="J5" s="326"/>
      <c r="K5" s="78"/>
      <c r="L5" s="327" t="s">
        <v>107</v>
      </c>
      <c r="M5" s="301"/>
      <c r="N5" s="301"/>
    </row>
    <row r="6" spans="1:24" x14ac:dyDescent="0.35">
      <c r="A6" s="1" t="s">
        <v>109</v>
      </c>
      <c r="B6" s="49"/>
      <c r="C6" s="330">
        <v>2020</v>
      </c>
      <c r="D6" s="331"/>
      <c r="E6" s="331"/>
      <c r="F6" s="331"/>
      <c r="G6" s="331"/>
      <c r="H6" s="331"/>
      <c r="I6" s="331"/>
      <c r="J6" s="33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3" t="s">
        <v>108</v>
      </c>
      <c r="L23" s="333"/>
      <c r="M23" s="333"/>
      <c r="N23" s="333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29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2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29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9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29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37" t="s">
        <v>87</v>
      </c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</row>
    <row r="7" spans="1:18" x14ac:dyDescent="0.35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35" t="s">
        <v>95</v>
      </c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36" t="s">
        <v>99</v>
      </c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35" t="s">
        <v>101</v>
      </c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3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2020-12-22T18:29:33Z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