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ocumentation\COVID-19 Changes\September\"/>
    </mc:Choice>
  </mc:AlternateContent>
  <xr:revisionPtr revIDLastSave="0" documentId="13_ncr:1_{AD61C30A-B8CA-4288-855F-24D480D9047E}" xr6:coauthVersionLast="44" xr6:coauthVersionMax="45" xr10:uidLastSave="{00000000-0000-0000-0000-000000000000}"/>
  <bookViews>
    <workbookView xWindow="28680" yWindow="-120" windowWidth="29040" windowHeight="15840" xr2:uid="{BAFE3F49-3B7E-4387-938E-5F3D7AC6DAFE}"/>
  </bookViews>
  <sheets>
    <sheet name="main" sheetId="1" r:id="rId1"/>
    <sheet name="add-ons calculations" sheetId="5" r:id="rId2"/>
    <sheet name="FIM Add Factors" sheetId="9" r:id="rId3"/>
    <sheet name="main_nipas" sheetId="10" r:id="rId4"/>
    <sheet name="add-ons calculations nipas" sheetId="11" r:id="rId5"/>
    <sheet name="NIPA Add Factors" sheetId="12" r:id="rId6"/>
    <sheet name="Haver NA" sheetId="14" r:id="rId7"/>
    <sheet name="ui" sheetId="13" r:id="rId8"/>
    <sheet name="MPC" sheetId="8" r:id="rId9"/>
    <sheet name="figuring out Medicaid" sheetId="7" r:id="rId10"/>
    <sheet name="add-ons - Kadija b4" sheetId="6" state="hidden" r:id="rId11"/>
    <sheet name="figuring out UI" sheetId="4" r:id="rId12"/>
    <sheet name="figuring NIPA tax changes" sheetId="3" r:id="rId13"/>
    <sheet name="figuring out social benefits" sheetId="2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3" i="1" l="1"/>
  <c r="P63" i="1"/>
  <c r="Q63" i="1"/>
  <c r="R63" i="1"/>
  <c r="S63" i="1"/>
  <c r="T63" i="1"/>
  <c r="U63" i="1"/>
  <c r="O63" i="1"/>
  <c r="P36" i="1"/>
  <c r="N36" i="1"/>
  <c r="O36" i="1"/>
  <c r="V63" i="1"/>
  <c r="W63" i="1"/>
  <c r="S49" i="1"/>
  <c r="O49" i="1"/>
  <c r="M37" i="4" l="1"/>
  <c r="M17" i="4"/>
  <c r="M37" i="1"/>
  <c r="M36" i="1" s="1"/>
  <c r="M35" i="1"/>
  <c r="M90" i="1" l="1"/>
  <c r="M87" i="1"/>
  <c r="M84" i="1"/>
  <c r="M81" i="1"/>
  <c r="M77" i="1"/>
  <c r="M75" i="1"/>
  <c r="M74" i="1"/>
  <c r="M59" i="1"/>
  <c r="M55" i="1"/>
  <c r="M54" i="1"/>
  <c r="M53" i="1"/>
  <c r="M51" i="1"/>
  <c r="M48" i="1"/>
  <c r="M43" i="1"/>
  <c r="M42" i="1"/>
  <c r="M32" i="1"/>
  <c r="O33" i="1" s="1"/>
  <c r="M31" i="1"/>
  <c r="M30" i="1"/>
  <c r="M26" i="1"/>
  <c r="M25" i="1"/>
  <c r="M24" i="1"/>
  <c r="M23" i="1"/>
  <c r="M18" i="1"/>
  <c r="M16" i="1"/>
  <c r="M14" i="1"/>
  <c r="M12" i="1"/>
  <c r="M7" i="1"/>
  <c r="M5" i="1"/>
  <c r="M34" i="1" l="1"/>
  <c r="E46" i="11" l="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40" i="11" s="1"/>
  <c r="R39" i="11"/>
  <c r="S39" i="11"/>
  <c r="S40" i="11" s="1"/>
  <c r="T39" i="11"/>
  <c r="U39" i="11"/>
  <c r="V39" i="11"/>
  <c r="W39" i="11"/>
  <c r="X39" i="11"/>
  <c r="X40" i="11" s="1"/>
  <c r="Y39" i="11"/>
  <c r="Z39" i="11"/>
  <c r="AA39" i="11"/>
  <c r="D39" i="11"/>
  <c r="W40" i="11"/>
  <c r="AA32" i="11"/>
  <c r="AA33" i="11" s="1"/>
  <c r="Z32" i="11"/>
  <c r="Y32" i="11"/>
  <c r="X32" i="11"/>
  <c r="W32" i="11"/>
  <c r="V32" i="11"/>
  <c r="U32" i="11"/>
  <c r="T32" i="11"/>
  <c r="S32" i="11"/>
  <c r="R32" i="11"/>
  <c r="Q32" i="11"/>
  <c r="P32" i="11"/>
  <c r="P33" i="11" s="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AA26" i="11" s="1"/>
  <c r="Z25" i="11"/>
  <c r="Y25" i="11"/>
  <c r="X25" i="11"/>
  <c r="W25" i="11"/>
  <c r="V25" i="11"/>
  <c r="U25" i="11"/>
  <c r="T25" i="11"/>
  <c r="S25" i="11"/>
  <c r="R25" i="11"/>
  <c r="Q25" i="11"/>
  <c r="P25" i="11"/>
  <c r="O25" i="11"/>
  <c r="O26" i="11" s="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7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Z40" i="11" l="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96" i="1"/>
  <c r="X96" i="1"/>
  <c r="W96" i="1"/>
  <c r="Y95" i="1"/>
  <c r="Y97" i="1" s="1"/>
  <c r="X95" i="1"/>
  <c r="X97" i="1" s="1"/>
  <c r="W95" i="1"/>
  <c r="W97" i="1" s="1"/>
  <c r="N91" i="1"/>
  <c r="O91" i="1" s="1"/>
  <c r="P91" i="1" s="1"/>
  <c r="Q91" i="1" s="1"/>
  <c r="R91" i="1" s="1"/>
  <c r="S91" i="1" s="1"/>
  <c r="M92" i="1"/>
  <c r="M88" i="1"/>
  <c r="G88" i="1"/>
  <c r="H88" i="1"/>
  <c r="I88" i="1"/>
  <c r="J88" i="1"/>
  <c r="K88" i="1"/>
  <c r="L88" i="1"/>
  <c r="L92" i="1"/>
  <c r="K92" i="1"/>
  <c r="N38" i="1" l="1"/>
  <c r="M52" i="1" l="1"/>
  <c r="M49" i="1" s="1"/>
  <c r="L52" i="1"/>
  <c r="M82" i="1"/>
  <c r="M60" i="1"/>
  <c r="N16" i="1"/>
  <c r="N6" i="1"/>
  <c r="N12" i="1"/>
  <c r="N14" i="1"/>
  <c r="N11" i="1" l="1"/>
  <c r="AA25" i="5"/>
  <c r="Z25" i="5"/>
  <c r="Y25" i="5"/>
  <c r="X25" i="5"/>
  <c r="W25" i="5"/>
  <c r="V25" i="5"/>
  <c r="U25" i="5"/>
  <c r="T25" i="5"/>
  <c r="S25" i="5"/>
  <c r="R25" i="5"/>
  <c r="Q25" i="5"/>
  <c r="Q26" i="5" s="1"/>
  <c r="P25" i="5"/>
  <c r="O25" i="5"/>
  <c r="N25" i="5"/>
  <c r="M25" i="5"/>
  <c r="L25" i="5"/>
  <c r="N32" i="5"/>
  <c r="O32" i="5"/>
  <c r="P32" i="5"/>
  <c r="Q32" i="5"/>
  <c r="R32" i="5"/>
  <c r="R33" i="5" s="1"/>
  <c r="S32" i="5"/>
  <c r="T32" i="5"/>
  <c r="U32" i="5"/>
  <c r="V32" i="5"/>
  <c r="W32" i="5"/>
  <c r="X32" i="5"/>
  <c r="Y32" i="5"/>
  <c r="Z32" i="5"/>
  <c r="Z33" i="5" s="1"/>
  <c r="AA32" i="5"/>
  <c r="AA33" i="5"/>
  <c r="AK31" i="1"/>
  <c r="AJ31" i="1"/>
  <c r="AI31" i="1"/>
  <c r="AH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W73" i="5" s="1"/>
  <c r="X72" i="5"/>
  <c r="Y72" i="5"/>
  <c r="Z72" i="5"/>
  <c r="AA72" i="5"/>
  <c r="AA73" i="5" s="1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4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R26" i="5" l="1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76" i="1"/>
  <c r="Y76" i="1"/>
  <c r="X76" i="1"/>
  <c r="W76" i="1"/>
  <c r="P72" i="5"/>
  <c r="Q72" i="5"/>
  <c r="L4" i="10" l="1"/>
  <c r="G38" i="11" s="1"/>
  <c r="G41" i="11" s="1"/>
  <c r="O31" i="1"/>
  <c r="Q73" i="5"/>
  <c r="R73" i="5"/>
  <c r="O72" i="5"/>
  <c r="N51" i="1"/>
  <c r="N49" i="1" s="1"/>
  <c r="P51" i="1"/>
  <c r="P49" i="1" s="1"/>
  <c r="Q51" i="1"/>
  <c r="Q49" i="1" s="1"/>
  <c r="R51" i="1"/>
  <c r="R49" i="1" s="1"/>
  <c r="T51" i="1"/>
  <c r="U51" i="1"/>
  <c r="V51" i="1"/>
  <c r="T52" i="1"/>
  <c r="U52" i="1"/>
  <c r="V52" i="1"/>
  <c r="U49" i="1" l="1"/>
  <c r="T49" i="1"/>
  <c r="V49" i="1"/>
  <c r="P3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Q31" i="1" l="1"/>
  <c r="N4" i="10"/>
  <c r="I38" i="11" s="1"/>
  <c r="I41" i="11" s="1"/>
  <c r="N33" i="5"/>
  <c r="M33" i="5"/>
  <c r="N26" i="4"/>
  <c r="W18" i="4"/>
  <c r="V40" i="1" s="1"/>
  <c r="V34" i="1" s="1"/>
  <c r="V18" i="4"/>
  <c r="U40" i="1" s="1"/>
  <c r="U34" i="1" s="1"/>
  <c r="U18" i="4"/>
  <c r="T40" i="1" s="1"/>
  <c r="T34" i="1" s="1"/>
  <c r="T18" i="4"/>
  <c r="S40" i="1" s="1"/>
  <c r="S34" i="1" s="1"/>
  <c r="F29" i="4"/>
  <c r="V33" i="4"/>
  <c r="V26" i="4" s="1"/>
  <c r="U33" i="4"/>
  <c r="U26" i="4" s="1"/>
  <c r="T33" i="4"/>
  <c r="T26" i="4" s="1"/>
  <c r="S33" i="4"/>
  <c r="S37" i="4" s="1"/>
  <c r="V93" i="1"/>
  <c r="V48" i="1"/>
  <c r="U48" i="1"/>
  <c r="T48" i="1"/>
  <c r="S48" i="1"/>
  <c r="L64" i="5" s="1"/>
  <c r="R31" i="1" l="1"/>
  <c r="O4" i="10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S40" i="4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T4" i="10"/>
  <c r="Q67" i="5"/>
  <c r="R64" i="5"/>
  <c r="Q26" i="1"/>
  <c r="I44" i="5"/>
  <c r="I46" i="5" s="1"/>
  <c r="Q23" i="1"/>
  <c r="P22" i="1"/>
  <c r="I38" i="5" s="1"/>
  <c r="X31" i="1" l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W4" i="10" s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E3" i="9" l="1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C14" i="1"/>
  <c r="U38" i="11" l="1"/>
  <c r="T41" i="11"/>
  <c r="X64" i="5"/>
  <c r="W67" i="5"/>
  <c r="F25" i="5"/>
  <c r="AB18" i="1"/>
  <c r="AB16" i="1"/>
  <c r="AB14" i="1"/>
  <c r="AB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82" i="1" l="1"/>
  <c r="K82" i="1"/>
  <c r="J82" i="1"/>
  <c r="I82" i="1"/>
  <c r="H82" i="1"/>
  <c r="G82" i="1"/>
  <c r="F82" i="1"/>
  <c r="L63" i="1"/>
  <c r="G60" i="1"/>
  <c r="H60" i="1"/>
  <c r="I60" i="1"/>
  <c r="J60" i="1"/>
  <c r="K60" i="1"/>
  <c r="L60" i="1"/>
  <c r="L61" i="1" s="1"/>
  <c r="F60" i="1"/>
  <c r="AJ77" i="1"/>
  <c r="AI77" i="1"/>
  <c r="AH77" i="1"/>
  <c r="J86" i="1"/>
  <c r="K86" i="1"/>
  <c r="F15" i="7" s="1"/>
  <c r="J15" i="7" s="1"/>
  <c r="J13" i="7" s="1"/>
  <c r="G86" i="1"/>
  <c r="H86" i="1"/>
  <c r="I86" i="1"/>
  <c r="F86" i="1"/>
  <c r="L72" i="1" l="1"/>
  <c r="E71" i="5" s="1"/>
  <c r="J2" i="9" s="1"/>
  <c r="H15" i="7"/>
  <c r="H13" i="7" s="1"/>
  <c r="AI84" i="1" s="1"/>
  <c r="K15" i="7"/>
  <c r="K13" i="7" s="1"/>
  <c r="F13" i="7"/>
  <c r="G15" i="7"/>
  <c r="G13" i="7" s="1"/>
  <c r="AH84" i="1" s="1"/>
  <c r="I15" i="7"/>
  <c r="I13" i="7" s="1"/>
  <c r="AJ84" i="1" s="1"/>
  <c r="K72" i="1"/>
  <c r="N87" i="1"/>
  <c r="O87" i="1" s="1"/>
  <c r="P87" i="1" s="1"/>
  <c r="Q87" i="1" s="1"/>
  <c r="R87" i="1" s="1"/>
  <c r="S87" i="1" s="1"/>
  <c r="T87" i="1" s="1"/>
  <c r="U87" i="1" s="1"/>
  <c r="V87" i="1" s="1"/>
  <c r="T93" i="1"/>
  <c r="T91" i="1" s="1"/>
  <c r="U93" i="1"/>
  <c r="U91" i="1" l="1"/>
  <c r="V91" i="1" s="1"/>
  <c r="N84" i="1"/>
  <c r="L6" i="10" s="1"/>
  <c r="G24" i="11" s="1"/>
  <c r="G27" i="11" s="1"/>
  <c r="L15" i="7"/>
  <c r="L13" i="7" s="1"/>
  <c r="AC84" i="1"/>
  <c r="D25" i="5"/>
  <c r="E50" i="5"/>
  <c r="M96" i="1"/>
  <c r="F95" i="1"/>
  <c r="F97" i="1" s="1"/>
  <c r="L96" i="1"/>
  <c r="D24" i="5" s="1"/>
  <c r="M41" i="1"/>
  <c r="L41" i="1"/>
  <c r="O84" i="1" l="1"/>
  <c r="M6" i="10" s="1"/>
  <c r="H24" i="11" s="1"/>
  <c r="H27" i="11" s="1"/>
  <c r="M44" i="1"/>
  <c r="N77" i="1"/>
  <c r="E24" i="5"/>
  <c r="M63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76" i="1"/>
  <c r="O76" i="1"/>
  <c r="P76" i="1"/>
  <c r="Q76" i="1"/>
  <c r="R76" i="1"/>
  <c r="S76" i="1"/>
  <c r="T76" i="1"/>
  <c r="U76" i="1"/>
  <c r="V76" i="1"/>
  <c r="M76" i="1"/>
  <c r="M61" i="1" s="1"/>
  <c r="O41" i="1"/>
  <c r="P41" i="1"/>
  <c r="Q41" i="1"/>
  <c r="R41" i="1"/>
  <c r="N41" i="1"/>
  <c r="P84" i="1" l="1"/>
  <c r="N6" i="10" s="1"/>
  <c r="I24" i="11" s="1"/>
  <c r="I27" i="11" s="1"/>
  <c r="O77" i="1"/>
  <c r="N61" i="1"/>
  <c r="O61" i="1" s="1"/>
  <c r="E54" i="6"/>
  <c r="E56" i="6" s="1"/>
  <c r="M72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P77" i="1" l="1"/>
  <c r="F54" i="6"/>
  <c r="Q84" i="1"/>
  <c r="O6" i="10" s="1"/>
  <c r="J24" i="11" s="1"/>
  <c r="J27" i="11" s="1"/>
  <c r="F71" i="5"/>
  <c r="J3" i="9" s="1"/>
  <c r="P61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Q77" i="1" l="1"/>
  <c r="G54" i="6"/>
  <c r="F56" i="6"/>
  <c r="F58" i="6" s="1"/>
  <c r="R84" i="1"/>
  <c r="P6" i="10" s="1"/>
  <c r="K24" i="11" s="1"/>
  <c r="K27" i="11" s="1"/>
  <c r="AD84" i="1"/>
  <c r="Q61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R77" i="1" l="1"/>
  <c r="G56" i="6"/>
  <c r="G58" i="6" s="1"/>
  <c r="H54" i="6"/>
  <c r="S84" i="1"/>
  <c r="Q6" i="10" s="1"/>
  <c r="L24" i="11" s="1"/>
  <c r="L27" i="11" s="1"/>
  <c r="R61" i="1"/>
  <c r="S61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S77" i="1" l="1"/>
  <c r="H56" i="6"/>
  <c r="H58" i="6" s="1"/>
  <c r="I54" i="6"/>
  <c r="T84" i="1"/>
  <c r="R6" i="10" s="1"/>
  <c r="M24" i="11" s="1"/>
  <c r="T61" i="1"/>
  <c r="S72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I56" i="6" l="1"/>
  <c r="I58" i="6" s="1"/>
  <c r="J54" i="6"/>
  <c r="T77" i="1"/>
  <c r="M27" i="11"/>
  <c r="N24" i="11"/>
  <c r="U84" i="1"/>
  <c r="S6" i="10" s="1"/>
  <c r="U61" i="1"/>
  <c r="T72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K54" i="6" l="1"/>
  <c r="K56" i="6" s="1"/>
  <c r="K58" i="6" s="1"/>
  <c r="J56" i="6"/>
  <c r="J58" i="6" s="1"/>
  <c r="O24" i="11"/>
  <c r="N27" i="11"/>
  <c r="V84" i="1"/>
  <c r="T6" i="10" s="1"/>
  <c r="U77" i="1"/>
  <c r="AE84" i="1"/>
  <c r="V61" i="1"/>
  <c r="U72" i="1"/>
  <c r="N71" i="5" s="1"/>
  <c r="N74" i="5" s="1"/>
  <c r="N72" i="1"/>
  <c r="O72" i="1"/>
  <c r="P72" i="1"/>
  <c r="Q72" i="1"/>
  <c r="R72" i="1"/>
  <c r="N48" i="1"/>
  <c r="O48" i="1"/>
  <c r="P48" i="1"/>
  <c r="Q48" i="1"/>
  <c r="R48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D2" i="12" l="1" a="1"/>
  <c r="D3" i="12" s="1"/>
  <c r="P24" i="11"/>
  <c r="O27" i="11"/>
  <c r="V77" i="1"/>
  <c r="V96" i="1" s="1"/>
  <c r="D3" i="9" a="1"/>
  <c r="D19" i="9" s="1"/>
  <c r="K52" i="5"/>
  <c r="L52" i="5"/>
  <c r="V72" i="1"/>
  <c r="O71" i="5" s="1"/>
  <c r="O74" i="5" s="1"/>
  <c r="W61" i="1"/>
  <c r="W72" i="1" s="1"/>
  <c r="P71" i="5" s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59" i="1"/>
  <c r="D6" i="12" l="1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P74" i="5"/>
  <c r="Q71" i="5"/>
  <c r="H3" i="9" a="1"/>
  <c r="O59" i="1"/>
  <c r="H20" i="12" l="1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R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59" i="1"/>
  <c r="S24" i="11" l="1"/>
  <c r="R27" i="11"/>
  <c r="S71" i="5"/>
  <c r="R74" i="5"/>
  <c r="R59" i="1"/>
  <c r="Q59" i="1"/>
  <c r="T24" i="11" l="1"/>
  <c r="S27" i="11"/>
  <c r="T71" i="5"/>
  <c r="S74" i="5"/>
  <c r="G95" i="1"/>
  <c r="G97" i="1" s="1"/>
  <c r="H95" i="1"/>
  <c r="H97" i="1" s="1"/>
  <c r="I95" i="1"/>
  <c r="I97" i="1" s="1"/>
  <c r="J95" i="1"/>
  <c r="J97" i="1" s="1"/>
  <c r="K95" i="1"/>
  <c r="K97" i="1" s="1"/>
  <c r="M8" i="4"/>
  <c r="U24" i="11" l="1"/>
  <c r="T27" i="11"/>
  <c r="U71" i="5"/>
  <c r="T74" i="5"/>
  <c r="AD41" i="1"/>
  <c r="AE41" i="1"/>
  <c r="X42" i="2"/>
  <c r="F47" i="2"/>
  <c r="X41" i="2"/>
  <c r="X40" i="2"/>
  <c r="X38" i="2"/>
  <c r="X37" i="2"/>
  <c r="X36" i="2"/>
  <c r="X35" i="2"/>
  <c r="X34" i="2"/>
  <c r="S37" i="1"/>
  <c r="T37" i="1"/>
  <c r="U37" i="1"/>
  <c r="L44" i="1"/>
  <c r="K44" i="1"/>
  <c r="J44" i="1"/>
  <c r="AC41" i="1"/>
  <c r="G48" i="2"/>
  <c r="AH41" i="1" s="1"/>
  <c r="AH46" i="1" s="1"/>
  <c r="AC32" i="1"/>
  <c r="S18" i="4"/>
  <c r="R40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L45" i="1"/>
  <c r="J78" i="1"/>
  <c r="K78" i="1"/>
  <c r="D57" i="5" s="1"/>
  <c r="K45" i="1"/>
  <c r="V71" i="5"/>
  <c r="U74" i="5"/>
  <c r="G47" i="2"/>
  <c r="G32" i="4"/>
  <c r="G33" i="4" s="1"/>
  <c r="K38" i="4"/>
  <c r="K18" i="4" s="1"/>
  <c r="G49" i="2"/>
  <c r="G50" i="2" s="1"/>
  <c r="X43" i="2"/>
  <c r="AE40" i="1"/>
  <c r="Q18" i="4"/>
  <c r="P40" i="1" s="1"/>
  <c r="S17" i="4"/>
  <c r="R37" i="1" s="1"/>
  <c r="L26" i="4"/>
  <c r="M26" i="4"/>
  <c r="M28" i="4"/>
  <c r="Q17" i="4" l="1"/>
  <c r="P37" i="1" s="1"/>
  <c r="W24" i="11"/>
  <c r="V27" i="11"/>
  <c r="R17" i="4"/>
  <c r="Q37" i="1" s="1"/>
  <c r="Q36" i="1" s="1"/>
  <c r="P17" i="4"/>
  <c r="O37" i="1" s="1"/>
  <c r="O17" i="4"/>
  <c r="N37" i="1" s="1"/>
  <c r="N44" i="1"/>
  <c r="W71" i="5"/>
  <c r="V74" i="5"/>
  <c r="R36" i="1"/>
  <c r="N28" i="4"/>
  <c r="M33" i="4"/>
  <c r="L37" i="1" s="1"/>
  <c r="L36" i="1" s="1"/>
  <c r="AE37" i="1"/>
  <c r="L34" i="4"/>
  <c r="L38" i="4"/>
  <c r="L18" i="4" s="1"/>
  <c r="P18" i="4"/>
  <c r="O40" i="1" s="1"/>
  <c r="O18" i="4"/>
  <c r="N40" i="1" s="1"/>
  <c r="R18" i="4"/>
  <c r="Q40" i="1" s="1"/>
  <c r="O44" i="1" l="1"/>
  <c r="N78" i="1"/>
  <c r="P34" i="1"/>
  <c r="Q34" i="1"/>
  <c r="AD37" i="1"/>
  <c r="X24" i="11"/>
  <c r="W27" i="11"/>
  <c r="N34" i="1"/>
  <c r="R34" i="1"/>
  <c r="AE34" i="1" s="1"/>
  <c r="O34" i="1"/>
  <c r="M34" i="4"/>
  <c r="X71" i="5"/>
  <c r="W74" i="5"/>
  <c r="L78" i="1"/>
  <c r="E57" i="5" s="1"/>
  <c r="N33" i="4"/>
  <c r="N17" i="4" s="1"/>
  <c r="N10" i="4"/>
  <c r="AD40" i="1"/>
  <c r="M38" i="4"/>
  <c r="M18" i="4" s="1"/>
  <c r="L40" i="1" s="1"/>
  <c r="N8" i="4"/>
  <c r="N18" i="4"/>
  <c r="M40" i="1" s="1"/>
  <c r="M95" i="1" s="1"/>
  <c r="M97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J16" i="1" s="1"/>
  <c r="G20" i="3"/>
  <c r="AI16" i="1" s="1"/>
  <c r="F20" i="3"/>
  <c r="AH16" i="1" s="1"/>
  <c r="G21" i="3"/>
  <c r="AI18" i="1" s="1"/>
  <c r="H21" i="3"/>
  <c r="AJ18" i="1" s="1"/>
  <c r="I21" i="3"/>
  <c r="J21" i="3"/>
  <c r="K21" i="3"/>
  <c r="L21" i="3"/>
  <c r="M21" i="3"/>
  <c r="N21" i="3"/>
  <c r="O21" i="3"/>
  <c r="P21" i="3"/>
  <c r="Q21" i="3"/>
  <c r="R21" i="3"/>
  <c r="F21" i="3"/>
  <c r="AH18" i="1" s="1"/>
  <c r="G19" i="3"/>
  <c r="AI12" i="1" s="1"/>
  <c r="H19" i="3"/>
  <c r="AJ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H12" i="1" s="1"/>
  <c r="AC12" i="1" s="1"/>
  <c r="G44" i="1"/>
  <c r="H78" i="1"/>
  <c r="I44" i="1"/>
  <c r="F44" i="1"/>
  <c r="AB34" i="1"/>
  <c r="I47" i="2"/>
  <c r="H47" i="2"/>
  <c r="F24" i="2"/>
  <c r="L2" i="9" l="1" a="1"/>
  <c r="L2" i="9" s="1"/>
  <c r="P44" i="1"/>
  <c r="O78" i="1"/>
  <c r="M2" i="9" a="1"/>
  <c r="M2" i="9" s="1"/>
  <c r="K3" i="9" a="1"/>
  <c r="K3" i="9" s="1"/>
  <c r="N30" i="1"/>
  <c r="L3" i="10" s="1"/>
  <c r="G45" i="11" s="1"/>
  <c r="G48" i="11" s="1"/>
  <c r="Y24" i="11"/>
  <c r="X27" i="11"/>
  <c r="F78" i="1"/>
  <c r="G78" i="1"/>
  <c r="G45" i="1"/>
  <c r="H45" i="1"/>
  <c r="I78" i="1"/>
  <c r="I45" i="1"/>
  <c r="J45" i="1"/>
  <c r="Y71" i="5"/>
  <c r="X74" i="5"/>
  <c r="O16" i="1"/>
  <c r="P16" i="1" s="1"/>
  <c r="Q16" i="1" s="1"/>
  <c r="R16" i="1" s="1"/>
  <c r="S16" i="1" s="1"/>
  <c r="T16" i="1" s="1"/>
  <c r="U16" i="1" s="1"/>
  <c r="V16" i="1" s="1"/>
  <c r="AC16" i="1"/>
  <c r="N34" i="4"/>
  <c r="N35" i="4" s="1"/>
  <c r="AC40" i="1"/>
  <c r="L95" i="1"/>
  <c r="AD34" i="1"/>
  <c r="H49" i="2"/>
  <c r="H50" i="2" s="1"/>
  <c r="AC37" i="1"/>
  <c r="I49" i="2"/>
  <c r="I50" i="2" s="1"/>
  <c r="Q44" i="1" l="1"/>
  <c r="P78" i="1"/>
  <c r="Z24" i="11"/>
  <c r="Y27" i="11"/>
  <c r="AC34" i="1"/>
  <c r="Z71" i="5"/>
  <c r="Y74" i="5"/>
  <c r="L97" i="1"/>
  <c r="E31" i="5" s="1"/>
  <c r="AD14" i="1"/>
  <c r="AE16" i="1"/>
  <c r="AD16" i="1"/>
  <c r="AB59" i="1"/>
  <c r="AB77" i="1"/>
  <c r="AB48" i="1"/>
  <c r="AB31" i="1"/>
  <c r="AB30" i="1"/>
  <c r="AF18" i="1"/>
  <c r="AF16" i="1"/>
  <c r="AF14" i="1"/>
  <c r="AF12" i="1"/>
  <c r="R44" i="1" l="1"/>
  <c r="Q78" i="1"/>
  <c r="AA24" i="11"/>
  <c r="AA27" i="11" s="1"/>
  <c r="Z27" i="11"/>
  <c r="AI28" i="1"/>
  <c r="AI29" i="1" s="1"/>
  <c r="AH28" i="1"/>
  <c r="AH29" i="1" s="1"/>
  <c r="AH30" i="1"/>
  <c r="AJ28" i="1"/>
  <c r="AA71" i="5"/>
  <c r="AA74" i="5" s="1"/>
  <c r="Z74" i="5"/>
  <c r="AI30" i="1"/>
  <c r="AI44" i="1" s="1"/>
  <c r="AJ30" i="1"/>
  <c r="AJ44" i="1" s="1"/>
  <c r="AE14" i="1"/>
  <c r="AC77" i="1"/>
  <c r="M79" i="1"/>
  <c r="S44" i="1" l="1"/>
  <c r="R78" i="1"/>
  <c r="B2" i="12" a="1"/>
  <c r="B2" i="12" s="1"/>
  <c r="F50" i="5"/>
  <c r="F53" i="5" s="1"/>
  <c r="N18" i="1"/>
  <c r="AC18" i="1"/>
  <c r="AH44" i="1"/>
  <c r="M11" i="1"/>
  <c r="AC31" i="1"/>
  <c r="AC46" i="1" s="1"/>
  <c r="S78" i="1" l="1"/>
  <c r="T44" i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79" i="1"/>
  <c r="AB44" i="1"/>
  <c r="O18" i="1"/>
  <c r="M78" i="1"/>
  <c r="AC44" i="1"/>
  <c r="AN44" i="1" s="1"/>
  <c r="AD31" i="1"/>
  <c r="T78" i="1" l="1"/>
  <c r="U44" i="1"/>
  <c r="F57" i="5"/>
  <c r="F60" i="5" s="1"/>
  <c r="AM44" i="1"/>
  <c r="G57" i="5"/>
  <c r="G60" i="5" s="1"/>
  <c r="P18" i="1"/>
  <c r="O12" i="1"/>
  <c r="AE31" i="1"/>
  <c r="U78" i="1" l="1"/>
  <c r="V44" i="1"/>
  <c r="V78" i="1" s="1"/>
  <c r="Q18" i="1"/>
  <c r="AD18" i="1" s="1"/>
  <c r="P12" i="1"/>
  <c r="O11" i="1"/>
  <c r="H57" i="5"/>
  <c r="H60" i="5" s="1"/>
  <c r="O30" i="1"/>
  <c r="M3" i="10" s="1"/>
  <c r="H45" i="11" s="1"/>
  <c r="H48" i="11" s="1"/>
  <c r="R18" i="1" l="1"/>
  <c r="Q12" i="1"/>
  <c r="AD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D44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E18" i="1"/>
  <c r="U12" i="1"/>
  <c r="T11" i="1"/>
  <c r="T30" i="1"/>
  <c r="R3" i="10" s="1"/>
  <c r="M48" i="11" l="1"/>
  <c r="N60" i="5"/>
  <c r="U11" i="1"/>
  <c r="V12" i="1"/>
  <c r="V11" i="1" s="1"/>
  <c r="AE12" i="1"/>
  <c r="AE44" i="1"/>
  <c r="U30" i="1"/>
  <c r="S3" i="10" s="1"/>
  <c r="N48" i="11" l="1"/>
  <c r="O60" i="5"/>
  <c r="G71" i="5"/>
  <c r="G74" i="5" s="1"/>
  <c r="N79" i="1"/>
  <c r="G50" i="5" s="1"/>
  <c r="G53" i="5" s="1"/>
  <c r="N96" i="1"/>
  <c r="F24" i="5" s="1"/>
  <c r="F27" i="5" s="1"/>
  <c r="O48" i="11" l="1"/>
  <c r="P60" i="5"/>
  <c r="O96" i="1"/>
  <c r="G24" i="5" s="1"/>
  <c r="G27" i="5" s="1"/>
  <c r="H71" i="5"/>
  <c r="H74" i="5" s="1"/>
  <c r="O79" i="1"/>
  <c r="H50" i="5" s="1"/>
  <c r="H53" i="5" s="1"/>
  <c r="P48" i="11" l="1"/>
  <c r="Q60" i="5"/>
  <c r="I71" i="5"/>
  <c r="I74" i="5" s="1"/>
  <c r="P96" i="1"/>
  <c r="H24" i="5" s="1"/>
  <c r="H27" i="5" s="1"/>
  <c r="P79" i="1"/>
  <c r="I50" i="5" s="1"/>
  <c r="I53" i="5" s="1"/>
  <c r="Q48" i="11" l="1"/>
  <c r="R60" i="5"/>
  <c r="J71" i="5"/>
  <c r="J74" i="5" s="1"/>
  <c r="AD77" i="1"/>
  <c r="Q96" i="1"/>
  <c r="I24" i="5" s="1"/>
  <c r="I27" i="5" s="1"/>
  <c r="Q7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79" i="1"/>
  <c r="R96" i="1"/>
  <c r="J24" i="5" s="1"/>
  <c r="J27" i="5" s="1"/>
  <c r="I3" i="9" l="1" a="1"/>
  <c r="I5" i="9" s="1"/>
  <c r="I2" i="12" a="1"/>
  <c r="S48" i="11"/>
  <c r="K53" i="5"/>
  <c r="P50" i="5"/>
  <c r="O53" i="5"/>
  <c r="T60" i="5"/>
  <c r="S96" i="1"/>
  <c r="K24" i="5" s="1"/>
  <c r="K27" i="5" s="1"/>
  <c r="S7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96" i="1"/>
  <c r="L24" i="5" s="1"/>
  <c r="L27" i="5" s="1"/>
  <c r="T79" i="1"/>
  <c r="M53" i="5" s="1"/>
  <c r="U48" i="11" l="1"/>
  <c r="R50" i="5"/>
  <c r="Q53" i="5"/>
  <c r="V60" i="5"/>
  <c r="U79" i="1"/>
  <c r="N53" i="5" s="1"/>
  <c r="U96" i="1"/>
  <c r="M24" i="5" s="1"/>
  <c r="AE77" i="1"/>
  <c r="V48" i="11" l="1"/>
  <c r="M27" i="5"/>
  <c r="N24" i="5"/>
  <c r="S50" i="5"/>
  <c r="R53" i="5"/>
  <c r="W60" i="5"/>
  <c r="N82" i="1"/>
  <c r="O82" i="1" s="1"/>
  <c r="W48" i="11" l="1"/>
  <c r="O24" i="5"/>
  <c r="N27" i="5"/>
  <c r="S53" i="5"/>
  <c r="T50" i="5"/>
  <c r="X60" i="5"/>
  <c r="N81" i="1"/>
  <c r="O81" i="1"/>
  <c r="P82" i="1"/>
  <c r="X48" i="11" l="1"/>
  <c r="O95" i="1"/>
  <c r="O97" i="1" s="1"/>
  <c r="H31" i="5" s="1"/>
  <c r="H34" i="5" s="1"/>
  <c r="M5" i="10"/>
  <c r="H31" i="11" s="1"/>
  <c r="H34" i="11" s="1"/>
  <c r="N95" i="1"/>
  <c r="N97" i="1" s="1"/>
  <c r="G31" i="5" s="1"/>
  <c r="G34" i="5" s="1"/>
  <c r="L5" i="10"/>
  <c r="G31" i="11" s="1"/>
  <c r="G34" i="11" s="1"/>
  <c r="F34" i="5"/>
  <c r="O27" i="5"/>
  <c r="P24" i="5"/>
  <c r="T53" i="5"/>
  <c r="U50" i="5"/>
  <c r="Y60" i="5"/>
  <c r="Q82" i="1"/>
  <c r="P81" i="1"/>
  <c r="Y48" i="11" l="1"/>
  <c r="P95" i="1"/>
  <c r="P9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R82" i="1"/>
  <c r="Q81" i="1"/>
  <c r="AA48" i="11" l="1"/>
  <c r="Z48" i="11"/>
  <c r="Q95" i="1"/>
  <c r="Q97" i="1" s="1"/>
  <c r="J31" i="5" s="1"/>
  <c r="J34" i="5" s="1"/>
  <c r="O5" i="10"/>
  <c r="J31" i="11" s="1"/>
  <c r="J34" i="11" s="1"/>
  <c r="R24" i="5"/>
  <c r="Q27" i="5"/>
  <c r="W50" i="5"/>
  <c r="V53" i="5"/>
  <c r="S82" i="1"/>
  <c r="R81" i="1"/>
  <c r="G2" i="12" l="1" a="1"/>
  <c r="G2" i="12" s="1"/>
  <c r="R95" i="1"/>
  <c r="R97" i="1" s="1"/>
  <c r="K31" i="5" s="1"/>
  <c r="K34" i="5" s="1"/>
  <c r="P5" i="10"/>
  <c r="K31" i="11" s="1"/>
  <c r="K34" i="11" s="1"/>
  <c r="R27" i="5"/>
  <c r="S24" i="5"/>
  <c r="X50" i="5"/>
  <c r="W53" i="5"/>
  <c r="S81" i="1"/>
  <c r="T82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95" i="1"/>
  <c r="S97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T81" i="1"/>
  <c r="U82" i="1"/>
  <c r="L34" i="11" l="1"/>
  <c r="M31" i="11"/>
  <c r="T95" i="1"/>
  <c r="T97" i="1" s="1"/>
  <c r="R5" i="10"/>
  <c r="U81" i="1"/>
  <c r="V82" i="1"/>
  <c r="V81" i="1" s="1"/>
  <c r="T27" i="5"/>
  <c r="U24" i="5"/>
  <c r="L34" i="5"/>
  <c r="Z50" i="5"/>
  <c r="Y53" i="5"/>
  <c r="N31" i="11" l="1"/>
  <c r="M34" i="11"/>
  <c r="V95" i="1"/>
  <c r="V97" i="1" s="1"/>
  <c r="T5" i="10"/>
  <c r="U95" i="1"/>
  <c r="U9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K12" i="9"/>
  <c r="K11" i="9"/>
  <c r="K10" i="9"/>
  <c r="K9" i="9"/>
  <c r="K8" i="9"/>
  <c r="K7" i="9"/>
  <c r="K6" i="9"/>
  <c r="K5" i="9"/>
  <c r="K4" i="9"/>
  <c r="M12" i="9"/>
  <c r="M11" i="9"/>
  <c r="M10" i="9"/>
  <c r="M9" i="9"/>
  <c r="M8" i="9"/>
  <c r="M7" i="9"/>
  <c r="M6" i="9"/>
  <c r="M5" i="9"/>
  <c r="M4" i="9"/>
  <c r="M3" i="9"/>
  <c r="L6" i="9"/>
  <c r="L5" i="9"/>
  <c r="L4" i="9"/>
  <c r="L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tc={7314685E-335E-47AA-B478-1BA6ABF2BDA3}</author>
    <author>tc={00CFEA17-045C-4F7B-8977-0B9E219AF4BE}</author>
    <author>tc={C5311C2D-4764-4363-AE1C-A82227666FB7}</author>
    <author>tc={2D81BDF9-A0D8-4A1A-915B-91D32E8E61FF}</author>
    <author>tc={33EF6DF5-9556-47EC-86E1-A12FDBDC0AA8}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A34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4" authorId="1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39" authorId="2" shapeId="0" xr:uid="{00CFEA17-045C-4F7B-8977-0B9E219AF4BE}">
      <text>
        <t>[Threaded comment]
Your version of Excel allows you to read this threaded comment; however, any edits to it will get removed if the file is opened in a newer version of Excel. Learn more: https://go.microsoft.com/fwlink/?linkid=870924
Comment:
    article noted it's $180B. annauzlied (x 4) to get 720</t>
      </text>
    </comment>
    <comment ref="A48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7" authorId="3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</t>
      </text>
    </comment>
    <comment ref="L61" authorId="4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67" authorId="5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7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82" authorId="6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8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89" authorId="7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93" authorId="8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93" authorId="9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93" authorId="10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93" authorId="11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<sst xmlns="http://schemas.openxmlformats.org/spreadsheetml/2006/main" count="938" uniqueCount="350">
  <si>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</si>
  <si>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</si>
  <si>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</si>
  <si>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</si>
  <si>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</si>
  <si>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</si>
  <si>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</si>
  <si>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</si>
  <si>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</si>
  <si>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</si>
  <si>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</si>
  <si>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</si>
  <si>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</si>
  <si>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</si>
  <si>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</si>
  <si>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</si>
  <si>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</si>
  <si>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</si>
  <si>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</si>
  <si>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</si>
  <si>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</si>
  <si>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</si>
  <si>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</si>
  <si>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</si>
  <si>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</si>
  <si>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</si>
  <si>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</si>
  <si>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</si>
  <si>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</si>
  <si>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</si>
  <si>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</si>
  <si>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</si>
  <si>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</si>
  <si>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</si>
  <si>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</si>
  <si>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</si>
  <si>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</si>
  <si>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</si>
  <si>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</si>
  <si>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</si>
  <si>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</si>
  <si>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</si>
  <si>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</si>
  <si>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</si>
  <si>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</si>
  <si>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</si>
  <si>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</si>
  <si>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</si>
  <si>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</si>
  <si>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</si>
  <si>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</si>
  <si>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</si>
  <si>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</si>
  <si>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</si>
  <si>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</si>
  <si>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</si>
  <si>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</si>
  <si>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</si>
  <si>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</si>
  <si>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</si>
  <si>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</si>
  <si>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</si>
  <si>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</si>
  <si>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</si>
  <si>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</si>
  <si>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</si>
  <si>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</si>
  <si>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</si>
  <si>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</si>
  <si>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</si>
  <si>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</si>
  <si>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</si>
  <si>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</si>
  <si>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</si>
  <si>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</si>
  <si>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</si>
  <si>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</si>
  <si>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</si>
  <si>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</si>
  <si>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</si>
  <si>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</si>
  <si>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</si>
  <si>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</si>
  <si>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</si>
  <si>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</si>
  <si>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</si>
  <si>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</si>
  <si>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</si>
  <si>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</si>
  <si>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</si>
  <si>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</si>
  <si>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</si>
  <si>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</si>
  <si>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</si>
  <si>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</si>
  <si>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</si>
  <si>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</si>
  <si>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</si>
  <si>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</si>
  <si>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</si>
  <si>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</si>
  <si>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</si>
  <si>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</si>
  <si>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</si>
  <si>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</si>
  <si>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</si>
  <si>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</si>
  <si>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</si>
  <si>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</si>
  <si>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</si>
  <si>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</si>
  <si>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</si>
  <si>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</si>
  <si>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</si>
  <si>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</si>
  <si>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</si>
  <si>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</si>
  <si>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</si>
  <si>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</si>
  <si>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</si>
  <si>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</si>
  <si>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</si>
  <si>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</si>
  <si>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</si>
  <si>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</si>
  <si>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</si>
  <si>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</si>
  <si>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</si>
  <si>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</si>
  <si>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</si>
  <si>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</si>
  <si>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</si>
  <si>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</si>
  <si>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</si>
  <si>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</si>
  <si>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</si>
  <si>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</si>
  <si>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</si>
  <si>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</si>
  <si>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</si>
  <si>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</si>
  <si>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</si>
  <si>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</si>
  <si>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</si>
  <si>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</si>
  <si>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</si>
  <si>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</si>
  <si>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</si>
  <si>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</si>
  <si>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</si>
  <si>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</si>
  <si>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</si>
  <si>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</si>
  <si>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</si>
  <si>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</si>
  <si>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</si>
  <si>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</si>
  <si>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</si>
  <si>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</si>
  <si>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</si>
  <si>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</si>
  <si>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</si>
  <si>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</si>
  <si>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</si>
  <si>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</si>
  <si>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</si>
  <si>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</si>
  <si>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</si>
  <si>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</si>
  <si>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</si>
  <si>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</si>
  <si>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</si>
  <si>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</si>
  <si>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</si>
  <si>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</si>
  <si>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</si>
  <si>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</si>
  <si>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</si>
  <si>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</si>
  <si>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</si>
  <si>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</si>
  <si>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</si>
  <si>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</si>
  <si>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</si>
  <si>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</si>
  <si>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</si>
  <si>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</si>
  <si>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</si>
  <si>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</si>
  <si>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</si>
  <si>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</si>
  <si>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</si>
  <si>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</si>
  <si>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</si>
  <si>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</si>
  <si>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</si>
  <si>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</si>
  <si>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</si>
  <si>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</si>
  <si>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</si>
  <si>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</si>
  <si>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</si>
  <si>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</si>
  <si>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</si>
  <si>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</si>
  <si>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</si>
  <si>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</si>
  <si>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</si>
  <si>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</si>
  <si>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</si>
  <si>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</si>
  <si>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</si>
  <si>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</si>
  <si>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</si>
  <si>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</si>
  <si>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</si>
  <si>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</si>
  <si>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</si>
  <si>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</si>
  <si>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</si>
  <si>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</si>
  <si>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</si>
  <si>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</si>
  <si>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</si>
  <si>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</si>
  <si>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</si>
  <si>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</si>
  <si>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</si>
  <si>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</si>
  <si>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</si>
  <si>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</si>
  <si>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</si>
  <si>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</si>
  <si>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</si>
  <si>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</si>
  <si>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</si>
  <si>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</si>
  <si>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</si>
  <si>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</si>
  <si>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</si>
  <si>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</si>
  <si>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</si>
  <si>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</si>
  <si>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</si>
  <si>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</si>
  <si>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</si>
  <si>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</si>
  <si>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</si>
  <si>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</si>
  <si>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</si>
  <si>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</si>
  <si>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</si>
  <si>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</si>
  <si>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</si>
  <si>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</si>
  <si>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</si>
  <si>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</si>
  <si>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</si>
  <si>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</si>
  <si>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</si>
  <si>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</si>
  <si>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</si>
  <si>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</si>
  <si>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</si>
  <si>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</si>
  <si>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</si>
  <si>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</si>
  <si>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</si>
  <si>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</si>
  <si>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</si>
  <si>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</si>
  <si>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</si>
  <si>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</si>
  <si>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</si>
  <si>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</si>
  <si>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</si>
  <si>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</si>
  <si>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</si>
  <si>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</si>
  <si>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</si>
  <si>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</si>
  <si>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</si>
  <si>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</si>
  <si>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</si>
  <si>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</si>
  <si>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</si>
  <si>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</si>
  <si>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</si>
  <si>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</si>
  <si>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</si>
  <si>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</si>
  <si>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</si>
  <si>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</si>
  <si>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</si>
  <si>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</si>
  <si>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</si>
  <si>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</si>
  <si>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</si>
  <si>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</si>
  <si>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</si>
  <si>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</si>
  <si>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</si>
  <si>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</si>
  <si>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</si>
  <si>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</si>
  <si>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</si>
  <si>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</si>
  <si>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</si>
  <si>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</si>
  <si>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</si>
  <si>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</si>
  <si>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</si>
  <si>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</si>
  <si>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</si>
  <si>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</si>
  <si>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</si>
  <si>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</si>
  <si>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</si>
  <si>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</si>
  <si>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</si>
  <si>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</si>
  <si>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</si>
  <si>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</si>
  <si>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</si>
  <si>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</si>
  <si>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</si>
  <si>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</si>
  <si>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</si>
  <si>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</si>
  <si>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</si>
  <si>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</si>
  <si>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</si>
  <si>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</si>
  <si>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</si>
  <si>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</si>
  <si>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</si>
  <si>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</si>
  <si>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second estimate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</si>
  <si>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</si>
  <si>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</si>
  <si>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</si>
  <si>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</si>
  <si>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</si>
  <si>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</si>
  <si>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</si>
  <si>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</si>
  <si>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</si>
  <si>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</si>
  <si>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 xml:space="preserve">vaccine </t>
  </si>
  <si>
    <t>Unemployment $300 (round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</si>
</sst>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3" fillId="0" borderId="0" xfId="0" applyFont="1" applyAlignment="1">
      <alignment horizontal="center"/>
    </xf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NumberForma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4" dT="2020-10-29T15:30:32.00" personId="{2D35AFA9-F227-4AE7-B9A7-D673D9D18C70}" id="{7314685E-335E-47AA-B478-1BA6ABF2BDA3}">
    <text>BEA has 771k for total UI but not including Trump UI. Add trump UI for the real total</text>
  </threadedComment>
  <threadedComment ref="O39" dT="2020-12-17T16:24:56.65" personId="{2D35AFA9-F227-4AE7-B9A7-D673D9D18C70}" id="{00CFEA17-045C-4F7B-8977-0B9E219AF4BE}">
    <text>article noted it's $180B. annauzlied (x 4) to get 720</text>
  </threadedComment>
  <threadedComment ref="O57" dT="2020-12-17T16:13:31.41" personId="{2D35AFA9-F227-4AE7-B9A7-D673D9D18C70}" id="{C5311C2D-4764-4363-AE1C-A82227666FB7}">
    <text>estimated $300 billion next year. over three quarters = 100. annualized ( x4).</text>
  </threadedComment>
  <threadedComment ref="L61" dT="2020-09-10T19:09:05.64" personId="{2D35AFA9-F227-4AE7-B9A7-D673D9D18C70}" id="{2D81BDF9-A0D8-4A1A-915B-91D32E8E61FF}">
    <text>grow with nom purchases</text>
  </threadedComment>
  <threadedComment ref="L67" dT="2020-10-27T15:26:37.39" personId="{2D35AFA9-F227-4AE7-B9A7-D673D9D18C70}" id="{33EF6DF5-9556-47EC-86E1-A12FDBDC0AA8}">
    <text>CBO indicated 17 for q2? why do we split the quarter 3 payments into q2?</text>
  </threadedComment>
  <threadedComment ref="L67" dT="2020-10-28T16:31:53.35" personId="{2D35AFA9-F227-4AE7-B9A7-D673D9D18C70}" id="{1079BF34-6E2F-4888-8715-72B28B28D9AA}" parentId="{33EF6DF5-9556-47EC-86E1-A12FDBDC0AA8}">
    <text>we're comfortable leaving this as is</text>
  </threadedComment>
  <threadedComment ref="N82" dT="2020-09-11T20:43:00.49" personId="{2D35AFA9-F227-4AE7-B9A7-D673D9D18C70}" id="{11731043-8530-4DAC-9476-3C98D0D836BB}">
    <text>grow with S&amp;L nom purchases</text>
  </threadedComment>
  <threadedComment ref="N89" dT="2020-10-29T17:11:18.12" personId="{2D35AFA9-F227-4AE7-B9A7-D673D9D18C70}" id="{DF0EC25E-9AE4-45F2-BCE9-95D46AA2D480}">
    <text>CBO projected is 1.96%</text>
  </threadedComment>
  <threadedComment ref="M93" dT="2020-09-30T15:34:05.87" personId="{2D35AFA9-F227-4AE7-B9A7-D673D9D18C70}" id="{55BAE892-7CB3-4E1D-8C31-C7FA6DC5B9F4}">
    <text>OVERRIDE IN THE FIM WITH -5%</text>
  </threadedComment>
  <threadedComment ref="N93" dT="2020-09-30T15:34:25.90" personId="{2D35AFA9-F227-4AE7-B9A7-D673D9D18C70}" id="{5A5A9177-799E-4FBA-A407-831B591270CB}">
    <text>overide in the fim with 4%</text>
  </threadedComment>
  <threadedComment ref="N9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93" dT="2020-09-30T15:34:25.90" personId="{2D35AFA9-F227-4AE7-B9A7-D673D9D18C70}" id="{6E4225DC-7AF1-4149-8AFD-DF5FEAFAE0CE}">
    <text>overide in the fim with 4%</text>
  </threadedComment>
  <threadedComment ref="O9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93" dT="2020-09-30T15:34:25.90" personId="{2D35AFA9-F227-4AE7-B9A7-D673D9D18C70}" id="{E0AA59A4-D972-4354-844E-3B08443F6713}">
    <text>overide in the fim with 4%</text>
  </threadedComment>
  <threadedComment ref="P9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P105"/>
  <sheetViews>
    <sheetView tabSelected="1" zoomScale="110" zoomScaleNormal="110" workbookViewId="0">
      <pane xSplit="2" ySplit="3" topLeftCell="J4" activePane="bottomRight" state="frozen"/>
      <selection pane="topRight" activeCell="C1" sqref="C1"/>
      <selection pane="bottomLeft" activeCell="A4" sqref="A4"/>
      <selection pane="bottomRight" activeCell="O14" sqref="O14"/>
    </sheetView>
  </sheetViews>
  <sheetFormatPr defaultColWidth="8.81640625" defaultRowHeight="14.5" x14ac:dyDescent="0.35"/>
  <cols>
    <col min="1" max="1" width="22.453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31" width="8.81640625" customWidth="1"/>
    <col min="32" max="32" width="15.453125" hidden="1" customWidth="1"/>
    <col min="33" max="33" width="10.453125" hidden="1" customWidth="1"/>
    <col min="38" max="38" width="8.6328125" style="146"/>
  </cols>
  <sheetData>
    <row r="1" spans="1:42" ht="18.5" x14ac:dyDescent="0.45">
      <c r="A1" s="286" t="s">
        <v>163</v>
      </c>
      <c r="B1" s="286"/>
      <c r="C1" s="280"/>
      <c r="D1" s="280"/>
      <c r="E1" s="35"/>
      <c r="M1" t="s">
        <v>337</v>
      </c>
      <c r="AB1" s="179" t="s">
        <v>249</v>
      </c>
      <c r="AC1" s="288" t="s">
        <v>247</v>
      </c>
      <c r="AD1" s="288"/>
      <c r="AE1" s="288"/>
      <c r="AF1" t="s">
        <v>28</v>
      </c>
      <c r="AH1" s="289" t="s">
        <v>281</v>
      </c>
      <c r="AI1" s="289"/>
      <c r="AJ1" s="289"/>
      <c r="AK1" s="289"/>
      <c r="AL1" s="287" t="s">
        <v>279</v>
      </c>
      <c r="AM1" s="287"/>
      <c r="AN1" s="287"/>
      <c r="AO1" s="287"/>
    </row>
    <row r="2" spans="1:42" x14ac:dyDescent="0.35">
      <c r="F2" s="285" t="s">
        <v>21</v>
      </c>
      <c r="G2" s="285"/>
      <c r="H2" s="285"/>
      <c r="I2" s="285"/>
      <c r="J2" s="285" t="s">
        <v>9</v>
      </c>
      <c r="K2" s="285"/>
      <c r="L2" s="285"/>
      <c r="M2" s="285"/>
      <c r="N2" s="285" t="s">
        <v>10</v>
      </c>
      <c r="O2" s="285"/>
      <c r="P2" s="285"/>
      <c r="Q2" s="285"/>
      <c r="R2" s="285" t="s">
        <v>11</v>
      </c>
      <c r="S2" s="285"/>
      <c r="T2" s="285"/>
      <c r="U2" s="285"/>
      <c r="V2" s="285" t="s">
        <v>268</v>
      </c>
      <c r="W2" s="285"/>
      <c r="X2" s="285"/>
      <c r="Y2" s="285"/>
      <c r="Z2" s="229"/>
      <c r="AA2" s="229"/>
      <c r="AB2" s="156"/>
      <c r="AC2" s="285" t="s">
        <v>102</v>
      </c>
      <c r="AD2" s="285"/>
      <c r="AE2" s="285"/>
      <c r="AF2" s="156"/>
      <c r="AG2" s="156" t="s">
        <v>21</v>
      </c>
      <c r="AH2" s="285" t="s">
        <v>102</v>
      </c>
      <c r="AI2" s="285"/>
      <c r="AJ2" s="285"/>
      <c r="AK2" s="230"/>
    </row>
    <row r="3" spans="1:42" x14ac:dyDescent="0.35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AB3" s="157" t="s">
        <v>21</v>
      </c>
      <c r="AC3" s="180" t="s">
        <v>9</v>
      </c>
      <c r="AD3" s="132" t="s">
        <v>12</v>
      </c>
      <c r="AE3" s="132" t="s">
        <v>11</v>
      </c>
      <c r="AF3" s="2" t="s">
        <v>248</v>
      </c>
      <c r="AG3" s="2" t="s">
        <v>159</v>
      </c>
      <c r="AH3" s="183" t="s">
        <v>9</v>
      </c>
      <c r="AI3" s="97" t="s">
        <v>12</v>
      </c>
      <c r="AJ3" s="97" t="s">
        <v>11</v>
      </c>
      <c r="AK3" s="97" t="s">
        <v>268</v>
      </c>
      <c r="AM3" s="97" t="s">
        <v>12</v>
      </c>
      <c r="AN3" s="97" t="s">
        <v>11</v>
      </c>
      <c r="AO3" s="97" t="s">
        <v>268</v>
      </c>
    </row>
    <row r="4" spans="1:42" ht="18.5" x14ac:dyDescent="0.45">
      <c r="A4" s="284" t="s">
        <v>264</v>
      </c>
      <c r="B4" s="284"/>
      <c r="C4" s="280"/>
      <c r="D4" s="280"/>
      <c r="F4" s="199"/>
      <c r="G4" s="199"/>
      <c r="H4" s="199"/>
      <c r="I4" s="199"/>
      <c r="J4" s="199"/>
      <c r="K4" s="199"/>
      <c r="L4" s="199"/>
      <c r="M4" s="199"/>
      <c r="AB4" s="192"/>
      <c r="AC4" s="180"/>
      <c r="AD4" s="192"/>
      <c r="AE4" s="192"/>
      <c r="AF4" s="191"/>
      <c r="AG4" s="191"/>
      <c r="AH4" s="183"/>
      <c r="AI4" s="97"/>
      <c r="AJ4" s="97"/>
      <c r="AK4" s="97"/>
    </row>
    <row r="5" spans="1:42" x14ac:dyDescent="0.35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21157.1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B5" s="192"/>
      <c r="AC5" s="180"/>
      <c r="AD5" s="192"/>
      <c r="AE5" s="192"/>
      <c r="AF5" s="191"/>
      <c r="AG5" s="191"/>
      <c r="AH5" s="183"/>
      <c r="AI5" s="97"/>
      <c r="AJ5" s="97"/>
      <c r="AK5" s="97"/>
    </row>
    <row r="6" spans="1:42" s="171" customFormat="1" ht="12" x14ac:dyDescent="0.3">
      <c r="A6" s="170" t="s">
        <v>216</v>
      </c>
      <c r="C6" s="281"/>
      <c r="D6" s="281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8.3862275295720767E-2</v>
      </c>
      <c r="N6" s="198">
        <f>N5/M5-1</f>
        <v>2.0245797273123589E-2</v>
      </c>
      <c r="O6" s="198">
        <f t="shared" si="0"/>
        <v>1.6584913488053799E-2</v>
      </c>
      <c r="P6" s="198">
        <f t="shared" si="0"/>
        <v>1.5901441788333637E-2</v>
      </c>
      <c r="Q6" s="198">
        <f t="shared" si="0"/>
        <v>1.6730073962049286E-2</v>
      </c>
      <c r="R6" s="198">
        <f t="shared" si="0"/>
        <v>1.1020986822230627E-2</v>
      </c>
      <c r="S6" s="198">
        <f t="shared" si="0"/>
        <v>9.9767362739422438E-3</v>
      </c>
      <c r="T6" s="198">
        <f t="shared" si="0"/>
        <v>9.7780367450215344E-3</v>
      </c>
      <c r="U6" s="198">
        <f t="shared" si="0"/>
        <v>1.0125144258513741E-2</v>
      </c>
      <c r="V6" s="198">
        <f t="shared" si="0"/>
        <v>1.0170928727628814E-2</v>
      </c>
      <c r="W6" s="176"/>
      <c r="X6" s="173"/>
      <c r="Y6" s="173"/>
      <c r="Z6" s="173"/>
      <c r="AA6" s="173"/>
      <c r="AB6" s="173"/>
      <c r="AC6" s="174"/>
      <c r="AD6" s="174"/>
      <c r="AE6" s="174"/>
      <c r="AF6" s="175"/>
      <c r="AH6" s="175"/>
      <c r="AI6" s="175"/>
      <c r="AJ6" s="175"/>
      <c r="AK6" s="175"/>
      <c r="AL6" s="241"/>
    </row>
    <row r="7" spans="1:42" x14ac:dyDescent="0.35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18583.5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B7" s="192"/>
      <c r="AC7" s="180"/>
      <c r="AD7" s="192"/>
      <c r="AE7" s="192"/>
      <c r="AF7" s="191"/>
      <c r="AG7" s="191"/>
      <c r="AH7" s="183"/>
      <c r="AI7" s="97"/>
      <c r="AJ7" s="97"/>
      <c r="AK7" s="97"/>
    </row>
    <row r="8" spans="1:42" s="213" customFormat="1" x14ac:dyDescent="0.35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B8" s="214"/>
      <c r="AC8" s="215"/>
      <c r="AD8" s="214"/>
      <c r="AE8" s="214"/>
      <c r="AH8" s="215"/>
      <c r="AI8" s="214"/>
      <c r="AJ8" s="214"/>
      <c r="AK8" s="214"/>
      <c r="AL8" s="242"/>
    </row>
    <row r="9" spans="1:42" x14ac:dyDescent="0.35">
      <c r="F9" s="199"/>
      <c r="G9" s="199"/>
      <c r="H9" s="199"/>
      <c r="I9" s="199"/>
      <c r="J9" s="199"/>
      <c r="K9" s="199"/>
      <c r="L9" s="199"/>
      <c r="M9" s="199"/>
      <c r="AB9" s="192"/>
      <c r="AC9" s="180"/>
      <c r="AD9" s="192"/>
      <c r="AE9" s="192"/>
      <c r="AF9" s="191"/>
      <c r="AG9" s="191"/>
      <c r="AH9" s="183"/>
      <c r="AI9" s="97"/>
      <c r="AJ9" s="97"/>
      <c r="AK9" s="97"/>
    </row>
    <row r="10" spans="1:42" x14ac:dyDescent="0.35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C10" s="146"/>
      <c r="AH10" s="146"/>
    </row>
    <row r="11" spans="1:42" x14ac:dyDescent="0.35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3261.5</v>
      </c>
      <c r="N11" s="168">
        <f t="shared" si="1"/>
        <v>3387.1048000000001</v>
      </c>
      <c r="O11" s="168">
        <f t="shared" si="1"/>
        <v>3521.5368584000003</v>
      </c>
      <c r="P11" s="168">
        <f t="shared" si="1"/>
        <v>3554.9076107392002</v>
      </c>
      <c r="Q11" s="168">
        <f t="shared" si="1"/>
        <v>3588.753267395994</v>
      </c>
      <c r="R11" s="168">
        <f t="shared" si="1"/>
        <v>3652.1603363688446</v>
      </c>
      <c r="S11" s="168">
        <f t="shared" si="1"/>
        <v>3694.164025044206</v>
      </c>
      <c r="T11" s="168">
        <f t="shared" si="1"/>
        <v>3736.8070340187869</v>
      </c>
      <c r="U11" s="168">
        <f t="shared" si="1"/>
        <v>3780.1045278320798</v>
      </c>
      <c r="V11" s="168">
        <f t="shared" si="1"/>
        <v>3855.7066183887214</v>
      </c>
      <c r="W11" s="169"/>
      <c r="AC11" s="146"/>
      <c r="AH11" s="146"/>
    </row>
    <row r="12" spans="1:42" x14ac:dyDescent="0.35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1687.2</v>
      </c>
      <c r="N12" s="169">
        <f>M12*(1+N13)</f>
        <v>1788.4320000000002</v>
      </c>
      <c r="O12" s="169">
        <f t="shared" ref="O12:U12" si="2">N12*(1+O13)</f>
        <v>1899.3147840000004</v>
      </c>
      <c r="P12" s="169">
        <f t="shared" si="2"/>
        <v>1914.5093022720005</v>
      </c>
      <c r="Q12" s="169">
        <f t="shared" si="2"/>
        <v>1929.8253766901764</v>
      </c>
      <c r="R12" s="169">
        <f t="shared" si="2"/>
        <v>1949.1236304570782</v>
      </c>
      <c r="S12" s="169">
        <f t="shared" si="2"/>
        <v>1968.614866761649</v>
      </c>
      <c r="T12" s="169">
        <f t="shared" si="2"/>
        <v>1988.3010154292654</v>
      </c>
      <c r="U12" s="169">
        <f t="shared" si="2"/>
        <v>2008.184025583558</v>
      </c>
      <c r="V12" s="169">
        <f t="shared" ref="O12:V14" si="3">U12*(1+V13)</f>
        <v>2048.3477060952291</v>
      </c>
      <c r="W12" s="169"/>
      <c r="X12" s="44"/>
      <c r="Y12" s="44"/>
      <c r="Z12" s="44"/>
      <c r="AA12" s="44"/>
      <c r="AB12" s="44">
        <f>AVERAGE(F12:I12)</f>
        <v>1686.4999999999998</v>
      </c>
      <c r="AC12" s="181">
        <f>AVERAGE(J12,K12,L12,M12)</f>
        <v>1695.825</v>
      </c>
      <c r="AD12" s="45">
        <f>AVERAGE(N12:Q12)</f>
        <v>1883.0203657405443</v>
      </c>
      <c r="AE12" s="45">
        <f>AVERAGE(R12:U12)</f>
        <v>1978.5558845578876</v>
      </c>
      <c r="AF12" s="3">
        <f>AVERAGE(F12:I12)</f>
        <v>1686.4999999999998</v>
      </c>
      <c r="AG12">
        <v>1653</v>
      </c>
      <c r="AH12" s="184">
        <f>$AB12/'figuring NIPA tax changes'!$E19*'figuring NIPA tax changes'!F19</f>
        <v>1649.4616519302829</v>
      </c>
      <c r="AI12" s="3">
        <f>$AB12/'figuring NIPA tax changes'!$E19*'figuring NIPA tax changes'!G19</f>
        <v>1678.1639909491882</v>
      </c>
      <c r="AJ12" s="3">
        <f>$AB12/'figuring NIPA tax changes'!$E19*'figuring NIPA tax changes'!H19</f>
        <v>1762.3300952873258</v>
      </c>
      <c r="AK12" s="3"/>
    </row>
    <row r="13" spans="1:42" s="171" customFormat="1" x14ac:dyDescent="0.35">
      <c r="A13" s="219" t="s">
        <v>216</v>
      </c>
      <c r="C13" s="281"/>
      <c r="D13" s="281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82"/>
      <c r="AD13" s="174"/>
      <c r="AE13" s="174"/>
      <c r="AF13" s="175"/>
      <c r="AH13" s="185"/>
      <c r="AI13" s="175"/>
      <c r="AJ13" s="175"/>
      <c r="AK13" s="175"/>
      <c r="AL13" s="241"/>
    </row>
    <row r="14" spans="1:42" x14ac:dyDescent="0.35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>
        <f>AVERAGE(F14:I14)</f>
        <v>174.75000000000003</v>
      </c>
      <c r="AC14" s="181">
        <f>AVERAGE(J14,K14,L14,M14)</f>
        <v>159.77499999999998</v>
      </c>
      <c r="AD14" s="45">
        <f>AVERAGE(N14:Q14)</f>
        <v>164.3993815984</v>
      </c>
      <c r="AE14" s="45">
        <f>AVERAGE(R14:U14)</f>
        <v>193.99564934121071</v>
      </c>
      <c r="AF14" s="3">
        <f>AVERAGE(F14:I14)</f>
        <v>174.75000000000003</v>
      </c>
      <c r="AG14">
        <v>173</v>
      </c>
      <c r="AH14" s="184"/>
      <c r="AI14" s="3"/>
      <c r="AJ14" s="3"/>
      <c r="AK14" s="3"/>
      <c r="AL14" s="243"/>
      <c r="AM14" s="35"/>
      <c r="AN14" s="35"/>
      <c r="AO14" s="35"/>
      <c r="AP14" s="35"/>
    </row>
    <row r="15" spans="1:42" s="171" customFormat="1" x14ac:dyDescent="0.35">
      <c r="A15" s="219" t="s">
        <v>216</v>
      </c>
      <c r="C15" s="281"/>
      <c r="D15" s="281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82"/>
      <c r="AD15" s="186"/>
      <c r="AE15" s="186"/>
      <c r="AF15" s="175"/>
      <c r="AH15" s="184"/>
      <c r="AI15" s="186"/>
      <c r="AJ15" s="186"/>
      <c r="AK15" s="186"/>
      <c r="AL15" s="241"/>
    </row>
    <row r="16" spans="1:42" x14ac:dyDescent="0.35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1429.6</v>
      </c>
      <c r="N16" s="169">
        <f>M16*(1+N17)</f>
        <v>1448.1847999999998</v>
      </c>
      <c r="O16" s="169">
        <f t="shared" ref="O16:V16" si="4">N16*(1+O17)</f>
        <v>1459.7702783999998</v>
      </c>
      <c r="P16" s="169">
        <f t="shared" si="4"/>
        <v>1471.4484406271999</v>
      </c>
      <c r="Q16" s="169">
        <f t="shared" si="4"/>
        <v>1483.2200281522175</v>
      </c>
      <c r="R16" s="169">
        <f t="shared" si="4"/>
        <v>1520.3005288560228</v>
      </c>
      <c r="S16" s="169">
        <f t="shared" si="4"/>
        <v>1535.503534144583</v>
      </c>
      <c r="T16" s="169">
        <f t="shared" si="4"/>
        <v>1550.858569486029</v>
      </c>
      <c r="U16" s="169">
        <f t="shared" si="4"/>
        <v>1566.3671551808893</v>
      </c>
      <c r="V16" s="169">
        <f t="shared" si="4"/>
        <v>1597.6944982845071</v>
      </c>
      <c r="W16" s="169"/>
      <c r="X16" s="44"/>
      <c r="Y16" s="44"/>
      <c r="Z16" s="44"/>
      <c r="AA16" s="44"/>
      <c r="AB16" s="44">
        <f>AVERAGE(F16:I16)</f>
        <v>1388.075</v>
      </c>
      <c r="AC16" s="181">
        <f>AVERAGE(J16,K16,L16,M16)</f>
        <v>1410.9210000000003</v>
      </c>
      <c r="AD16" s="45">
        <f>AVERAGE(N16:Q16)</f>
        <v>1465.655886794854</v>
      </c>
      <c r="AE16" s="45">
        <f>AVERAGE(R16:U16)</f>
        <v>1543.257446916881</v>
      </c>
      <c r="AF16" s="3">
        <f>AVERAGE(F16:I16)</f>
        <v>1388.075</v>
      </c>
      <c r="AG16">
        <v>1395</v>
      </c>
      <c r="AH16" s="184">
        <f>$AB16/'figuring NIPA tax changes'!$E20*'figuring NIPA tax changes'!F20</f>
        <v>1354.69413685124</v>
      </c>
      <c r="AI16" s="3">
        <f>$AB16/'figuring NIPA tax changes'!$E20*'figuring NIPA tax changes'!G20</f>
        <v>1429.6567868867883</v>
      </c>
      <c r="AJ16" s="3">
        <f>$AB16/'figuring NIPA tax changes'!$E20*'figuring NIPA tax changes'!H20</f>
        <v>1517.5549260800469</v>
      </c>
      <c r="AK16" s="3"/>
    </row>
    <row r="17" spans="1:38" s="171" customFormat="1" x14ac:dyDescent="0.35">
      <c r="A17" s="219" t="s">
        <v>216</v>
      </c>
      <c r="C17" s="281"/>
      <c r="D17" s="281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82"/>
      <c r="AD17" s="174"/>
      <c r="AE17" s="174"/>
      <c r="AF17" s="175"/>
      <c r="AH17" s="185"/>
      <c r="AI17" s="175"/>
      <c r="AJ17" s="175"/>
      <c r="AK17" s="175"/>
      <c r="AL17" s="241"/>
    </row>
    <row r="18" spans="1:38" x14ac:dyDescent="0.35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205.3</v>
      </c>
      <c r="N18" s="169">
        <f>M18*(1+N19)</f>
        <v>210.4325</v>
      </c>
      <c r="O18" s="169">
        <f t="shared" ref="O18" si="5">N18*(1+O19)</f>
        <v>213.58898749999997</v>
      </c>
      <c r="P18" s="169">
        <f t="shared" ref="P18" si="6">O18*(1+P19)</f>
        <v>216.79282231249996</v>
      </c>
      <c r="Q18" s="169">
        <f t="shared" ref="Q18" si="7">P18*(1+Q19)</f>
        <v>220.04471464718745</v>
      </c>
      <c r="R18" s="169">
        <f t="shared" ref="R18" si="8">Q18*(1+R19)</f>
        <v>233.24739752601872</v>
      </c>
      <c r="S18" s="169">
        <f t="shared" ref="S18" si="9">R18*(1+S19)</f>
        <v>247.24224137757986</v>
      </c>
      <c r="T18" s="169">
        <f t="shared" ref="T18" si="10">S18*(1+T19)</f>
        <v>262.07677586023465</v>
      </c>
      <c r="U18" s="169">
        <f t="shared" ref="U18:V18" si="11">T18*(1+U19)</f>
        <v>277.80138241184875</v>
      </c>
      <c r="V18" s="169">
        <f t="shared" si="11"/>
        <v>294.46946535655968</v>
      </c>
      <c r="W18" s="169"/>
      <c r="X18" s="44"/>
      <c r="Y18" s="44"/>
      <c r="Z18" s="44"/>
      <c r="AA18" s="44"/>
      <c r="AB18" s="44">
        <f>AVERAGE(F18:I18)</f>
        <v>218.57500000000002</v>
      </c>
      <c r="AC18" s="181">
        <f>AVERAGE(J18,K18,L18,M18)</f>
        <v>196.75</v>
      </c>
      <c r="AD18" s="45">
        <f>AVERAGE(N18:Q18)</f>
        <v>215.21475611492184</v>
      </c>
      <c r="AE18" s="45">
        <f>AVERAGE(R18:U18)</f>
        <v>255.09194929392049</v>
      </c>
      <c r="AF18" s="33">
        <f>AVERAGE(F18:I18)</f>
        <v>218.57500000000002</v>
      </c>
      <c r="AG18" s="34">
        <v>166</v>
      </c>
      <c r="AH18" s="146">
        <f>AB18/'figuring NIPA tax changes'!E10*'figuring NIPA tax changes'!F21</f>
        <v>193.42290277747617</v>
      </c>
      <c r="AI18">
        <f>AB18/'figuring NIPA tax changes'!E21*'figuring NIPA tax changes'!G21</f>
        <v>200.10987665313039</v>
      </c>
      <c r="AJ18">
        <f>AB18/'figuring NIPA tax changes'!E21*'figuring NIPA tax changes'!H21</f>
        <v>237.052464440053</v>
      </c>
    </row>
    <row r="19" spans="1:38" s="171" customFormat="1" x14ac:dyDescent="0.35">
      <c r="A19" s="178" t="s">
        <v>216</v>
      </c>
      <c r="C19" s="281"/>
      <c r="D19" s="281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4"/>
      <c r="AD19" s="174"/>
      <c r="AE19" s="174"/>
      <c r="AF19" s="175"/>
      <c r="AH19" s="175"/>
      <c r="AI19" s="175"/>
      <c r="AJ19" s="175"/>
      <c r="AK19" s="175"/>
      <c r="AL19" s="241"/>
    </row>
    <row r="20" spans="1:38" s="171" customFormat="1" x14ac:dyDescent="0.35">
      <c r="A20" s="170"/>
      <c r="C20" s="281"/>
      <c r="D20" s="281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4"/>
      <c r="AD20" s="174"/>
      <c r="AE20" s="174"/>
      <c r="AF20" s="175"/>
      <c r="AH20" s="175"/>
      <c r="AI20" s="175"/>
      <c r="AJ20" s="175"/>
      <c r="AK20" s="175"/>
      <c r="AL20" s="241"/>
    </row>
    <row r="21" spans="1:38" s="171" customFormat="1" x14ac:dyDescent="0.35">
      <c r="A21" t="s">
        <v>265</v>
      </c>
      <c r="C21" s="281"/>
      <c r="D21" s="281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4"/>
      <c r="AD21" s="174"/>
      <c r="AE21" s="174"/>
      <c r="AF21" s="175"/>
      <c r="AH21" s="175"/>
      <c r="AI21" s="175"/>
      <c r="AJ21" s="175"/>
      <c r="AK21" s="175"/>
      <c r="AL21" s="241"/>
    </row>
    <row r="22" spans="1:38" x14ac:dyDescent="0.35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1836.9459999999999</v>
      </c>
      <c r="N22" s="102">
        <f t="shared" si="12"/>
        <v>1874.1364363176749</v>
      </c>
      <c r="O22" s="102">
        <f t="shared" si="12"/>
        <v>1905.2188269788135</v>
      </c>
      <c r="P22" s="102">
        <f t="shared" si="12"/>
        <v>1935.514553250054</v>
      </c>
      <c r="Q22" s="102">
        <f t="shared" si="12"/>
        <v>1967.8958548805504</v>
      </c>
      <c r="R22" s="102">
        <f t="shared" si="12"/>
        <v>1989.584009164711</v>
      </c>
      <c r="S22" s="102">
        <f t="shared" si="12"/>
        <v>2009.433564119</v>
      </c>
      <c r="T22" s="102">
        <f t="shared" si="12"/>
        <v>2029.0818793456349</v>
      </c>
      <c r="U22" s="102">
        <f t="shared" si="12"/>
        <v>2049.6266260863458</v>
      </c>
      <c r="V22" s="102">
        <f t="shared" ref="V22" si="13">SUM(V23:V25)</f>
        <v>2070.4732324185206</v>
      </c>
    </row>
    <row r="23" spans="1:38" x14ac:dyDescent="0.35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499.4</v>
      </c>
      <c r="N23" s="102">
        <f>M23*(1+N$6)</f>
        <v>509.51075115819788</v>
      </c>
      <c r="O23" s="102">
        <f t="shared" ref="O23:V23" si="14">N23*(1+O$6)</f>
        <v>517.96094288738993</v>
      </c>
      <c r="P23" s="102">
        <f t="shared" si="14"/>
        <v>526.19726866934411</v>
      </c>
      <c r="Q23" s="102">
        <f t="shared" si="14"/>
        <v>535.00058789281059</v>
      </c>
      <c r="R23" s="102">
        <f t="shared" si="14"/>
        <v>540.89682232186294</v>
      </c>
      <c r="S23" s="102">
        <f t="shared" si="14"/>
        <v>546.29320726958156</v>
      </c>
      <c r="T23" s="102">
        <f t="shared" si="14"/>
        <v>551.63488232381917</v>
      </c>
      <c r="U23" s="102">
        <f t="shared" si="14"/>
        <v>557.22026508537613</v>
      </c>
      <c r="V23" s="102">
        <f t="shared" si="14"/>
        <v>562.88771268714993</v>
      </c>
    </row>
    <row r="24" spans="1:38" x14ac:dyDescent="0.35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1317.3</v>
      </c>
      <c r="N24" s="102">
        <f>M24*(1+N$6)</f>
        <v>1343.9697887478856</v>
      </c>
      <c r="O24" s="102">
        <f t="shared" ref="O24:V24" si="15">N24*(1+O$6)</f>
        <v>1366.2594114248272</v>
      </c>
      <c r="P24" s="102">
        <f t="shared" si="15"/>
        <v>1387.984905923362</v>
      </c>
      <c r="Q24" s="102">
        <f t="shared" si="15"/>
        <v>1411.2059960576678</v>
      </c>
      <c r="R24" s="102">
        <f t="shared" si="15"/>
        <v>1426.7588787436721</v>
      </c>
      <c r="S24" s="102">
        <f t="shared" si="15"/>
        <v>1440.9932758034033</v>
      </c>
      <c r="T24" s="102">
        <f t="shared" si="15"/>
        <v>1455.0833610035379</v>
      </c>
      <c r="U24" s="102">
        <f t="shared" si="15"/>
        <v>1469.8162899418617</v>
      </c>
      <c r="V24" s="102">
        <f t="shared" si="15"/>
        <v>1484.7656866695681</v>
      </c>
    </row>
    <row r="25" spans="1:38" x14ac:dyDescent="0.35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20.245999999999999</v>
      </c>
      <c r="N25" s="102">
        <f>M25*(1+N$6)</f>
        <v>20.655896411591659</v>
      </c>
      <c r="O25" s="102">
        <f t="shared" ref="O25:V25" si="16">N25*(1+O$6)</f>
        <v>20.998472666596108</v>
      </c>
      <c r="P25" s="102">
        <f t="shared" si="16"/>
        <v>21.332378657347899</v>
      </c>
      <c r="Q25" s="102">
        <f t="shared" si="16"/>
        <v>21.689270930071771</v>
      </c>
      <c r="R25" s="102">
        <f t="shared" si="16"/>
        <v>21.928308099175883</v>
      </c>
      <c r="S25" s="102">
        <f t="shared" si="16"/>
        <v>22.147081046015114</v>
      </c>
      <c r="T25" s="102">
        <f t="shared" si="16"/>
        <v>22.363636018278019</v>
      </c>
      <c r="U25" s="102">
        <f t="shared" si="16"/>
        <v>22.590071059107977</v>
      </c>
      <c r="V25" s="102">
        <f t="shared" si="16"/>
        <v>22.819833061802235</v>
      </c>
    </row>
    <row r="26" spans="1:38" x14ac:dyDescent="0.35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79.099999999999994</v>
      </c>
      <c r="N26" s="102">
        <f>M26*(1+N6)</f>
        <v>80.701442564304074</v>
      </c>
      <c r="O26" s="102">
        <f t="shared" ref="O26:V26" si="17">N26*(1+O6)</f>
        <v>82.039869007594206</v>
      </c>
      <c r="P26" s="102">
        <f t="shared" si="17"/>
        <v>83.344421208940986</v>
      </c>
      <c r="Q26" s="102">
        <f t="shared" si="17"/>
        <v>84.738779540090761</v>
      </c>
      <c r="R26" s="102">
        <f t="shared" si="17"/>
        <v>85.672684512734008</v>
      </c>
      <c r="S26" s="102">
        <f t="shared" si="17"/>
        <v>86.527418291998217</v>
      </c>
      <c r="T26" s="102">
        <f t="shared" si="17"/>
        <v>87.373486567509218</v>
      </c>
      <c r="U26" s="102">
        <f t="shared" si="17"/>
        <v>88.258155723374557</v>
      </c>
      <c r="V26" s="102">
        <f t="shared" si="17"/>
        <v>89.155823134868967</v>
      </c>
    </row>
    <row r="27" spans="1:38" s="187" customFormat="1" x14ac:dyDescent="0.35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L27" s="244"/>
    </row>
    <row r="28" spans="1:38" s="171" customFormat="1" x14ac:dyDescent="0.35">
      <c r="A28" s="196"/>
      <c r="B28" s="197"/>
      <c r="C28" s="281"/>
      <c r="D28" s="281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4"/>
      <c r="AD28" s="174"/>
      <c r="AE28" s="174"/>
      <c r="AF28" s="175"/>
      <c r="AH28" s="175">
        <f>$AB$30*('figuring out social benefits'!G47/'figuring out social benefits'!$F$47)</f>
        <v>3428.146799249083</v>
      </c>
      <c r="AI28" s="175">
        <f>$AB$30*('figuring out social benefits'!H47/'figuring out social benefits'!$F$47)</f>
        <v>2649.6527204036238</v>
      </c>
      <c r="AJ28" s="175">
        <f>$AB$30*('figuring out social benefits'!I47/'figuring out social benefits'!$F$47)</f>
        <v>2766.2949511126526</v>
      </c>
      <c r="AK28" s="175"/>
      <c r="AL28" s="241"/>
    </row>
    <row r="29" spans="1:38" x14ac:dyDescent="0.35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F29" s="3"/>
      <c r="AH29" s="3">
        <f>AH28-47</f>
        <v>3381.146799249083</v>
      </c>
      <c r="AI29" s="3">
        <f>AI28+47</f>
        <v>2696.6527204036238</v>
      </c>
    </row>
    <row r="30" spans="1:38" ht="29" x14ac:dyDescent="0.35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3488125</v>
      </c>
      <c r="N30" s="44">
        <f>N31+N34+N44</f>
        <v>2847845.8319988288</v>
      </c>
      <c r="O30" s="44">
        <f t="shared" ref="O30:U30" si="19">O31+O34+O44</f>
        <v>3472064.9561336781</v>
      </c>
      <c r="P30" s="44">
        <f t="shared" si="19"/>
        <v>2658305.2157637766</v>
      </c>
      <c r="Q30" s="44">
        <f t="shared" si="19"/>
        <v>2548767.4784838995</v>
      </c>
      <c r="R30" s="44">
        <f t="shared" si="19"/>
        <v>2601999.1665078122</v>
      </c>
      <c r="S30" s="44">
        <f t="shared" si="19"/>
        <v>2656541.4105371395</v>
      </c>
      <c r="T30" s="44">
        <f t="shared" si="19"/>
        <v>2712430.6137193376</v>
      </c>
      <c r="U30" s="44">
        <f t="shared" si="19"/>
        <v>2769704.2727967203</v>
      </c>
      <c r="V30" s="3"/>
      <c r="W30" s="44"/>
      <c r="X30" s="3"/>
      <c r="Y30" s="3"/>
      <c r="Z30" s="3"/>
      <c r="AA30" s="3"/>
      <c r="AB30" s="3">
        <f>AVERAGE(F30:I30)/1000</f>
        <v>2291.6462499999998</v>
      </c>
      <c r="AC30" s="45"/>
      <c r="AD30" s="45"/>
      <c r="AE30" s="45"/>
      <c r="AG30">
        <v>2286.6999999999998</v>
      </c>
      <c r="AH30" s="32">
        <f>$AB30/'figuring out social benefits'!$F47*'figuring out social benefits'!G49+'figuring out social benefits'!G50-47</f>
        <v>3320.7721322167745</v>
      </c>
      <c r="AI30" s="32">
        <f>$AB30/'figuring out social benefits'!$F47*'figuring out social benefits'!H49+'figuring out social benefits'!H50+46</f>
        <v>2675.6800557811207</v>
      </c>
      <c r="AJ30" s="32">
        <f>$AB30/'figuring out social benefits'!$F47*'figuring out social benefits'!I49+'figuring out social benefits'!I50*0.9</f>
        <v>2725.1688956203648</v>
      </c>
      <c r="AK30" s="32"/>
      <c r="AL30" s="146" t="s">
        <v>29</v>
      </c>
    </row>
    <row r="31" spans="1:38" x14ac:dyDescent="0.35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M31*((($AI$31/$AH$31)^0.25))</f>
        <v>853053.18699882878</v>
      </c>
      <c r="O31" s="87">
        <f>N31*((($AI$31/$AH$31)^0.25))</f>
        <v>863499.75597117806</v>
      </c>
      <c r="P31" s="87">
        <f t="shared" ref="P31:Q31" si="20">O31*((($AI$31/$AH$31)^0.25))</f>
        <v>874074.254602495</v>
      </c>
      <c r="Q31" s="87">
        <f t="shared" si="20"/>
        <v>884778.24953132728</v>
      </c>
      <c r="R31" s="87">
        <f>Q31*((($AJ$31/$AI$31)^0.25))</f>
        <v>913710.09912095172</v>
      </c>
      <c r="S31" s="87">
        <f t="shared" ref="S31:U31" si="21">R31*((($AJ$31/$AI$31)^0.25))</f>
        <v>943588.00713947637</v>
      </c>
      <c r="T31" s="87">
        <f t="shared" si="21"/>
        <v>974442.9092707095</v>
      </c>
      <c r="U31" s="87">
        <f t="shared" si="21"/>
        <v>1006306.7527813631</v>
      </c>
      <c r="V31" s="87">
        <f>U31*((($AK$31/$AJ$31)^0.25))</f>
        <v>1016447.3981375673</v>
      </c>
      <c r="W31" s="87">
        <f t="shared" ref="W31:Y31" si="22">V31*((($AK$31/$AJ$31)^0.25))</f>
        <v>1026690.2317062188</v>
      </c>
      <c r="X31" s="87">
        <f t="shared" si="22"/>
        <v>1037036.2832472979</v>
      </c>
      <c r="Y31" s="87">
        <f t="shared" si="22"/>
        <v>1047486.5928977706</v>
      </c>
      <c r="Z31" s="3"/>
      <c r="AA31" s="3"/>
      <c r="AB31" s="3">
        <f>AVERAGE(F31:I31)/1000</f>
        <v>772.56600000000003</v>
      </c>
      <c r="AC31" s="45">
        <f>AVERAGE(J31:M31)/1000</f>
        <v>817.33950000000004</v>
      </c>
      <c r="AD31" s="45">
        <f>AVERAGE(N31:Q31)/1000</f>
        <v>868.85136177595723</v>
      </c>
      <c r="AE31" s="45">
        <f>AVERAGE(R31:U31)/1000</f>
        <v>959.51194207812523</v>
      </c>
      <c r="AG31">
        <v>775.4</v>
      </c>
      <c r="AH31" s="3">
        <f>'figuring out social benefits'!G18-47</f>
        <v>815.06799999999998</v>
      </c>
      <c r="AI31" s="3">
        <f>'figuring out social benefits'!H18+46</f>
        <v>855.73299999999995</v>
      </c>
      <c r="AJ31" s="3">
        <f>'figuring out social benefits'!I18</f>
        <v>973.27200000000005</v>
      </c>
      <c r="AK31" s="3">
        <f>'figuring out social benefits'!J18</f>
        <v>1013.1</v>
      </c>
      <c r="AL31" s="146" t="s">
        <v>19</v>
      </c>
    </row>
    <row r="32" spans="1:38" x14ac:dyDescent="0.35">
      <c r="A32" s="93" t="s">
        <v>342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C32" s="45">
        <f>AVERAGE(J32:M32)/1000</f>
        <v>273.39999999999998</v>
      </c>
      <c r="AD32" s="45">
        <v>0</v>
      </c>
      <c r="AE32" s="45">
        <v>0</v>
      </c>
      <c r="AF32" s="3"/>
      <c r="AH32" s="3">
        <v>272</v>
      </c>
      <c r="AI32" s="3">
        <v>9</v>
      </c>
      <c r="AJ32" s="3">
        <v>0</v>
      </c>
      <c r="AK32" s="3"/>
      <c r="AL32" s="184"/>
    </row>
    <row r="33" spans="1:40" s="327" customFormat="1" x14ac:dyDescent="0.35">
      <c r="A33" s="336" t="s">
        <v>343</v>
      </c>
      <c r="F33" s="328"/>
      <c r="G33" s="328"/>
      <c r="H33" s="328"/>
      <c r="I33" s="328"/>
      <c r="J33" s="328"/>
      <c r="K33" s="328"/>
      <c r="L33" s="328"/>
      <c r="M33" s="329"/>
      <c r="N33" s="330"/>
      <c r="O33" s="330">
        <f>SUM(L32:P32)/2</f>
        <v>562800</v>
      </c>
      <c r="P33" s="330"/>
      <c r="Q33" s="330"/>
      <c r="R33" s="330"/>
      <c r="S33" s="330"/>
      <c r="T33" s="330"/>
      <c r="U33" s="330"/>
      <c r="AC33" s="332"/>
      <c r="AD33" s="332"/>
      <c r="AE33" s="332"/>
      <c r="AF33" s="331"/>
      <c r="AH33" s="331"/>
      <c r="AI33" s="331"/>
      <c r="AJ33" s="331"/>
      <c r="AK33" s="331"/>
      <c r="AL33" s="333"/>
    </row>
    <row r="34" spans="1:40" x14ac:dyDescent="0.35">
      <c r="A34" s="86" t="s">
        <v>141</v>
      </c>
      <c r="F34" s="204">
        <v>27025</v>
      </c>
      <c r="G34" s="204">
        <v>28029</v>
      </c>
      <c r="H34" s="204">
        <v>27483</v>
      </c>
      <c r="I34" s="204">
        <v>27578</v>
      </c>
      <c r="J34" s="204">
        <v>27884</v>
      </c>
      <c r="K34" s="204">
        <v>43429</v>
      </c>
      <c r="L34" s="204">
        <v>1112564</v>
      </c>
      <c r="M34" s="199">
        <f>M35+M38</f>
        <v>874878</v>
      </c>
      <c r="N34" s="87">
        <f>N36+N40</f>
        <v>337800</v>
      </c>
      <c r="O34" s="87">
        <f t="shared" ref="O34:V34" si="23">O36+O40</f>
        <v>964000</v>
      </c>
      <c r="P34" s="87">
        <f t="shared" si="23"/>
        <v>152000</v>
      </c>
      <c r="Q34" s="87">
        <f t="shared" si="23"/>
        <v>44000</v>
      </c>
      <c r="R34" s="87">
        <f t="shared" si="23"/>
        <v>44000</v>
      </c>
      <c r="S34" s="87">
        <f t="shared" si="23"/>
        <v>44000</v>
      </c>
      <c r="T34" s="87">
        <f t="shared" si="23"/>
        <v>44000</v>
      </c>
      <c r="U34" s="87">
        <f t="shared" si="23"/>
        <v>44000</v>
      </c>
      <c r="V34" s="87">
        <f t="shared" si="23"/>
        <v>44000</v>
      </c>
      <c r="W34" s="44"/>
      <c r="X34" s="3"/>
      <c r="Y34" s="3"/>
      <c r="Z34" s="3"/>
      <c r="AA34" s="3"/>
      <c r="AB34" s="3">
        <f>AVERAGE(F34:I34)/1000</f>
        <v>27.528749999999999</v>
      </c>
      <c r="AC34" s="45">
        <f>AVERAGE(J34:M34)/1000</f>
        <v>514.68875000000003</v>
      </c>
      <c r="AD34" s="45">
        <f t="shared" ref="AD34:AD44" si="24">AVERAGE(N34:Q34)/1000</f>
        <v>374.45</v>
      </c>
      <c r="AE34" s="45">
        <f t="shared" ref="AE34:AE44" si="25">AVERAGE(R34:U34)/1000</f>
        <v>44</v>
      </c>
      <c r="AG34">
        <v>27.6</v>
      </c>
      <c r="AH34" s="3">
        <v>557</v>
      </c>
      <c r="AI34" s="3">
        <v>166</v>
      </c>
      <c r="AJ34" s="3">
        <v>67</v>
      </c>
      <c r="AK34" s="3"/>
      <c r="AL34" s="184"/>
    </row>
    <row r="35" spans="1:40" x14ac:dyDescent="0.35">
      <c r="A35" s="115" t="s">
        <v>335</v>
      </c>
      <c r="B35" t="s">
        <v>283</v>
      </c>
      <c r="C35" t="s">
        <v>307</v>
      </c>
      <c r="D35"/>
      <c r="F35" s="204"/>
      <c r="G35" s="204"/>
      <c r="H35" s="204"/>
      <c r="I35" s="204"/>
      <c r="J35" s="204"/>
      <c r="K35" s="204"/>
      <c r="L35" s="204"/>
      <c r="M35" s="199">
        <f>VLOOKUP(C35,'Haver NA'!$A$1:$I$34,9,0)</f>
        <v>768678</v>
      </c>
      <c r="N35" s="87"/>
      <c r="O35" s="87"/>
      <c r="P35" s="87"/>
      <c r="Q35" s="87"/>
      <c r="R35" s="87"/>
      <c r="S35" s="87"/>
      <c r="T35" s="87"/>
      <c r="U35" s="87"/>
      <c r="V35" s="87"/>
      <c r="W35" s="44"/>
      <c r="X35" s="3"/>
      <c r="Y35" s="3"/>
      <c r="Z35" s="3"/>
      <c r="AA35" s="3"/>
      <c r="AB35" s="3"/>
      <c r="AC35" s="45"/>
      <c r="AD35" s="45"/>
      <c r="AE35" s="45"/>
      <c r="AH35" s="3"/>
      <c r="AI35" s="3"/>
      <c r="AJ35" s="3"/>
      <c r="AK35" s="3"/>
      <c r="AL35" s="184"/>
    </row>
    <row r="36" spans="1:40" x14ac:dyDescent="0.35">
      <c r="A36" s="117" t="s">
        <v>213</v>
      </c>
      <c r="F36" s="204"/>
      <c r="G36" s="204"/>
      <c r="H36" s="204"/>
      <c r="I36" s="204"/>
      <c r="J36" s="204"/>
      <c r="K36" s="204"/>
      <c r="L36" s="204">
        <f>L37+L38</f>
        <v>834933.33333333326</v>
      </c>
      <c r="M36" s="199">
        <f>M37+M38</f>
        <v>738200</v>
      </c>
      <c r="N36" s="87">
        <f>SUM(N37:N39)</f>
        <v>257800</v>
      </c>
      <c r="O36" s="87">
        <f>SUM(O37:O39)</f>
        <v>904000</v>
      </c>
      <c r="P36" s="87">
        <f>SUM(P37:P39)</f>
        <v>108000</v>
      </c>
      <c r="Q36" s="87">
        <f t="shared" ref="O36:Q36" si="26">Q37+Q38+Q39</f>
        <v>0</v>
      </c>
      <c r="R36" s="87">
        <f t="shared" ref="R36" si="27">R37+R38</f>
        <v>0</v>
      </c>
      <c r="S36" s="87"/>
      <c r="T36" s="87"/>
      <c r="U36" s="87"/>
      <c r="V36" s="3"/>
      <c r="W36" s="44"/>
      <c r="X36" s="3"/>
      <c r="Y36" s="3"/>
      <c r="Z36" s="3"/>
      <c r="AA36" s="3"/>
      <c r="AB36" s="3"/>
      <c r="AC36" s="45"/>
      <c r="AD36" s="45"/>
      <c r="AE36" s="45"/>
      <c r="AF36" s="3"/>
      <c r="AH36" s="3"/>
      <c r="AI36" s="3"/>
      <c r="AJ36" s="3"/>
      <c r="AK36" s="3"/>
      <c r="AL36" s="184"/>
    </row>
    <row r="37" spans="1:40" x14ac:dyDescent="0.35">
      <c r="A37" s="282" t="s">
        <v>138</v>
      </c>
      <c r="F37" s="204"/>
      <c r="G37" s="204"/>
      <c r="H37" s="204"/>
      <c r="I37" s="204"/>
      <c r="J37" s="204">
        <v>0</v>
      </c>
      <c r="K37" s="204">
        <v>0</v>
      </c>
      <c r="L37" s="204">
        <f>'figuring out UI'!M17*1000</f>
        <v>834933.33333333326</v>
      </c>
      <c r="M37" s="199">
        <f>1000*'figuring out UI'!N17</f>
        <v>632000</v>
      </c>
      <c r="N37" s="87">
        <f>1000*'figuring out UI'!O17</f>
        <v>188000</v>
      </c>
      <c r="O37" s="87">
        <f>1000*'figuring out UI'!P17</f>
        <v>184000</v>
      </c>
      <c r="P37" s="87">
        <f>1000*'figuring out UI'!Q17</f>
        <v>108000</v>
      </c>
      <c r="Q37" s="87">
        <f>1000*'figuring out UI'!R17</f>
        <v>0</v>
      </c>
      <c r="R37" s="87">
        <f>1000*'figuring out UI'!S17</f>
        <v>0</v>
      </c>
      <c r="S37" s="87">
        <f>1000*'figuring out UI'!T17</f>
        <v>0</v>
      </c>
      <c r="T37" s="87">
        <f>1000*'figuring out UI'!U17</f>
        <v>0</v>
      </c>
      <c r="U37" s="87">
        <f>1000*'figuring out UI'!V17</f>
        <v>0</v>
      </c>
      <c r="V37" s="3"/>
      <c r="W37" s="44"/>
      <c r="X37" s="3"/>
      <c r="Y37" s="3"/>
      <c r="Z37" s="3"/>
      <c r="AA37" s="3"/>
      <c r="AB37" s="3"/>
      <c r="AC37" s="45">
        <f>AVERAGE(J37:M37)/1000</f>
        <v>366.73333333333329</v>
      </c>
      <c r="AD37" s="45">
        <f t="shared" si="24"/>
        <v>120</v>
      </c>
      <c r="AE37" s="45">
        <f t="shared" si="25"/>
        <v>0</v>
      </c>
      <c r="AF37" s="3"/>
      <c r="AH37" s="3"/>
      <c r="AI37" s="3"/>
      <c r="AJ37" s="3"/>
      <c r="AK37" s="3"/>
      <c r="AL37" s="184"/>
    </row>
    <row r="38" spans="1:40" x14ac:dyDescent="0.35">
      <c r="A38" s="282" t="s">
        <v>162</v>
      </c>
      <c r="F38" s="204"/>
      <c r="G38" s="204"/>
      <c r="H38" s="204"/>
      <c r="I38" s="204"/>
      <c r="J38" s="204"/>
      <c r="K38" s="204"/>
      <c r="L38" s="204"/>
      <c r="M38" s="199">
        <v>106200</v>
      </c>
      <c r="N38" s="87">
        <f>(44000*4)-M38</f>
        <v>69800</v>
      </c>
      <c r="O38" s="87"/>
      <c r="P38" s="87"/>
      <c r="Q38" s="87"/>
      <c r="R38" s="87"/>
      <c r="S38" s="87"/>
      <c r="T38" s="87"/>
      <c r="U38" s="87"/>
      <c r="V38" s="3"/>
      <c r="W38" s="44"/>
      <c r="X38" s="3"/>
      <c r="Y38" s="3"/>
      <c r="Z38" s="3"/>
      <c r="AA38" s="3"/>
      <c r="AB38" s="3"/>
      <c r="AC38" s="45"/>
      <c r="AD38" s="45"/>
      <c r="AE38" s="45"/>
      <c r="AF38" s="3"/>
      <c r="AH38" s="3"/>
      <c r="AI38" s="3"/>
      <c r="AJ38" s="3"/>
      <c r="AK38" s="3"/>
      <c r="AL38" s="184"/>
    </row>
    <row r="39" spans="1:40" s="327" customFormat="1" ht="29" x14ac:dyDescent="0.35">
      <c r="A39" s="326" t="s">
        <v>349</v>
      </c>
      <c r="F39" s="328"/>
      <c r="G39" s="328"/>
      <c r="H39" s="328"/>
      <c r="I39" s="328"/>
      <c r="J39" s="328"/>
      <c r="K39" s="328"/>
      <c r="L39" s="328"/>
      <c r="M39" s="329"/>
      <c r="N39" s="330"/>
      <c r="O39" s="330">
        <v>720000</v>
      </c>
      <c r="P39" s="330"/>
      <c r="Q39" s="330"/>
      <c r="R39" s="330"/>
      <c r="S39" s="330"/>
      <c r="T39" s="330"/>
      <c r="U39" s="330"/>
      <c r="V39" s="331"/>
      <c r="W39" s="331"/>
      <c r="X39" s="331"/>
      <c r="Y39" s="331"/>
      <c r="Z39" s="331"/>
      <c r="AA39" s="331"/>
      <c r="AB39" s="331"/>
      <c r="AC39" s="332"/>
      <c r="AD39" s="332"/>
      <c r="AE39" s="332"/>
      <c r="AF39" s="331"/>
      <c r="AH39" s="331"/>
      <c r="AI39" s="331"/>
      <c r="AJ39" s="331"/>
      <c r="AK39" s="331"/>
      <c r="AL39" s="333"/>
    </row>
    <row r="40" spans="1:40" x14ac:dyDescent="0.35">
      <c r="A40" s="117" t="s">
        <v>139</v>
      </c>
      <c r="F40" s="204"/>
      <c r="G40" s="204"/>
      <c r="H40" s="204"/>
      <c r="I40" s="204"/>
      <c r="J40" s="204">
        <v>0</v>
      </c>
      <c r="K40" s="204">
        <v>0</v>
      </c>
      <c r="L40" s="204">
        <f>'figuring out UI'!M18*1000</f>
        <v>277600</v>
      </c>
      <c r="M40" s="199">
        <f>1000*'figuring out UI'!N18</f>
        <v>140000</v>
      </c>
      <c r="N40" s="87">
        <f>1000*'figuring out UI'!O18</f>
        <v>80000</v>
      </c>
      <c r="O40" s="87">
        <f>1000*'figuring out UI'!P18</f>
        <v>60000</v>
      </c>
      <c r="P40" s="87">
        <f>1000*'figuring out UI'!Q18</f>
        <v>44000</v>
      </c>
      <c r="Q40" s="87">
        <f>1000*'figuring out UI'!R18</f>
        <v>44000</v>
      </c>
      <c r="R40" s="87">
        <f>1000*'figuring out UI'!S18</f>
        <v>44000</v>
      </c>
      <c r="S40" s="87">
        <f>1000*'figuring out UI'!T18</f>
        <v>44000</v>
      </c>
      <c r="T40" s="87">
        <f>1000*'figuring out UI'!U18</f>
        <v>44000</v>
      </c>
      <c r="U40" s="87">
        <f>1000*'figuring out UI'!V18</f>
        <v>44000</v>
      </c>
      <c r="V40" s="87">
        <f>1000*'figuring out UI'!W18</f>
        <v>44000</v>
      </c>
      <c r="W40" s="44"/>
      <c r="X40" s="3"/>
      <c r="Y40" s="3"/>
      <c r="Z40" s="3"/>
      <c r="AA40" s="3"/>
      <c r="AB40" s="3"/>
      <c r="AC40" s="45">
        <f>AVERAGE(J40:M40)/1000</f>
        <v>104.4</v>
      </c>
      <c r="AD40" s="45">
        <f t="shared" si="24"/>
        <v>57</v>
      </c>
      <c r="AE40" s="45">
        <f t="shared" si="25"/>
        <v>44</v>
      </c>
      <c r="AF40" s="3"/>
      <c r="AH40" s="3"/>
      <c r="AI40" s="3"/>
      <c r="AJ40" s="3"/>
      <c r="AK40" s="3"/>
      <c r="AL40" s="184"/>
    </row>
    <row r="41" spans="1:40" ht="29" x14ac:dyDescent="0.35">
      <c r="A41" s="86" t="s">
        <v>147</v>
      </c>
      <c r="F41" s="204"/>
      <c r="G41" s="204"/>
      <c r="H41" s="204"/>
      <c r="I41" s="204"/>
      <c r="J41" s="204">
        <v>0</v>
      </c>
      <c r="K41" s="204">
        <v>0</v>
      </c>
      <c r="L41" s="204">
        <f>SUM(L42:L43)</f>
        <v>179900</v>
      </c>
      <c r="M41" s="199">
        <f>SUM(M42:M43)</f>
        <v>85400</v>
      </c>
      <c r="N41" s="87">
        <f>SUM(N42:N43)</f>
        <v>51804.841653418123</v>
      </c>
      <c r="O41" s="87">
        <f t="shared" ref="O41:R41" si="28">SUM(O42:O43)</f>
        <v>43377.595548489669</v>
      </c>
      <c r="P41" s="87">
        <f t="shared" si="28"/>
        <v>43000</v>
      </c>
      <c r="Q41" s="87">
        <f t="shared" si="28"/>
        <v>43000</v>
      </c>
      <c r="R41" s="87">
        <f t="shared" si="28"/>
        <v>15000</v>
      </c>
      <c r="S41" s="87"/>
      <c r="T41" s="87"/>
      <c r="U41" s="87"/>
      <c r="V41" s="3"/>
      <c r="W41" s="44"/>
      <c r="X41" s="3"/>
      <c r="Y41" s="3"/>
      <c r="Z41" s="3"/>
      <c r="AA41" s="3"/>
      <c r="AB41" s="3"/>
      <c r="AC41" s="45">
        <f>AVERAGE(J41:M41)/1000</f>
        <v>66.325000000000003</v>
      </c>
      <c r="AD41" s="45">
        <f t="shared" si="24"/>
        <v>45.295609300476947</v>
      </c>
      <c r="AE41" s="45">
        <f t="shared" ref="AE41" si="29">AVERAGE(R41:U41)/1000</f>
        <v>15</v>
      </c>
      <c r="AF41" s="3"/>
      <c r="AH41" s="3">
        <f>'figuring out social benefits'!G48</f>
        <v>105</v>
      </c>
      <c r="AI41" s="3"/>
      <c r="AJ41" s="3"/>
      <c r="AK41" s="3"/>
      <c r="AL41" s="184"/>
    </row>
    <row r="42" spans="1:40" x14ac:dyDescent="0.35">
      <c r="A42" s="117" t="s">
        <v>206</v>
      </c>
      <c r="B42" t="s">
        <v>283</v>
      </c>
      <c r="C42" t="s">
        <v>308</v>
      </c>
      <c r="D42"/>
      <c r="F42" s="204"/>
      <c r="G42" s="204"/>
      <c r="H42" s="204"/>
      <c r="I42" s="204"/>
      <c r="J42" s="204"/>
      <c r="K42" s="204"/>
      <c r="L42" s="204">
        <v>19000</v>
      </c>
      <c r="M42" s="199">
        <f>VLOOKUP(C42,'Haver NA'!$A$1:$I$34,9,0)</f>
        <v>27000</v>
      </c>
      <c r="N42" s="87">
        <v>8804.8416534181251</v>
      </c>
      <c r="O42" s="87">
        <v>377.5955484896661</v>
      </c>
      <c r="P42" s="87">
        <v>0</v>
      </c>
      <c r="Q42" s="87">
        <v>0</v>
      </c>
      <c r="R42" s="87">
        <v>0</v>
      </c>
      <c r="S42" s="87"/>
      <c r="T42" s="87"/>
      <c r="U42" s="87"/>
      <c r="V42" s="87"/>
      <c r="W42" s="133"/>
      <c r="X42" s="87"/>
      <c r="Y42" s="87"/>
      <c r="Z42" s="87"/>
      <c r="AA42" s="87"/>
      <c r="AB42" s="87"/>
      <c r="AC42" s="87"/>
      <c r="AD42" s="87"/>
      <c r="AE42" s="87"/>
      <c r="AF42" s="87"/>
      <c r="AH42" s="3"/>
      <c r="AI42" s="3"/>
      <c r="AJ42" s="3"/>
      <c r="AK42" s="3"/>
      <c r="AL42" s="184"/>
    </row>
    <row r="43" spans="1:40" ht="29" x14ac:dyDescent="0.35">
      <c r="A43" s="117" t="s">
        <v>207</v>
      </c>
      <c r="B43" t="s">
        <v>283</v>
      </c>
      <c r="C43" t="s">
        <v>309</v>
      </c>
      <c r="D43"/>
      <c r="F43" s="204"/>
      <c r="G43" s="204"/>
      <c r="H43" s="204"/>
      <c r="I43" s="204"/>
      <c r="J43" s="204"/>
      <c r="K43" s="204"/>
      <c r="L43" s="204">
        <v>160900</v>
      </c>
      <c r="M43" s="199">
        <f>VLOOKUP(C43,'Haver NA'!$A$1:$I$34,9,0)</f>
        <v>58400</v>
      </c>
      <c r="N43" s="87">
        <v>43000</v>
      </c>
      <c r="O43" s="87">
        <v>43000</v>
      </c>
      <c r="P43" s="87">
        <v>43000</v>
      </c>
      <c r="Q43" s="87">
        <v>43000</v>
      </c>
      <c r="R43" s="87">
        <v>15000</v>
      </c>
      <c r="S43" s="87"/>
      <c r="T43" s="87"/>
      <c r="U43" s="87"/>
      <c r="V43" s="87"/>
      <c r="W43" s="133"/>
      <c r="X43" s="87"/>
      <c r="Y43" s="87"/>
      <c r="Z43" s="87"/>
      <c r="AA43" s="87"/>
      <c r="AB43" s="87"/>
      <c r="AC43" s="87"/>
      <c r="AD43" s="87"/>
      <c r="AE43" s="87"/>
      <c r="AF43" s="87"/>
      <c r="AH43" s="3"/>
      <c r="AI43" s="3"/>
      <c r="AJ43" s="3"/>
      <c r="AK43" s="3"/>
      <c r="AL43" s="184"/>
    </row>
    <row r="44" spans="1:40" ht="58" x14ac:dyDescent="0.35">
      <c r="A44" s="86" t="s">
        <v>149</v>
      </c>
      <c r="F44" s="199">
        <f>F30-F32-F34-F31</f>
        <v>1440187</v>
      </c>
      <c r="G44" s="199">
        <f>G30-G32-G34-G31</f>
        <v>1503410</v>
      </c>
      <c r="H44" s="203">
        <f>H30-H32-H34-H31</f>
        <v>1508652</v>
      </c>
      <c r="I44" s="199">
        <f>I30-I32-I34-I31</f>
        <v>1513957</v>
      </c>
      <c r="J44" s="203">
        <f>J30-J32-J34-J31-J41</f>
        <v>1521941</v>
      </c>
      <c r="K44" s="203">
        <f>K30-K32-K34-K31-K41</f>
        <v>1574462</v>
      </c>
      <c r="L44" s="203">
        <f>L30-L32-L34-L31-L41</f>
        <v>1620732</v>
      </c>
      <c r="M44" s="204">
        <f>M30-M32-M34-M31-M41</f>
        <v>1669514</v>
      </c>
      <c r="N44" s="88">
        <f>M44*(1+N46)</f>
        <v>1656992.645</v>
      </c>
      <c r="O44" s="88">
        <f t="shared" ref="O44:Q44" si="30">N44*(1+O46)</f>
        <v>1644565.2001625001</v>
      </c>
      <c r="P44" s="88">
        <f t="shared" si="30"/>
        <v>1632230.9611612814</v>
      </c>
      <c r="Q44" s="88">
        <f t="shared" si="30"/>
        <v>1619989.228952572</v>
      </c>
      <c r="R44" s="88">
        <f>Q44*(1+R46)</f>
        <v>1644289.0673868605</v>
      </c>
      <c r="S44" s="88">
        <f t="shared" ref="S44:U44" si="31">R44*(1+S46)</f>
        <v>1668953.4033976633</v>
      </c>
      <c r="T44" s="88">
        <f t="shared" si="31"/>
        <v>1693987.704448628</v>
      </c>
      <c r="U44" s="88">
        <f t="shared" si="31"/>
        <v>1719397.5200153573</v>
      </c>
      <c r="V44" s="88">
        <f>U44*(1+V46)</f>
        <v>1736591.4952155109</v>
      </c>
      <c r="W44" s="44"/>
      <c r="X44" s="3"/>
      <c r="Y44" s="3"/>
      <c r="Z44" s="3"/>
      <c r="AA44" s="3"/>
      <c r="AB44" s="3">
        <f>AC30-AC32-AC34-AC31-AC41</f>
        <v>-1671.75325</v>
      </c>
      <c r="AC44" s="45">
        <f>AVERAGE(J44:M44)/1000</f>
        <v>1596.6622500000001</v>
      </c>
      <c r="AD44" s="45">
        <f t="shared" si="24"/>
        <v>1638.4445088190882</v>
      </c>
      <c r="AE44" s="45">
        <f t="shared" si="25"/>
        <v>1681.6569238121272</v>
      </c>
      <c r="AF44" s="3"/>
      <c r="AH44" s="3">
        <f>AH30-AH32-AH34-AH31-AH41</f>
        <v>1571.7041322167745</v>
      </c>
      <c r="AI44" s="3">
        <f>AI30-AI32-AI34-AI31</f>
        <v>1644.9470557811208</v>
      </c>
      <c r="AJ44" s="3">
        <f>AJ30-AJ32-AJ34-AJ31</f>
        <v>1684.8968956203648</v>
      </c>
      <c r="AK44" s="3"/>
      <c r="AL44" s="184"/>
      <c r="AM44">
        <f>AI44/AH44*AC44</f>
        <v>1671.0682458472502</v>
      </c>
      <c r="AN44">
        <f>AJ44/AH44*AC44</f>
        <v>1711.6524753198171</v>
      </c>
    </row>
    <row r="45" spans="1:40" s="171" customFormat="1" x14ac:dyDescent="0.35">
      <c r="A45" s="170" t="s">
        <v>216</v>
      </c>
      <c r="C45" s="281"/>
      <c r="D45" s="281"/>
      <c r="F45" s="234"/>
      <c r="G45" s="236">
        <f>G44/F44-1</f>
        <v>4.3899160317375507E-2</v>
      </c>
      <c r="H45" s="236">
        <f t="shared" ref="H45:L45" si="32">H44/G44-1</f>
        <v>3.4867401440725754E-3</v>
      </c>
      <c r="I45" s="236">
        <f t="shared" si="32"/>
        <v>3.5163841628156334E-3</v>
      </c>
      <c r="J45" s="236">
        <f t="shared" si="32"/>
        <v>5.2735975988749129E-3</v>
      </c>
      <c r="K45" s="236">
        <f t="shared" si="32"/>
        <v>3.4509222105193249E-2</v>
      </c>
      <c r="L45" s="236">
        <f t="shared" si="32"/>
        <v>2.938781628264131E-2</v>
      </c>
      <c r="M45" s="199"/>
      <c r="N45" s="235"/>
      <c r="O45" s="235"/>
      <c r="P45" s="235"/>
      <c r="Q45" s="235"/>
      <c r="R45" s="235"/>
      <c r="S45" s="235"/>
      <c r="T45" s="235"/>
      <c r="U45" s="235"/>
      <c r="V45" s="235"/>
      <c r="W45" s="173"/>
      <c r="X45" s="175"/>
      <c r="Y45" s="175"/>
      <c r="Z45" s="175"/>
      <c r="AA45" s="175"/>
      <c r="AB45" s="175"/>
      <c r="AC45" s="174"/>
      <c r="AD45" s="174"/>
      <c r="AE45" s="174"/>
      <c r="AF45" s="175"/>
      <c r="AH45" s="175"/>
      <c r="AI45" s="175"/>
      <c r="AJ45" s="175"/>
      <c r="AK45" s="175"/>
      <c r="AL45" s="185"/>
    </row>
    <row r="46" spans="1:40" s="187" customFormat="1" x14ac:dyDescent="0.35">
      <c r="A46" s="170" t="s">
        <v>271</v>
      </c>
      <c r="F46" s="209"/>
      <c r="G46" s="209"/>
      <c r="H46" s="209"/>
      <c r="I46" s="209"/>
      <c r="J46" s="202"/>
      <c r="K46" s="202"/>
      <c r="L46" s="202"/>
      <c r="M46" s="199"/>
      <c r="N46" s="176">
        <v>-7.4999999999999997E-3</v>
      </c>
      <c r="O46" s="176">
        <v>-7.4999999999999997E-3</v>
      </c>
      <c r="P46" s="176">
        <v>-7.4999999999999997E-3</v>
      </c>
      <c r="Q46" s="176">
        <v>-7.4999999999999997E-3</v>
      </c>
      <c r="R46" s="176">
        <v>1.4999999999999999E-2</v>
      </c>
      <c r="S46" s="176">
        <v>1.4999999999999999E-2</v>
      </c>
      <c r="T46" s="176">
        <v>1.4999999999999999E-2</v>
      </c>
      <c r="U46" s="176">
        <v>1.4999999999999999E-2</v>
      </c>
      <c r="V46" s="176">
        <v>0.01</v>
      </c>
      <c r="W46" s="176"/>
      <c r="AC46" s="189">
        <f>AC31+AC32+AC34+AC41</f>
        <v>1671.7532500000002</v>
      </c>
      <c r="AH46" s="189">
        <f>AH31+AH32+AH34+AH41</f>
        <v>1749.068</v>
      </c>
      <c r="AL46" s="244"/>
      <c r="AM46" s="233">
        <v>-7.4999999999999997E-3</v>
      </c>
      <c r="AN46" s="233">
        <v>1.4999999999999999E-2</v>
      </c>
    </row>
    <row r="47" spans="1:40" s="35" customFormat="1" ht="14" customHeight="1" x14ac:dyDescent="0.35">
      <c r="A47"/>
      <c r="B47"/>
      <c r="E47"/>
      <c r="F47" s="199"/>
      <c r="G47" s="199"/>
      <c r="H47" s="199"/>
      <c r="I47" s="199"/>
      <c r="J47" s="199"/>
      <c r="K47" s="199"/>
      <c r="L47" s="199"/>
      <c r="M47" s="199"/>
      <c r="N47" s="3"/>
      <c r="O47" s="3"/>
      <c r="P47" s="3"/>
      <c r="Q47" s="3"/>
      <c r="R47" s="3"/>
      <c r="S47" s="3"/>
      <c r="T47" s="3"/>
      <c r="U47" s="3"/>
      <c r="V47" s="3"/>
      <c r="W47" s="44"/>
      <c r="X47" s="44"/>
      <c r="Y47" s="44"/>
      <c r="Z47" s="44"/>
      <c r="AA47" s="44"/>
      <c r="AB47" s="44"/>
      <c r="AC47" s="45"/>
      <c r="AD47" s="45"/>
      <c r="AE47" s="45"/>
      <c r="AF47" s="44"/>
      <c r="AH47" s="44"/>
      <c r="AI47" s="44"/>
      <c r="AJ47" s="44"/>
      <c r="AK47" s="44"/>
      <c r="AL47" s="245"/>
    </row>
    <row r="48" spans="1:40" s="35" customFormat="1" x14ac:dyDescent="0.35">
      <c r="A48" s="141" t="s">
        <v>4</v>
      </c>
      <c r="B48" s="141" t="s">
        <v>283</v>
      </c>
      <c r="C48" t="s">
        <v>310</v>
      </c>
      <c r="D48"/>
      <c r="E48" s="141"/>
      <c r="F48" s="199">
        <v>79458</v>
      </c>
      <c r="G48" s="199">
        <v>71318</v>
      </c>
      <c r="H48" s="199">
        <v>61083</v>
      </c>
      <c r="I48" s="204">
        <v>81998</v>
      </c>
      <c r="J48" s="204">
        <v>81147</v>
      </c>
      <c r="K48" s="204">
        <v>75093</v>
      </c>
      <c r="L48" s="204">
        <v>1086548</v>
      </c>
      <c r="M48" s="204">
        <f>VLOOKUP(C48,'Haver NA'!$A$1:$I$34,9,0)</f>
        <v>1213308</v>
      </c>
      <c r="N48" s="144">
        <f t="shared" ref="N48:V48" si="33">N49+AVERAGE($H$48:$K$48)</f>
        <v>382932.00834658189</v>
      </c>
      <c r="O48" s="144">
        <f t="shared" si="33"/>
        <v>500250.25</v>
      </c>
      <c r="P48" s="144">
        <f t="shared" si="33"/>
        <v>500250.25</v>
      </c>
      <c r="Q48" s="144">
        <f t="shared" si="33"/>
        <v>500250.25</v>
      </c>
      <c r="R48" s="144">
        <f t="shared" si="33"/>
        <v>100250.25</v>
      </c>
      <c r="S48" s="144">
        <f t="shared" si="33"/>
        <v>74830.25</v>
      </c>
      <c r="T48" s="144">
        <f t="shared" si="33"/>
        <v>74830.25</v>
      </c>
      <c r="U48" s="144">
        <f t="shared" si="33"/>
        <v>74830.25</v>
      </c>
      <c r="V48" s="144">
        <f t="shared" si="33"/>
        <v>74830.25</v>
      </c>
      <c r="W48" s="44"/>
      <c r="X48" s="44"/>
      <c r="Y48" s="44"/>
      <c r="Z48" s="44"/>
      <c r="AA48" s="44"/>
      <c r="AB48" s="44">
        <f>AVERAGE(F48:I48)/1000</f>
        <v>73.464250000000007</v>
      </c>
      <c r="AC48" s="44"/>
      <c r="AD48" s="44"/>
      <c r="AE48" s="44"/>
      <c r="AL48" s="243"/>
    </row>
    <row r="49" spans="1:38" s="35" customFormat="1" x14ac:dyDescent="0.35">
      <c r="A49" s="134" t="s">
        <v>201</v>
      </c>
      <c r="F49" s="199"/>
      <c r="G49" s="199"/>
      <c r="H49" s="199"/>
      <c r="I49" s="204"/>
      <c r="J49" s="204"/>
      <c r="K49" s="204"/>
      <c r="L49" s="204"/>
      <c r="M49" s="116">
        <f t="shared" ref="M49:N49" si="34">M51+M52+M57</f>
        <v>1093900</v>
      </c>
      <c r="N49" s="116">
        <f t="shared" si="34"/>
        <v>308101.75834658189</v>
      </c>
      <c r="O49" s="116">
        <f>O51+O52+O57</f>
        <v>425420</v>
      </c>
      <c r="P49" s="116">
        <f t="shared" ref="P49:V49" si="35">P51+P52+P57</f>
        <v>425420</v>
      </c>
      <c r="Q49" s="116">
        <f t="shared" si="35"/>
        <v>425420</v>
      </c>
      <c r="R49" s="116">
        <f t="shared" si="35"/>
        <v>25420</v>
      </c>
      <c r="S49" s="116">
        <f t="shared" si="35"/>
        <v>0</v>
      </c>
      <c r="T49" s="116">
        <f t="shared" si="35"/>
        <v>0</v>
      </c>
      <c r="U49" s="116">
        <f t="shared" si="35"/>
        <v>0</v>
      </c>
      <c r="V49" s="116">
        <f t="shared" si="35"/>
        <v>0</v>
      </c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L49" s="243"/>
    </row>
    <row r="50" spans="1:38" s="35" customFormat="1" x14ac:dyDescent="0.35">
      <c r="A50" s="227" t="s">
        <v>340</v>
      </c>
      <c r="F50" s="199"/>
      <c r="G50" s="199"/>
      <c r="H50" s="199"/>
      <c r="I50" s="204"/>
      <c r="J50" s="204"/>
      <c r="K50" s="204"/>
      <c r="L50" s="204"/>
      <c r="M50" s="204"/>
      <c r="N50" s="116"/>
      <c r="O50" s="116"/>
      <c r="P50" s="116"/>
      <c r="Q50" s="116"/>
      <c r="R50" s="116"/>
      <c r="S50" s="116"/>
      <c r="T50" s="116"/>
      <c r="U50" s="116"/>
      <c r="V50" s="116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L50" s="243"/>
    </row>
    <row r="51" spans="1:38" s="35" customFormat="1" x14ac:dyDescent="0.35">
      <c r="A51" s="324" t="s">
        <v>338</v>
      </c>
      <c r="C51" t="s">
        <v>311</v>
      </c>
      <c r="D51"/>
      <c r="F51" s="199"/>
      <c r="G51" s="199"/>
      <c r="H51" s="199"/>
      <c r="I51" s="204"/>
      <c r="J51" s="204"/>
      <c r="K51" s="204"/>
      <c r="L51" s="204">
        <v>609300</v>
      </c>
      <c r="M51" s="199">
        <f>VLOOKUP(C51,'Haver NA'!$A$1:$I$34,9,0)</f>
        <v>865600</v>
      </c>
      <c r="N51" s="116">
        <f>'[1]Revised Add Factors'!D$13*1000</f>
        <v>282681.75834658189</v>
      </c>
      <c r="O51" s="116"/>
      <c r="P51" s="116">
        <f>'[1]Revised Add Factors'!F$13*1000</f>
        <v>0</v>
      </c>
      <c r="Q51" s="116">
        <f>'[1]Revised Add Factors'!G$13*1000</f>
        <v>0</v>
      </c>
      <c r="R51" s="116">
        <f>'[1]Revised Add Factors'!H$13*1000</f>
        <v>0</v>
      </c>
      <c r="S51" s="116"/>
      <c r="T51" s="116">
        <f>'[1]Revised Add Factors'!J$13*1000</f>
        <v>0</v>
      </c>
      <c r="U51" s="116">
        <f>'[1]Revised Add Factors'!K$13*1000</f>
        <v>0</v>
      </c>
      <c r="V51" s="116">
        <f>'[1]Revised Add Factors'!L$13*1000</f>
        <v>0</v>
      </c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L51" s="243"/>
    </row>
    <row r="52" spans="1:38" s="35" customFormat="1" ht="27.5" customHeight="1" x14ac:dyDescent="0.35">
      <c r="A52" s="113" t="s">
        <v>274</v>
      </c>
      <c r="C52" t="s">
        <v>336</v>
      </c>
      <c r="D52"/>
      <c r="F52" s="199"/>
      <c r="G52" s="199"/>
      <c r="H52" s="199"/>
      <c r="I52" s="204"/>
      <c r="J52" s="204"/>
      <c r="K52" s="204"/>
      <c r="L52" s="204">
        <f>SUM(L53:L55)</f>
        <v>277100</v>
      </c>
      <c r="M52" s="199">
        <f>SUM(M53:M55)</f>
        <v>228300</v>
      </c>
      <c r="N52" s="116">
        <v>25420</v>
      </c>
      <c r="O52" s="116">
        <v>25420</v>
      </c>
      <c r="P52" s="116">
        <v>25420</v>
      </c>
      <c r="Q52" s="116">
        <v>25420</v>
      </c>
      <c r="R52" s="116">
        <v>25420</v>
      </c>
      <c r="S52" s="116"/>
      <c r="T52" s="116">
        <f>'[1]Revised Add Factors'!J$14*1000</f>
        <v>0</v>
      </c>
      <c r="U52" s="116">
        <f>'[1]Revised Add Factors'!K$14*1000</f>
        <v>0</v>
      </c>
      <c r="V52" s="116">
        <f>'[1]Revised Add Factors'!L$14*1000</f>
        <v>0</v>
      </c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L52" s="243"/>
    </row>
    <row r="53" spans="1:38" s="187" customFormat="1" x14ac:dyDescent="0.35">
      <c r="A53" s="325" t="s">
        <v>284</v>
      </c>
      <c r="B53" s="187" t="s">
        <v>283</v>
      </c>
      <c r="C53" t="s">
        <v>312</v>
      </c>
      <c r="D53"/>
      <c r="F53" s="209"/>
      <c r="G53" s="209"/>
      <c r="H53" s="209"/>
      <c r="I53" s="263"/>
      <c r="J53" s="263"/>
      <c r="K53" s="263"/>
      <c r="L53" s="263">
        <v>63800</v>
      </c>
      <c r="M53" s="199">
        <f>VLOOKUP(C53,'Haver NA'!$A$1:$I$34,9,0)</f>
        <v>15000</v>
      </c>
      <c r="N53" s="264"/>
      <c r="O53" s="264"/>
      <c r="P53" s="264"/>
      <c r="Q53" s="264"/>
      <c r="R53" s="264"/>
      <c r="S53" s="264"/>
      <c r="T53" s="264"/>
      <c r="U53" s="264"/>
      <c r="V53" s="264"/>
      <c r="W53" s="189"/>
      <c r="X53" s="189"/>
      <c r="Y53" s="189"/>
      <c r="Z53" s="189"/>
      <c r="AA53" s="189"/>
      <c r="AB53" s="189"/>
      <c r="AC53" s="189"/>
      <c r="AD53" s="189"/>
      <c r="AE53" s="189"/>
      <c r="AF53" s="189"/>
      <c r="AL53" s="244"/>
    </row>
    <row r="54" spans="1:38" s="187" customFormat="1" x14ac:dyDescent="0.35">
      <c r="A54" s="325" t="s">
        <v>285</v>
      </c>
      <c r="B54" s="187" t="s">
        <v>283</v>
      </c>
      <c r="C54" t="s">
        <v>313</v>
      </c>
      <c r="D54"/>
      <c r="F54" s="209"/>
      <c r="G54" s="209"/>
      <c r="H54" s="209"/>
      <c r="I54" s="263"/>
      <c r="J54" s="263"/>
      <c r="K54" s="263"/>
      <c r="L54" s="263">
        <v>73300</v>
      </c>
      <c r="M54" s="199">
        <f>VLOOKUP(C54,'Haver NA'!$A$1:$I$34,9,0)</f>
        <v>73300</v>
      </c>
      <c r="N54" s="264"/>
      <c r="O54" s="264"/>
      <c r="P54" s="264"/>
      <c r="Q54" s="264"/>
      <c r="R54" s="264"/>
      <c r="S54" s="264"/>
      <c r="T54" s="264"/>
      <c r="U54" s="264"/>
      <c r="V54" s="264"/>
      <c r="W54" s="189"/>
      <c r="X54" s="189"/>
      <c r="Y54" s="189"/>
      <c r="Z54" s="189"/>
      <c r="AA54" s="189"/>
      <c r="AB54" s="189"/>
      <c r="AC54" s="189"/>
      <c r="AD54" s="189"/>
      <c r="AE54" s="189"/>
      <c r="AF54" s="189"/>
      <c r="AL54" s="244"/>
    </row>
    <row r="55" spans="1:38" s="187" customFormat="1" x14ac:dyDescent="0.35">
      <c r="A55" s="325" t="s">
        <v>286</v>
      </c>
      <c r="B55" s="187" t="s">
        <v>283</v>
      </c>
      <c r="C55" t="s">
        <v>314</v>
      </c>
      <c r="D55"/>
      <c r="F55" s="209"/>
      <c r="G55" s="209"/>
      <c r="H55" s="209"/>
      <c r="I55" s="263"/>
      <c r="J55" s="263"/>
      <c r="K55" s="263"/>
      <c r="L55" s="263">
        <v>140000</v>
      </c>
      <c r="M55" s="199">
        <f>VLOOKUP(C55,'Haver NA'!$A$1:$I$34,9,0)</f>
        <v>140000</v>
      </c>
      <c r="N55" s="264"/>
      <c r="O55" s="264"/>
      <c r="P55" s="264"/>
      <c r="Q55" s="264"/>
      <c r="R55" s="264"/>
      <c r="S55" s="264"/>
      <c r="T55" s="264"/>
      <c r="U55" s="264"/>
      <c r="V55" s="264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L55" s="244"/>
    </row>
    <row r="56" spans="1:38" s="187" customFormat="1" x14ac:dyDescent="0.35">
      <c r="A56" s="227" t="s">
        <v>341</v>
      </c>
      <c r="C56"/>
      <c r="D56"/>
      <c r="F56" s="209"/>
      <c r="G56" s="209"/>
      <c r="H56" s="209"/>
      <c r="I56" s="263"/>
      <c r="J56" s="263"/>
      <c r="K56" s="263"/>
      <c r="L56" s="263"/>
      <c r="M56" s="199"/>
      <c r="N56" s="264"/>
      <c r="O56" s="264"/>
      <c r="P56" s="264"/>
      <c r="Q56" s="264"/>
      <c r="R56" s="264"/>
      <c r="S56" s="264"/>
      <c r="T56" s="264"/>
      <c r="U56" s="264"/>
      <c r="V56" s="264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L56" s="244"/>
    </row>
    <row r="57" spans="1:38" s="327" customFormat="1" x14ac:dyDescent="0.35">
      <c r="A57" s="326" t="s">
        <v>339</v>
      </c>
      <c r="F57" s="329"/>
      <c r="G57" s="329"/>
      <c r="H57" s="329"/>
      <c r="I57" s="328"/>
      <c r="J57" s="328"/>
      <c r="K57" s="328"/>
      <c r="L57" s="328"/>
      <c r="M57" s="329"/>
      <c r="N57" s="334"/>
      <c r="O57" s="334">
        <v>400000</v>
      </c>
      <c r="P57" s="334">
        <v>400000</v>
      </c>
      <c r="Q57" s="334">
        <v>400000</v>
      </c>
      <c r="R57" s="334"/>
      <c r="S57" s="334"/>
      <c r="T57" s="334"/>
      <c r="U57" s="334"/>
      <c r="V57" s="334"/>
      <c r="W57" s="331"/>
      <c r="X57" s="331"/>
      <c r="Y57" s="331"/>
      <c r="Z57" s="331"/>
      <c r="AA57" s="331"/>
      <c r="AB57" s="331"/>
      <c r="AC57" s="331"/>
      <c r="AD57" s="331"/>
      <c r="AE57" s="331"/>
      <c r="AF57" s="331"/>
      <c r="AL57" s="335"/>
    </row>
    <row r="58" spans="1:38" s="35" customFormat="1" x14ac:dyDescent="0.35">
      <c r="A58" s="134"/>
      <c r="F58" s="199"/>
      <c r="G58" s="199"/>
      <c r="H58" s="199"/>
      <c r="I58" s="204"/>
      <c r="J58" s="204"/>
      <c r="K58" s="204"/>
      <c r="L58" s="204"/>
      <c r="M58" s="199"/>
      <c r="N58" s="116"/>
      <c r="O58" s="116"/>
      <c r="P58" s="116"/>
      <c r="Q58" s="116"/>
      <c r="R58" s="116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L58" s="243"/>
    </row>
    <row r="59" spans="1:38" s="35" customFormat="1" x14ac:dyDescent="0.35">
      <c r="A59" s="35" t="s">
        <v>16</v>
      </c>
      <c r="B59" s="35" t="s">
        <v>283</v>
      </c>
      <c r="C59" t="s">
        <v>315</v>
      </c>
      <c r="D59"/>
      <c r="F59" s="199">
        <v>586475</v>
      </c>
      <c r="G59" s="199">
        <v>594213</v>
      </c>
      <c r="H59" s="199">
        <v>612547</v>
      </c>
      <c r="I59" s="204">
        <v>610331</v>
      </c>
      <c r="J59" s="204">
        <v>615406</v>
      </c>
      <c r="K59" s="204">
        <v>627805</v>
      </c>
      <c r="L59" s="204">
        <v>1396890</v>
      </c>
      <c r="M59" s="199">
        <f>VLOOKUP(C59,'Haver NA'!$A$1:$I$34,9,0)</f>
        <v>728172</v>
      </c>
      <c r="N59" s="116">
        <f>N61+(SUM($M$63:$R$63))/4/6*4</f>
        <v>365702.88477706735</v>
      </c>
      <c r="O59" s="116">
        <f>O61+(SUM($M$63:$R$63))/4/6*4</f>
        <v>366470.99544764287</v>
      </c>
      <c r="P59" s="116">
        <f>P61+(SUM($M$63:$R$63))/4/6*4</f>
        <v>367352.43392207247</v>
      </c>
      <c r="Q59" s="116">
        <f>Q61+(SUM($M$63:$R$63))/4/6*4</f>
        <v>368384.97613497748</v>
      </c>
      <c r="R59" s="116">
        <f>R61+(SUM($M$63:$R$63))/4/6*4</f>
        <v>369874.37969325099</v>
      </c>
      <c r="S59" s="44"/>
      <c r="T59" s="44"/>
      <c r="U59" s="44"/>
      <c r="V59" s="44"/>
      <c r="W59" s="44"/>
      <c r="X59" s="44"/>
      <c r="Y59" s="44"/>
      <c r="Z59" s="44"/>
      <c r="AA59" s="44"/>
      <c r="AB59" s="44">
        <f>AVERAGE(F59:I59)/1000</f>
        <v>600.89149999999995</v>
      </c>
      <c r="AC59" s="44"/>
      <c r="AD59" s="44"/>
      <c r="AE59" s="44"/>
      <c r="AL59" s="243"/>
    </row>
    <row r="60" spans="1:38" s="35" customFormat="1" x14ac:dyDescent="0.35">
      <c r="A60" s="35" t="s">
        <v>229</v>
      </c>
      <c r="F60" s="205">
        <f>F59-F77</f>
        <v>196851</v>
      </c>
      <c r="G60" s="205">
        <f t="shared" ref="G60:M60" si="36">G59-G77</f>
        <v>189684</v>
      </c>
      <c r="H60" s="205">
        <f t="shared" si="36"/>
        <v>192875</v>
      </c>
      <c r="I60" s="205">
        <f t="shared" si="36"/>
        <v>191507</v>
      </c>
      <c r="J60" s="205">
        <f t="shared" si="36"/>
        <v>203997</v>
      </c>
      <c r="K60" s="205">
        <f t="shared" si="36"/>
        <v>204376</v>
      </c>
      <c r="L60" s="205">
        <f t="shared" si="36"/>
        <v>884250</v>
      </c>
      <c r="M60" s="199">
        <f t="shared" si="36"/>
        <v>242100</v>
      </c>
      <c r="N60" s="116"/>
      <c r="O60" s="116"/>
      <c r="P60" s="116"/>
      <c r="Q60" s="116"/>
      <c r="R60" s="116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L60" s="243"/>
    </row>
    <row r="61" spans="1:38" s="35" customFormat="1" x14ac:dyDescent="0.35">
      <c r="A61" s="136" t="s">
        <v>230</v>
      </c>
      <c r="F61" s="199"/>
      <c r="G61" s="199"/>
      <c r="H61" s="199"/>
      <c r="I61" s="204"/>
      <c r="J61" s="204"/>
      <c r="K61" s="204"/>
      <c r="L61" s="204">
        <f>L60-L62</f>
        <v>192250</v>
      </c>
      <c r="M61" s="199">
        <f>L61*(1+M76)</f>
        <v>189950.61436735778</v>
      </c>
      <c r="N61" s="116">
        <f>M61*(1+N76)</f>
        <v>191372.88477706735</v>
      </c>
      <c r="O61" s="116">
        <f t="shared" ref="O61:R61" si="37">N61*(1+O76)</f>
        <v>192140.9954476429</v>
      </c>
      <c r="P61" s="116">
        <f t="shared" si="37"/>
        <v>193022.43392207247</v>
      </c>
      <c r="Q61" s="116">
        <f t="shared" si="37"/>
        <v>194054.97613497748</v>
      </c>
      <c r="R61" s="116">
        <f t="shared" si="37"/>
        <v>195544.37969325102</v>
      </c>
      <c r="S61" s="116">
        <f t="shared" ref="S61" si="38">R61*(1+S76)</f>
        <v>197240.80684971521</v>
      </c>
      <c r="T61" s="116">
        <f t="shared" ref="T61" si="39">S61*(1+T76)</f>
        <v>198958.57178194768</v>
      </c>
      <c r="U61" s="116">
        <f t="shared" ref="U61" si="40">T61*(1+U76)</f>
        <v>200866.80125051294</v>
      </c>
      <c r="V61" s="116">
        <f t="shared" ref="V61:W61" si="41">U61*(1+V76)</f>
        <v>202622.47677399646</v>
      </c>
      <c r="W61" s="116">
        <f t="shared" si="41"/>
        <v>204572.45802602731</v>
      </c>
      <c r="X61" s="44"/>
      <c r="Y61" s="44"/>
      <c r="Z61" s="44"/>
      <c r="AA61" s="44"/>
      <c r="AB61" s="44"/>
      <c r="AC61" s="44"/>
      <c r="AD61" s="44"/>
      <c r="AE61" s="44"/>
      <c r="AF61" s="44"/>
      <c r="AL61" s="243"/>
    </row>
    <row r="62" spans="1:38" s="138" customFormat="1" x14ac:dyDescent="0.35">
      <c r="A62" s="137" t="s">
        <v>210</v>
      </c>
      <c r="C62" t="s">
        <v>316</v>
      </c>
      <c r="D62"/>
      <c r="F62" s="206"/>
      <c r="G62" s="206"/>
      <c r="H62" s="206"/>
      <c r="I62" s="207"/>
      <c r="J62" s="207"/>
      <c r="K62" s="207"/>
      <c r="L62" s="207">
        <v>692000</v>
      </c>
      <c r="M62" s="199">
        <v>38500</v>
      </c>
      <c r="N62" s="139"/>
      <c r="O62" s="139"/>
      <c r="P62" s="139"/>
      <c r="Q62" s="139"/>
      <c r="R62" s="139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L62" s="246"/>
    </row>
    <row r="63" spans="1:38" s="35" customFormat="1" ht="29" x14ac:dyDescent="0.35">
      <c r="A63" s="134" t="s">
        <v>211</v>
      </c>
      <c r="F63" s="199"/>
      <c r="G63" s="199"/>
      <c r="H63" s="199"/>
      <c r="I63" s="204"/>
      <c r="J63" s="204"/>
      <c r="K63" s="204"/>
      <c r="L63" s="208">
        <f>SUM(L65:L67)</f>
        <v>87000</v>
      </c>
      <c r="M63" s="199">
        <f>SUM(M65:M67)</f>
        <v>97000</v>
      </c>
      <c r="N63" s="116">
        <f>SUM(N65:N67)+SUM(N69:N71)</f>
        <v>107000</v>
      </c>
      <c r="O63" s="116">
        <f>SUM(O65:O67)+SUM(O69:O71)</f>
        <v>280660</v>
      </c>
      <c r="P63" s="116">
        <f t="shared" ref="P63:U63" si="42">SUM(P65:P67)+SUM(P69:P71)</f>
        <v>252660</v>
      </c>
      <c r="Q63" s="116">
        <f t="shared" si="42"/>
        <v>252660</v>
      </c>
      <c r="R63" s="116">
        <f t="shared" si="42"/>
        <v>56000</v>
      </c>
      <c r="S63" s="116">
        <f t="shared" si="42"/>
        <v>50000</v>
      </c>
      <c r="T63" s="116">
        <f t="shared" si="42"/>
        <v>50000</v>
      </c>
      <c r="U63" s="116">
        <f t="shared" si="42"/>
        <v>50000</v>
      </c>
      <c r="V63" s="116">
        <f t="shared" ref="O63:W63" si="43">SUM(V65:V71)</f>
        <v>50000</v>
      </c>
      <c r="W63" s="116">
        <f t="shared" si="43"/>
        <v>50000</v>
      </c>
      <c r="X63" s="44"/>
      <c r="Y63" s="44"/>
      <c r="Z63" s="44"/>
      <c r="AA63" s="44"/>
      <c r="AB63" s="44"/>
      <c r="AC63" s="44"/>
      <c r="AD63" s="44"/>
      <c r="AE63" s="44"/>
      <c r="AF63" s="44"/>
      <c r="AL63" s="243"/>
    </row>
    <row r="64" spans="1:38" s="35" customFormat="1" x14ac:dyDescent="0.35">
      <c r="A64" s="227" t="s">
        <v>344</v>
      </c>
      <c r="F64" s="199"/>
      <c r="G64" s="199"/>
      <c r="H64" s="199"/>
      <c r="I64" s="204"/>
      <c r="J64" s="204"/>
      <c r="K64" s="204"/>
      <c r="L64" s="208"/>
      <c r="M64" s="199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44"/>
      <c r="Y64" s="44"/>
      <c r="Z64" s="44"/>
      <c r="AA64" s="44"/>
      <c r="AB64" s="44"/>
      <c r="AC64" s="44"/>
      <c r="AD64" s="44"/>
      <c r="AE64" s="44"/>
      <c r="AF64" s="44"/>
      <c r="AL64" s="243"/>
    </row>
    <row r="65" spans="1:38" s="35" customFormat="1" x14ac:dyDescent="0.35">
      <c r="A65" s="113" t="s">
        <v>198</v>
      </c>
      <c r="F65" s="199"/>
      <c r="G65" s="199"/>
      <c r="H65" s="199"/>
      <c r="I65" s="204"/>
      <c r="J65" s="204"/>
      <c r="K65" s="204"/>
      <c r="L65" s="208">
        <v>35000</v>
      </c>
      <c r="M65" s="199">
        <v>45000</v>
      </c>
      <c r="N65" s="116">
        <v>60000</v>
      </c>
      <c r="O65" s="116">
        <v>60000</v>
      </c>
      <c r="P65" s="116">
        <v>50000</v>
      </c>
      <c r="Q65" s="116">
        <v>50000</v>
      </c>
      <c r="R65" s="116">
        <v>50000</v>
      </c>
      <c r="S65" s="116">
        <v>50000</v>
      </c>
      <c r="T65" s="116">
        <v>50000</v>
      </c>
      <c r="U65" s="116">
        <v>50000</v>
      </c>
      <c r="V65" s="116">
        <v>50000</v>
      </c>
      <c r="W65" s="116">
        <v>50000</v>
      </c>
      <c r="X65" s="44"/>
      <c r="Y65" s="44"/>
      <c r="Z65" s="44"/>
      <c r="AA65" s="44"/>
      <c r="AB65" s="44"/>
      <c r="AC65" s="44"/>
      <c r="AD65" s="44"/>
      <c r="AE65" s="44"/>
      <c r="AF65" s="44"/>
      <c r="AL65" s="243"/>
    </row>
    <row r="66" spans="1:38" s="35" customFormat="1" x14ac:dyDescent="0.35">
      <c r="A66" s="113" t="s">
        <v>202</v>
      </c>
      <c r="F66" s="199"/>
      <c r="G66" s="199"/>
      <c r="H66" s="199"/>
      <c r="I66" s="204"/>
      <c r="J66" s="204"/>
      <c r="K66" s="204"/>
      <c r="L66" s="204">
        <v>27000</v>
      </c>
      <c r="M66" s="199">
        <v>27000</v>
      </c>
      <c r="N66" s="116">
        <v>12000</v>
      </c>
      <c r="O66" s="116">
        <v>12000</v>
      </c>
      <c r="P66" s="116">
        <v>12000</v>
      </c>
      <c r="Q66" s="116">
        <v>12000</v>
      </c>
      <c r="R66" s="116">
        <v>6000</v>
      </c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L66" s="243"/>
    </row>
    <row r="67" spans="1:38" s="35" customFormat="1" x14ac:dyDescent="0.35">
      <c r="A67" s="113" t="s">
        <v>199</v>
      </c>
      <c r="F67" s="199"/>
      <c r="G67" s="199"/>
      <c r="H67" s="199"/>
      <c r="I67" s="204"/>
      <c r="J67" s="204"/>
      <c r="K67" s="204"/>
      <c r="L67" s="204">
        <v>25000</v>
      </c>
      <c r="M67" s="199">
        <v>25000</v>
      </c>
      <c r="N67" s="116">
        <v>35000</v>
      </c>
      <c r="O67" s="116">
        <v>18000</v>
      </c>
      <c r="P67" s="116">
        <v>0</v>
      </c>
      <c r="Q67" s="116">
        <v>0</v>
      </c>
      <c r="R67" s="116">
        <v>0</v>
      </c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L67" s="243"/>
    </row>
    <row r="68" spans="1:38" s="35" customFormat="1" x14ac:dyDescent="0.35">
      <c r="A68" s="228" t="s">
        <v>345</v>
      </c>
      <c r="F68" s="199"/>
      <c r="G68" s="199"/>
      <c r="H68" s="199"/>
      <c r="I68" s="204"/>
      <c r="J68" s="204"/>
      <c r="K68" s="204"/>
      <c r="L68" s="204"/>
      <c r="M68" s="199"/>
      <c r="N68" s="116"/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L68" s="243"/>
    </row>
    <row r="69" spans="1:38" s="327" customFormat="1" x14ac:dyDescent="0.35">
      <c r="A69" s="337" t="s">
        <v>346</v>
      </c>
      <c r="F69" s="329"/>
      <c r="G69" s="329"/>
      <c r="H69" s="329"/>
      <c r="I69" s="328"/>
      <c r="J69" s="328"/>
      <c r="K69" s="328"/>
      <c r="L69" s="328"/>
      <c r="M69" s="329"/>
      <c r="N69" s="334"/>
      <c r="O69" s="334">
        <v>60000</v>
      </c>
      <c r="P69" s="334">
        <v>60000</v>
      </c>
      <c r="Q69" s="334">
        <v>60000</v>
      </c>
      <c r="R69" s="334"/>
      <c r="S69" s="331"/>
      <c r="T69" s="331"/>
      <c r="U69" s="331"/>
      <c r="V69" s="331"/>
      <c r="W69" s="331"/>
      <c r="X69" s="331"/>
      <c r="Y69" s="331"/>
      <c r="Z69" s="331"/>
      <c r="AA69" s="331"/>
      <c r="AB69" s="331"/>
      <c r="AC69" s="331"/>
      <c r="AD69" s="331"/>
      <c r="AE69" s="331"/>
      <c r="AF69" s="331"/>
      <c r="AL69" s="335"/>
    </row>
    <row r="70" spans="1:38" s="327" customFormat="1" x14ac:dyDescent="0.35">
      <c r="A70" s="337" t="s">
        <v>347</v>
      </c>
      <c r="F70" s="329"/>
      <c r="G70" s="329"/>
      <c r="H70" s="329"/>
      <c r="I70" s="328"/>
      <c r="J70" s="328"/>
      <c r="K70" s="328"/>
      <c r="L70" s="328"/>
      <c r="M70" s="329"/>
      <c r="N70" s="334"/>
      <c r="O70" s="334">
        <v>109330</v>
      </c>
      <c r="P70" s="334">
        <v>109330</v>
      </c>
      <c r="Q70" s="334">
        <v>109330</v>
      </c>
      <c r="R70" s="334"/>
      <c r="S70" s="331"/>
      <c r="T70" s="331"/>
      <c r="U70" s="331"/>
      <c r="V70" s="331"/>
      <c r="W70" s="331"/>
      <c r="X70" s="331"/>
      <c r="Y70" s="331"/>
      <c r="Z70" s="331"/>
      <c r="AA70" s="331"/>
      <c r="AB70" s="331"/>
      <c r="AC70" s="331"/>
      <c r="AD70" s="331"/>
      <c r="AE70" s="331"/>
      <c r="AF70" s="331"/>
      <c r="AL70" s="335"/>
    </row>
    <row r="71" spans="1:38" s="327" customFormat="1" x14ac:dyDescent="0.35">
      <c r="A71" s="337" t="s">
        <v>348</v>
      </c>
      <c r="F71" s="329"/>
      <c r="G71" s="329"/>
      <c r="H71" s="329"/>
      <c r="I71" s="328"/>
      <c r="J71" s="328"/>
      <c r="K71" s="328"/>
      <c r="L71" s="328"/>
      <c r="M71" s="329"/>
      <c r="N71" s="334"/>
      <c r="O71" s="334">
        <v>21330</v>
      </c>
      <c r="P71" s="334">
        <v>21330</v>
      </c>
      <c r="Q71" s="334">
        <v>21330</v>
      </c>
      <c r="R71" s="334"/>
      <c r="S71" s="331"/>
      <c r="T71" s="331"/>
      <c r="U71" s="331"/>
      <c r="V71" s="331"/>
      <c r="W71" s="331"/>
      <c r="X71" s="331"/>
      <c r="Y71" s="331"/>
      <c r="Z71" s="331"/>
      <c r="AA71" s="331"/>
      <c r="AB71" s="331"/>
      <c r="AC71" s="331"/>
      <c r="AD71" s="331"/>
      <c r="AE71" s="331"/>
      <c r="AF71" s="331"/>
      <c r="AL71" s="335"/>
    </row>
    <row r="72" spans="1:38" s="35" customFormat="1" x14ac:dyDescent="0.35">
      <c r="A72" s="145" t="s">
        <v>218</v>
      </c>
      <c r="B72" s="141"/>
      <c r="E72" s="141"/>
      <c r="F72" s="199"/>
      <c r="G72" s="199"/>
      <c r="H72" s="199"/>
      <c r="I72" s="204"/>
      <c r="J72" s="204"/>
      <c r="K72" s="204">
        <f>K59-K77</f>
        <v>204376</v>
      </c>
      <c r="L72" s="208">
        <f>L61+L63</f>
        <v>279250</v>
      </c>
      <c r="M72" s="199">
        <f t="shared" ref="M72:W72" si="44">M61+M63</f>
        <v>286950.6143673578</v>
      </c>
      <c r="N72" s="144">
        <f t="shared" si="44"/>
        <v>298372.88477706735</v>
      </c>
      <c r="O72" s="144">
        <f t="shared" si="44"/>
        <v>472800.99544764287</v>
      </c>
      <c r="P72" s="144">
        <f t="shared" si="44"/>
        <v>445682.43392207247</v>
      </c>
      <c r="Q72" s="144">
        <f t="shared" si="44"/>
        <v>446714.97613497748</v>
      </c>
      <c r="R72" s="144">
        <f t="shared" si="44"/>
        <v>251544.37969325102</v>
      </c>
      <c r="S72" s="144">
        <f t="shared" si="44"/>
        <v>247240.80684971521</v>
      </c>
      <c r="T72" s="144">
        <f t="shared" si="44"/>
        <v>248958.57178194768</v>
      </c>
      <c r="U72" s="144">
        <f t="shared" si="44"/>
        <v>250866.80125051294</v>
      </c>
      <c r="V72" s="144">
        <f t="shared" si="44"/>
        <v>252622.47677399646</v>
      </c>
      <c r="W72" s="144">
        <f t="shared" si="44"/>
        <v>254572.45802602731</v>
      </c>
      <c r="X72" s="44"/>
      <c r="Y72" s="44"/>
      <c r="Z72" s="44"/>
      <c r="AA72" s="44"/>
      <c r="AB72" s="44"/>
      <c r="AC72" s="44"/>
      <c r="AD72" s="44"/>
      <c r="AE72" s="44"/>
      <c r="AF72" s="44"/>
      <c r="AL72" s="243"/>
    </row>
    <row r="73" spans="1:38" s="35" customFormat="1" x14ac:dyDescent="0.35">
      <c r="F73" s="199"/>
      <c r="G73" s="199"/>
      <c r="H73" s="199"/>
      <c r="I73" s="199"/>
      <c r="J73" s="199"/>
      <c r="K73" s="199"/>
      <c r="L73" s="205"/>
      <c r="M73" s="199"/>
      <c r="N73" s="135"/>
      <c r="O73" s="135"/>
      <c r="P73" s="135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L73" s="243"/>
    </row>
    <row r="74" spans="1:38" s="35" customFormat="1" x14ac:dyDescent="0.35">
      <c r="A74" s="35" t="s">
        <v>17</v>
      </c>
      <c r="B74" s="35" t="s">
        <v>283</v>
      </c>
      <c r="C74" t="s">
        <v>317</v>
      </c>
      <c r="D74"/>
      <c r="F74" s="208">
        <v>1241.5999999999999</v>
      </c>
      <c r="G74" s="208">
        <v>1245.8</v>
      </c>
      <c r="H74" s="208">
        <v>1473.6</v>
      </c>
      <c r="I74" s="208">
        <v>1288.5</v>
      </c>
      <c r="J74" s="208">
        <v>1301.0999999999999</v>
      </c>
      <c r="K74" s="208">
        <v>1306.0999999999999</v>
      </c>
      <c r="L74" s="208">
        <v>1360.1</v>
      </c>
      <c r="M74" s="199">
        <f>VLOOKUP(C74,'Haver NA'!$A$1:$I$34,9,0)/1000</f>
        <v>1335.3219999999999</v>
      </c>
      <c r="N74" s="116"/>
      <c r="O74" s="116"/>
      <c r="P74" s="116"/>
      <c r="Q74" s="116"/>
      <c r="R74" s="116"/>
      <c r="S74" s="116"/>
      <c r="T74" s="116"/>
      <c r="U74" s="116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H74" s="44"/>
      <c r="AI74" s="44"/>
      <c r="AJ74" s="44"/>
      <c r="AK74" s="44"/>
      <c r="AL74" s="245"/>
    </row>
    <row r="75" spans="1:38" s="35" customFormat="1" x14ac:dyDescent="0.35">
      <c r="A75" s="114" t="s">
        <v>204</v>
      </c>
      <c r="B75" s="35" t="s">
        <v>283</v>
      </c>
      <c r="C75" t="s">
        <v>318</v>
      </c>
      <c r="D75"/>
      <c r="F75" s="199"/>
      <c r="G75" s="199"/>
      <c r="H75" s="199"/>
      <c r="I75" s="199"/>
      <c r="J75" s="199">
        <v>1447.9</v>
      </c>
      <c r="K75" s="199">
        <v>1452.6</v>
      </c>
      <c r="L75" s="199">
        <v>1504.8</v>
      </c>
      <c r="M75" s="199">
        <f>VLOOKUP(C75,'Haver NA'!$A$1:$I$34,9,0)/1000</f>
        <v>1486.8019999999999</v>
      </c>
      <c r="N75">
        <v>1497.93454882981</v>
      </c>
      <c r="O75">
        <v>1503.94678777432</v>
      </c>
      <c r="P75">
        <v>1510.84607836637</v>
      </c>
      <c r="Q75">
        <v>1518.9281044884999</v>
      </c>
      <c r="R75">
        <v>1530.5861251620499</v>
      </c>
      <c r="S75">
        <v>1543.8645833417499</v>
      </c>
      <c r="T75">
        <v>1557.3100588685299</v>
      </c>
      <c r="U75">
        <v>1572.24635902092</v>
      </c>
      <c r="V75">
        <v>1585.9885724291801</v>
      </c>
      <c r="W75">
        <v>1601.2516766583401</v>
      </c>
      <c r="X75">
        <v>1615.2555410887301</v>
      </c>
      <c r="Y75">
        <v>1630.7945672703099</v>
      </c>
      <c r="Z75">
        <v>1681.38499637876</v>
      </c>
      <c r="AA75"/>
      <c r="AD75" s="44"/>
      <c r="AE75" s="44"/>
      <c r="AF75" s="44"/>
      <c r="AH75" s="44"/>
      <c r="AI75" s="44"/>
      <c r="AJ75" s="44"/>
      <c r="AK75" s="44"/>
      <c r="AL75" s="245"/>
    </row>
    <row r="76" spans="1:38" s="187" customFormat="1" ht="12" x14ac:dyDescent="0.3">
      <c r="A76" s="170" t="s">
        <v>203</v>
      </c>
      <c r="F76" s="209"/>
      <c r="G76" s="209"/>
      <c r="H76" s="209"/>
      <c r="I76" s="209"/>
      <c r="J76" s="209"/>
      <c r="K76" s="209"/>
      <c r="L76" s="209"/>
      <c r="M76" s="202">
        <f>M75/L75-1</f>
        <v>-1.1960393407761893E-2</v>
      </c>
      <c r="N76" s="188">
        <f>N75/M75-1</f>
        <v>7.4875799399045651E-3</v>
      </c>
      <c r="O76" s="188">
        <f t="shared" ref="O76:V76" si="45">O75/N75-1</f>
        <v>4.0136860113193507E-3</v>
      </c>
      <c r="P76" s="188">
        <f t="shared" si="45"/>
        <v>4.5874565829953085E-3</v>
      </c>
      <c r="Q76" s="188">
        <f t="shared" si="45"/>
        <v>5.3493378563544969E-3</v>
      </c>
      <c r="R76" s="188">
        <f t="shared" si="45"/>
        <v>7.6751629251576858E-3</v>
      </c>
      <c r="S76" s="188">
        <f t="shared" si="45"/>
        <v>8.675407388979206E-3</v>
      </c>
      <c r="T76" s="188">
        <f t="shared" si="45"/>
        <v>8.7089733593581631E-3</v>
      </c>
      <c r="U76" s="188">
        <f t="shared" si="45"/>
        <v>9.5910894990571816E-3</v>
      </c>
      <c r="V76" s="188">
        <f t="shared" si="45"/>
        <v>8.7404962520107876E-3</v>
      </c>
      <c r="W76" s="188">
        <f t="shared" ref="W76" si="46">W75/V75-1</f>
        <v>9.6237163965073869E-3</v>
      </c>
      <c r="X76" s="188">
        <f t="shared" ref="X76" si="47">X75/W75-1</f>
        <v>8.7455736250123817E-3</v>
      </c>
      <c r="Y76" s="188">
        <f>Y75/X75-1</f>
        <v>9.6201658414407643E-3</v>
      </c>
      <c r="Z76" s="188">
        <f t="shared" ref="Z76" si="48">Z75/Y75-1</f>
        <v>3.1021950970274714E-2</v>
      </c>
      <c r="AA76" s="188"/>
      <c r="AD76" s="189"/>
      <c r="AE76" s="189"/>
      <c r="AF76" s="189"/>
      <c r="AH76" s="189"/>
      <c r="AI76" s="189"/>
      <c r="AJ76" s="189"/>
      <c r="AK76" s="189"/>
      <c r="AL76" s="247"/>
    </row>
    <row r="77" spans="1:38" s="35" customFormat="1" x14ac:dyDescent="0.35">
      <c r="A77" s="35" t="s">
        <v>205</v>
      </c>
      <c r="B77" s="35" t="s">
        <v>283</v>
      </c>
      <c r="C77" t="s">
        <v>319</v>
      </c>
      <c r="D77"/>
      <c r="F77" s="208">
        <v>389624</v>
      </c>
      <c r="G77" s="208">
        <v>404529</v>
      </c>
      <c r="H77" s="208">
        <v>419672</v>
      </c>
      <c r="I77" s="208">
        <v>418824</v>
      </c>
      <c r="J77" s="208">
        <v>411409</v>
      </c>
      <c r="K77" s="208">
        <v>423429</v>
      </c>
      <c r="L77" s="208">
        <v>512640</v>
      </c>
      <c r="M77" s="199">
        <f>VLOOKUP(C77,'Haver NA'!$A$1:$I$34,9,0)</f>
        <v>486072</v>
      </c>
      <c r="N77" s="116">
        <f t="shared" ref="N77:S77" si="49">N84*0.74</f>
        <v>520762.48586017155</v>
      </c>
      <c r="O77" s="116">
        <f t="shared" si="49"/>
        <v>530153.75073570432</v>
      </c>
      <c r="P77" s="116">
        <f t="shared" si="49"/>
        <v>535444.10571143136</v>
      </c>
      <c r="Q77" s="116">
        <f t="shared" si="49"/>
        <v>535444.10571143136</v>
      </c>
      <c r="R77" s="116">
        <f t="shared" si="49"/>
        <v>535444.10571143136</v>
      </c>
      <c r="S77" s="116">
        <f t="shared" si="49"/>
        <v>535444.10571143136</v>
      </c>
      <c r="T77" s="116">
        <f>T84*0.68</f>
        <v>492029.71876185591</v>
      </c>
      <c r="U77" s="116">
        <f>U84*0.68</f>
        <v>492029.71876185591</v>
      </c>
      <c r="V77" s="116">
        <f>V84*0.68</f>
        <v>492029.71876185591</v>
      </c>
      <c r="W77" s="116"/>
      <c r="X77" s="116"/>
      <c r="Y77" s="116"/>
      <c r="Z77" s="116"/>
      <c r="AA77" s="116"/>
      <c r="AB77" s="44">
        <f>AVERAGE(F77:I77)/1000</f>
        <v>408.16224999999997</v>
      </c>
      <c r="AC77" s="45">
        <f>AVERAGE(J77:M77)</f>
        <v>458387.5</v>
      </c>
      <c r="AD77" s="45">
        <f>AVERAGE(N77:Q77)</f>
        <v>530451.11200468463</v>
      </c>
      <c r="AE77" s="45">
        <f>AVERAGE(R77:U77)</f>
        <v>513736.91223664366</v>
      </c>
      <c r="AG77" s="35">
        <v>409.42</v>
      </c>
      <c r="AH77" s="84">
        <f>'figuring out Medicaid'!G11</f>
        <v>466.24400000000003</v>
      </c>
      <c r="AI77" s="84">
        <f>'figuring out Medicaid'!H11</f>
        <v>537.41499999999996</v>
      </c>
      <c r="AJ77" s="84">
        <f>'figuring out Medicaid'!I11</f>
        <v>516.01800000000003</v>
      </c>
      <c r="AK77" s="84"/>
      <c r="AL77" s="243"/>
    </row>
    <row r="78" spans="1:38" s="35" customFormat="1" x14ac:dyDescent="0.35">
      <c r="A78" s="141" t="s">
        <v>161</v>
      </c>
      <c r="B78" s="141"/>
      <c r="E78" s="141"/>
      <c r="F78" s="203">
        <f>F44+F41+F32+F36</f>
        <v>1440187</v>
      </c>
      <c r="G78" s="203">
        <f>G44+G41+G32+G36</f>
        <v>1503410</v>
      </c>
      <c r="H78" s="203">
        <f>H44+H41+H32+H36</f>
        <v>1508652</v>
      </c>
      <c r="I78" s="203">
        <f>I44+I41+I32+I36</f>
        <v>1513957</v>
      </c>
      <c r="J78" s="203">
        <f>J44+J41+J32+J36</f>
        <v>1521941</v>
      </c>
      <c r="K78" s="203">
        <f>K44+K41+K32+K36</f>
        <v>1574462</v>
      </c>
      <c r="L78" s="203">
        <f>L44+L41+L32+L36</f>
        <v>3713565.333333333</v>
      </c>
      <c r="M78" s="199">
        <f>M44+M41+M32+M36</f>
        <v>2508714</v>
      </c>
      <c r="N78" s="142">
        <f>N44+N41+N32+N36+N33</f>
        <v>1966597.486653418</v>
      </c>
      <c r="O78" s="142">
        <f>O44+O41+O32+O36+O33</f>
        <v>3170742.7957109897</v>
      </c>
      <c r="P78" s="142">
        <f t="shared" ref="P78:V78" si="50">P44+P41+P32+P36+P33</f>
        <v>1799230.9611612814</v>
      </c>
      <c r="Q78" s="142">
        <f t="shared" si="50"/>
        <v>1662989.228952572</v>
      </c>
      <c r="R78" s="142">
        <f t="shared" si="50"/>
        <v>1659289.0673868605</v>
      </c>
      <c r="S78" s="142">
        <f t="shared" si="50"/>
        <v>1668953.4033976633</v>
      </c>
      <c r="T78" s="142">
        <f t="shared" si="50"/>
        <v>1693987.704448628</v>
      </c>
      <c r="U78" s="142">
        <f t="shared" si="50"/>
        <v>1719397.5200153573</v>
      </c>
      <c r="V78" s="142">
        <f t="shared" si="50"/>
        <v>1736591.4952155109</v>
      </c>
      <c r="AL78" s="243"/>
    </row>
    <row r="79" spans="1:38" s="35" customFormat="1" x14ac:dyDescent="0.35">
      <c r="A79" s="141" t="s">
        <v>215</v>
      </c>
      <c r="B79" s="141"/>
      <c r="E79" s="141"/>
      <c r="F79" s="199"/>
      <c r="G79" s="199"/>
      <c r="H79" s="199"/>
      <c r="I79" s="199"/>
      <c r="J79" s="199"/>
      <c r="K79" s="199"/>
      <c r="L79" s="205">
        <f>L77+L31</f>
        <v>1336698</v>
      </c>
      <c r="M79" s="199">
        <f>M77+M31</f>
        <v>1328805</v>
      </c>
      <c r="N79" s="143">
        <f>N77+N31</f>
        <v>1373815.6728590003</v>
      </c>
      <c r="O79" s="143">
        <f>O77+O31</f>
        <v>1393653.5067068823</v>
      </c>
      <c r="P79" s="143">
        <f>P77+P31</f>
        <v>1409518.3603139264</v>
      </c>
      <c r="Q79" s="143">
        <f>Q77+Q31</f>
        <v>1420222.3552427585</v>
      </c>
      <c r="R79" s="143">
        <f>R77+R31</f>
        <v>1449154.204832383</v>
      </c>
      <c r="S79" s="143">
        <f>S77+S31</f>
        <v>1479032.1128509077</v>
      </c>
      <c r="T79" s="143">
        <f>T77+T31</f>
        <v>1466472.6280325653</v>
      </c>
      <c r="U79" s="143">
        <f>U77+U31</f>
        <v>1498336.4715432189</v>
      </c>
      <c r="V79" s="143">
        <f>V77+V31</f>
        <v>1508477.1168994233</v>
      </c>
      <c r="AL79" s="243"/>
    </row>
    <row r="80" spans="1:38" s="35" customFormat="1" x14ac:dyDescent="0.35">
      <c r="F80" s="199"/>
      <c r="G80" s="199"/>
      <c r="H80" s="199"/>
      <c r="I80" s="199"/>
      <c r="J80" s="199"/>
      <c r="K80" s="199"/>
      <c r="L80" s="199"/>
      <c r="M80" s="199"/>
      <c r="AL80" s="243"/>
    </row>
    <row r="81" spans="1:38" s="35" customFormat="1" x14ac:dyDescent="0.35">
      <c r="A81" s="35" t="s">
        <v>15</v>
      </c>
      <c r="B81" s="35" t="s">
        <v>283</v>
      </c>
      <c r="C81" t="s">
        <v>320</v>
      </c>
      <c r="D81"/>
      <c r="F81" s="199">
        <v>728844</v>
      </c>
      <c r="G81" s="199">
        <v>738714</v>
      </c>
      <c r="H81" s="199">
        <v>755204</v>
      </c>
      <c r="I81" s="199">
        <v>763370</v>
      </c>
      <c r="J81" s="199">
        <v>760967</v>
      </c>
      <c r="K81" s="199">
        <v>767087</v>
      </c>
      <c r="L81" s="199">
        <v>812158</v>
      </c>
      <c r="M81" s="199">
        <f>VLOOKUP(C81,'Haver NA'!$A$1:$I$34,9,0)</f>
        <v>835999</v>
      </c>
      <c r="N81" s="133">
        <f t="shared" ref="N81:U81" si="51">N82+N84</f>
        <v>846655.9390002318</v>
      </c>
      <c r="O81" s="133">
        <f t="shared" si="51"/>
        <v>859704.14460568153</v>
      </c>
      <c r="P81" s="133">
        <f t="shared" si="51"/>
        <v>867211.47334407107</v>
      </c>
      <c r="Q81" s="133">
        <f t="shared" si="51"/>
        <v>867929.66513166018</v>
      </c>
      <c r="R81" s="133">
        <f t="shared" si="51"/>
        <v>869012.33925145073</v>
      </c>
      <c r="S81" s="133">
        <f t="shared" si="51"/>
        <v>870466.73148570256</v>
      </c>
      <c r="T81" s="133">
        <f t="shared" si="51"/>
        <v>872014.07451017783</v>
      </c>
      <c r="U81" s="133">
        <f t="shared" si="51"/>
        <v>873408.51802630571</v>
      </c>
      <c r="V81" s="133">
        <f t="shared" ref="V81" si="52">V82+V84</f>
        <v>874637.8300734181</v>
      </c>
      <c r="AL81" s="243"/>
    </row>
    <row r="82" spans="1:38" s="35" customFormat="1" x14ac:dyDescent="0.35">
      <c r="A82" s="35" t="s">
        <v>231</v>
      </c>
      <c r="F82" s="205">
        <f t="shared" ref="F82:K82" si="53">F81-F84</f>
        <v>139025</v>
      </c>
      <c r="G82" s="205">
        <f t="shared" si="53"/>
        <v>139342</v>
      </c>
      <c r="H82" s="205">
        <f t="shared" si="53"/>
        <v>140228</v>
      </c>
      <c r="I82" s="205">
        <f t="shared" si="53"/>
        <v>141105</v>
      </c>
      <c r="J82" s="205">
        <f t="shared" si="53"/>
        <v>141335</v>
      </c>
      <c r="K82" s="205">
        <f t="shared" si="53"/>
        <v>142991</v>
      </c>
      <c r="L82" s="205">
        <f>L81-L84</f>
        <v>143335</v>
      </c>
      <c r="M82" s="199">
        <f>M81-M84</f>
        <v>144732</v>
      </c>
      <c r="N82" s="133">
        <f>M82*(1+N93-0.015)</f>
        <v>142922.84999999998</v>
      </c>
      <c r="O82" s="133">
        <f t="shared" ref="O82:V82" si="54">N82*(1+O93)</f>
        <v>143280.15712499997</v>
      </c>
      <c r="P82" s="133">
        <f t="shared" si="54"/>
        <v>143638.35751781246</v>
      </c>
      <c r="Q82" s="133">
        <f t="shared" si="54"/>
        <v>144356.54930540151</v>
      </c>
      <c r="R82" s="133">
        <f t="shared" si="54"/>
        <v>145439.22342519203</v>
      </c>
      <c r="S82" s="133">
        <f t="shared" si="54"/>
        <v>146893.61565944395</v>
      </c>
      <c r="T82" s="133">
        <f t="shared" si="54"/>
        <v>148440.9586839191</v>
      </c>
      <c r="U82" s="133">
        <f t="shared" si="54"/>
        <v>149835.40220004701</v>
      </c>
      <c r="V82" s="133">
        <f t="shared" si="54"/>
        <v>151064.71424715937</v>
      </c>
      <c r="AL82" s="243"/>
    </row>
    <row r="83" spans="1:38" s="35" customFormat="1" x14ac:dyDescent="0.35">
      <c r="F83" s="205"/>
      <c r="G83" s="199"/>
      <c r="H83" s="199"/>
      <c r="I83" s="199"/>
      <c r="J83" s="199"/>
      <c r="K83" s="199"/>
      <c r="L83" s="199"/>
      <c r="M83" s="199"/>
      <c r="AL83" s="243"/>
    </row>
    <row r="84" spans="1:38" s="35" customFormat="1" x14ac:dyDescent="0.35">
      <c r="A84" s="35" t="s">
        <v>228</v>
      </c>
      <c r="B84" s="35" t="s">
        <v>283</v>
      </c>
      <c r="C84" t="s">
        <v>321</v>
      </c>
      <c r="D84"/>
      <c r="F84" s="199">
        <v>589819</v>
      </c>
      <c r="G84" s="199">
        <v>599372</v>
      </c>
      <c r="H84" s="199">
        <v>614976</v>
      </c>
      <c r="I84" s="199">
        <v>622265</v>
      </c>
      <c r="J84" s="199">
        <v>619632</v>
      </c>
      <c r="K84" s="199">
        <v>624096</v>
      </c>
      <c r="L84" s="199">
        <v>668823</v>
      </c>
      <c r="M84" s="199">
        <f>VLOOKUP(C84,'Haver NA'!$A$1:$I$34,9,0)</f>
        <v>691267</v>
      </c>
      <c r="N84" s="135">
        <f>M84*(($AI$84/$AH$84)^0.18)</f>
        <v>703733.08900023182</v>
      </c>
      <c r="O84" s="135">
        <f>N84*(($AI$84/$AH$84)^0.18)</f>
        <v>716423.98748068151</v>
      </c>
      <c r="P84" s="135">
        <f>O84*(($AI$84/$AH$84)^0.1)</f>
        <v>723573.11582625867</v>
      </c>
      <c r="Q84" s="135">
        <f>P84*(1+Q85)</f>
        <v>723573.11582625867</v>
      </c>
      <c r="R84" s="135">
        <f t="shared" ref="R84:V84" si="55">Q84*(1+R85)</f>
        <v>723573.11582625867</v>
      </c>
      <c r="S84" s="135">
        <f t="shared" si="55"/>
        <v>723573.11582625867</v>
      </c>
      <c r="T84" s="135">
        <f t="shared" si="55"/>
        <v>723573.11582625867</v>
      </c>
      <c r="U84" s="135">
        <f t="shared" si="55"/>
        <v>723573.11582625867</v>
      </c>
      <c r="V84" s="135">
        <f t="shared" si="55"/>
        <v>723573.11582625867</v>
      </c>
      <c r="AC84" s="45">
        <f>AVERAGE(J84:M84)/1000</f>
        <v>650.95450000000005</v>
      </c>
      <c r="AD84" s="45">
        <f>AVERAGE(N84:Q84)/1000</f>
        <v>716.82582703335765</v>
      </c>
      <c r="AE84" s="45">
        <f>AVERAGE(R84:U84)/1000</f>
        <v>723.57311582625869</v>
      </c>
      <c r="AG84" s="84"/>
      <c r="AH84" s="84">
        <f>'figuring out Medicaid'!G13</f>
        <v>657.17435271149407</v>
      </c>
      <c r="AI84" s="84">
        <f>'figuring out Medicaid'!H13</f>
        <v>725.7777402928042</v>
      </c>
      <c r="AJ84" s="84">
        <f>'figuring out Medicaid'!I13</f>
        <v>727.33117238501666</v>
      </c>
      <c r="AK84" s="84"/>
      <c r="AL84" s="243"/>
    </row>
    <row r="85" spans="1:38" s="187" customFormat="1" x14ac:dyDescent="0.35">
      <c r="A85" s="170" t="s">
        <v>271</v>
      </c>
      <c r="F85" s="209"/>
      <c r="G85" s="209"/>
      <c r="H85" s="209"/>
      <c r="I85" s="209"/>
      <c r="J85" s="202"/>
      <c r="K85" s="202"/>
      <c r="L85" s="202"/>
      <c r="M85" s="199"/>
      <c r="N85" s="176"/>
      <c r="O85" s="176"/>
      <c r="P85" s="176"/>
      <c r="Q85" s="176">
        <v>0</v>
      </c>
      <c r="R85" s="176">
        <v>0</v>
      </c>
      <c r="S85" s="176">
        <v>0</v>
      </c>
      <c r="T85" s="176">
        <v>0</v>
      </c>
      <c r="U85" s="176">
        <v>0</v>
      </c>
      <c r="V85" s="176">
        <v>0</v>
      </c>
      <c r="W85" s="176"/>
      <c r="AL85" s="244"/>
    </row>
    <row r="86" spans="1:38" s="153" customFormat="1" x14ac:dyDescent="0.35">
      <c r="A86" s="153" t="s">
        <v>223</v>
      </c>
      <c r="F86" s="210">
        <f>F77/F84</f>
        <v>0.66058231423538405</v>
      </c>
      <c r="G86" s="210">
        <f t="shared" ref="G86:I86" si="56">G77/G84</f>
        <v>0.6749214177505789</v>
      </c>
      <c r="H86" s="210">
        <f t="shared" si="56"/>
        <v>0.68242012696430432</v>
      </c>
      <c r="I86" s="210">
        <f t="shared" si="56"/>
        <v>0.6730637268687778</v>
      </c>
      <c r="J86" s="210">
        <f t="shared" ref="J86" si="57">J77/J84</f>
        <v>0.66395699382859508</v>
      </c>
      <c r="K86" s="210">
        <f t="shared" ref="K86" si="58">K77/K84</f>
        <v>0.67846773573296415</v>
      </c>
      <c r="L86" s="211"/>
      <c r="M86" s="199"/>
      <c r="AC86" s="154"/>
      <c r="AD86" s="154"/>
      <c r="AE86" s="154"/>
      <c r="AG86" s="155"/>
      <c r="AH86" s="155"/>
      <c r="AI86" s="155"/>
      <c r="AL86" s="248"/>
    </row>
    <row r="87" spans="1:38" s="35" customFormat="1" x14ac:dyDescent="0.35">
      <c r="A87" s="35" t="s">
        <v>18</v>
      </c>
      <c r="B87" s="35" t="s">
        <v>283</v>
      </c>
      <c r="C87" t="s">
        <v>322</v>
      </c>
      <c r="D87"/>
      <c r="F87" s="199">
        <v>1997.1</v>
      </c>
      <c r="G87" s="199">
        <v>2012.7</v>
      </c>
      <c r="H87" s="199">
        <v>2025.5</v>
      </c>
      <c r="I87" s="199">
        <v>2028.3</v>
      </c>
      <c r="J87" s="199">
        <v>2035.6</v>
      </c>
      <c r="K87" s="199">
        <v>2041</v>
      </c>
      <c r="L87" s="199">
        <v>2013.1</v>
      </c>
      <c r="M87" s="199">
        <f>VLOOKUP(C87,'Haver NA'!$A$1:$I$34,9,0)/1000</f>
        <v>1992.6769999999999</v>
      </c>
      <c r="N87" s="35">
        <f>M87*(1+N89)</f>
        <v>2031.6535672371635</v>
      </c>
      <c r="O87" s="35">
        <f t="shared" ref="O87:V87" si="59">N87*(1+O89)</f>
        <v>2057.2848967789942</v>
      </c>
      <c r="P87" s="35">
        <f t="shared" si="59"/>
        <v>2079.7387887743166</v>
      </c>
      <c r="Q87" s="35">
        <f t="shared" si="59"/>
        <v>2094.5668306580201</v>
      </c>
      <c r="R87" s="35">
        <f t="shared" si="59"/>
        <v>2104.8405453917289</v>
      </c>
      <c r="S87" s="35">
        <f t="shared" si="59"/>
        <v>2115.0083455405543</v>
      </c>
      <c r="T87" s="35">
        <f t="shared" si="59"/>
        <v>2122.4223664824062</v>
      </c>
      <c r="U87" s="35">
        <f t="shared" si="59"/>
        <v>2126.9766936324008</v>
      </c>
      <c r="V87" s="35">
        <f t="shared" si="59"/>
        <v>2128.6713269905381</v>
      </c>
      <c r="AL87" s="243"/>
    </row>
    <row r="88" spans="1:38" s="187" customFormat="1" x14ac:dyDescent="0.35">
      <c r="A88" s="170" t="s">
        <v>287</v>
      </c>
      <c r="B88" s="35"/>
      <c r="C88" s="35"/>
      <c r="D88" s="35"/>
      <c r="F88" s="202"/>
      <c r="G88" s="202">
        <f t="shared" ref="G88:L88" si="60">(G87/F87)-1</f>
        <v>7.8113264233139468E-3</v>
      </c>
      <c r="H88" s="202">
        <f t="shared" si="60"/>
        <v>6.3596164356336526E-3</v>
      </c>
      <c r="I88" s="202">
        <f t="shared" si="60"/>
        <v>1.3823747222907468E-3</v>
      </c>
      <c r="J88" s="202">
        <f t="shared" si="60"/>
        <v>3.5990731154167399E-3</v>
      </c>
      <c r="K88" s="202">
        <f t="shared" si="60"/>
        <v>2.6527805069758159E-3</v>
      </c>
      <c r="L88" s="202">
        <f t="shared" si="60"/>
        <v>-1.36697697207252E-2</v>
      </c>
      <c r="M88" s="199">
        <f>(M87/L87)-1</f>
        <v>-1.0145049923004357E-2</v>
      </c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262"/>
      <c r="AL88" s="244"/>
    </row>
    <row r="89" spans="1:38" s="187" customFormat="1" x14ac:dyDescent="0.35">
      <c r="A89" s="170" t="s">
        <v>288</v>
      </c>
      <c r="B89" s="35" t="s">
        <v>283</v>
      </c>
      <c r="C89" s="35"/>
      <c r="D89" s="35"/>
      <c r="F89" s="209"/>
      <c r="G89" s="209"/>
      <c r="H89" s="209"/>
      <c r="I89" s="209"/>
      <c r="J89" s="202"/>
      <c r="K89" s="202"/>
      <c r="L89" s="202"/>
      <c r="M89" s="199"/>
      <c r="N89" s="198">
        <v>1.95599022004889E-2</v>
      </c>
      <c r="O89" s="198">
        <v>1.26159941611927E-2</v>
      </c>
      <c r="P89" s="198">
        <v>1.0914332784184499E-2</v>
      </c>
      <c r="Q89" s="198">
        <v>7.1297616622529904E-3</v>
      </c>
      <c r="R89" s="198">
        <v>4.9049352750809598E-3</v>
      </c>
      <c r="S89" s="198">
        <v>4.8306747848840797E-3</v>
      </c>
      <c r="T89" s="198">
        <v>3.5054334218038701E-3</v>
      </c>
      <c r="U89" s="198">
        <v>2.14581565946403E-3</v>
      </c>
      <c r="V89" s="198">
        <v>7.9673339308827796E-4</v>
      </c>
      <c r="W89" s="198">
        <v>3.9804955716982198E-4</v>
      </c>
      <c r="X89" s="198">
        <v>1.1439371331942701E-3</v>
      </c>
      <c r="Y89" s="198">
        <v>8.9423220229512001E-4</v>
      </c>
      <c r="AL89" s="244"/>
    </row>
    <row r="90" spans="1:38" s="35" customFormat="1" x14ac:dyDescent="0.35">
      <c r="A90" s="35" t="s">
        <v>217</v>
      </c>
      <c r="B90" s="35" t="s">
        <v>283</v>
      </c>
      <c r="C90" t="s">
        <v>323</v>
      </c>
      <c r="D90"/>
      <c r="F90" s="199"/>
      <c r="G90" s="199"/>
      <c r="H90" s="199"/>
      <c r="I90" s="199"/>
      <c r="J90" s="199">
        <v>2357.4</v>
      </c>
      <c r="K90" s="199">
        <v>2381.6</v>
      </c>
      <c r="L90" s="199">
        <v>2334.5</v>
      </c>
      <c r="M90" s="199">
        <f>VLOOKUP(C90,'Haver NA'!$A$1:$I$34,9,0)/1000</f>
        <v>2329.6770000000001</v>
      </c>
      <c r="N90">
        <v>2431.4160000000002</v>
      </c>
      <c r="O90">
        <v>2469.9411956560398</v>
      </c>
      <c r="P90">
        <v>2511.3882460388099</v>
      </c>
      <c r="Q90">
        <v>2543.4204311910298</v>
      </c>
      <c r="R90">
        <v>2569.93355741499</v>
      </c>
      <c r="S90">
        <v>2599.1521046822099</v>
      </c>
      <c r="T90">
        <v>2626.53096564002</v>
      </c>
      <c r="U90">
        <v>2651.2044055545698</v>
      </c>
      <c r="V90">
        <v>2672.95599074239</v>
      </c>
      <c r="W90">
        <v>2693.9500580381</v>
      </c>
      <c r="X90">
        <v>2717.3248958518798</v>
      </c>
      <c r="Y90">
        <v>2740.4832999822002</v>
      </c>
      <c r="AL90" s="243"/>
    </row>
    <row r="91" spans="1:38" s="35" customFormat="1" x14ac:dyDescent="0.35">
      <c r="F91" s="199"/>
      <c r="G91" s="199"/>
      <c r="H91" s="199"/>
      <c r="I91" s="199"/>
      <c r="J91" s="199"/>
      <c r="K91" s="199"/>
      <c r="L91" s="199"/>
      <c r="M91" s="199"/>
      <c r="N91">
        <f>M90*(1+N93)</f>
        <v>2335.5011924999999</v>
      </c>
      <c r="O91">
        <f>N91*(1+O93)</f>
        <v>2341.3399454812497</v>
      </c>
      <c r="P91">
        <f t="shared" ref="P91:V91" si="61">O91*(1+P93)</f>
        <v>2347.1932953449527</v>
      </c>
      <c r="Q91">
        <f t="shared" si="61"/>
        <v>2358.9292618216773</v>
      </c>
      <c r="R91">
        <f t="shared" si="61"/>
        <v>2376.6212312853399</v>
      </c>
      <c r="S91">
        <f t="shared" si="61"/>
        <v>2400.3874435981934</v>
      </c>
      <c r="T91">
        <f t="shared" si="61"/>
        <v>2425.6725640591153</v>
      </c>
      <c r="U91">
        <f t="shared" si="61"/>
        <v>2448.4591548302242</v>
      </c>
      <c r="V91">
        <f t="shared" si="61"/>
        <v>2468.5473335363272</v>
      </c>
      <c r="W91"/>
      <c r="X91"/>
      <c r="Y91"/>
      <c r="AL91" s="243"/>
    </row>
    <row r="92" spans="1:38" s="187" customFormat="1" x14ac:dyDescent="0.35">
      <c r="A92" s="170" t="s">
        <v>287</v>
      </c>
      <c r="B92" s="35"/>
      <c r="C92" s="35"/>
      <c r="D92" s="35"/>
      <c r="F92" s="202"/>
      <c r="G92" s="202"/>
      <c r="H92" s="202"/>
      <c r="I92" s="202"/>
      <c r="J92" s="202"/>
      <c r="K92" s="202">
        <f t="shared" ref="K92" si="62">(K90/J90)-1</f>
        <v>1.0265546788835067E-2</v>
      </c>
      <c r="L92" s="202">
        <f t="shared" ref="L92" si="63">(L90/K90)-1</f>
        <v>-1.9776620759153429E-2</v>
      </c>
      <c r="M92" s="202">
        <f>(((M90/L90))^4)-1</f>
        <v>-8.2382940014741335E-3</v>
      </c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262"/>
      <c r="AL92" s="244"/>
    </row>
    <row r="93" spans="1:38" s="187" customFormat="1" x14ac:dyDescent="0.35">
      <c r="A93" s="170" t="s">
        <v>288</v>
      </c>
      <c r="F93" s="209"/>
      <c r="G93" s="209"/>
      <c r="H93" s="209"/>
      <c r="I93" s="209"/>
      <c r="J93" s="209"/>
      <c r="K93" s="202"/>
      <c r="L93" s="202"/>
      <c r="M93" s="199"/>
      <c r="N93" s="176">
        <v>2.5000000000000001E-3</v>
      </c>
      <c r="O93" s="176">
        <v>2.5000000000000001E-3</v>
      </c>
      <c r="P93" s="176">
        <v>2.5000000000000001E-3</v>
      </c>
      <c r="Q93" s="176">
        <v>5.0000000000000001E-3</v>
      </c>
      <c r="R93" s="176">
        <v>7.4999999999999997E-3</v>
      </c>
      <c r="S93" s="176">
        <v>0.01</v>
      </c>
      <c r="T93" s="176">
        <f>T90/S90-1</f>
        <v>1.053376634191161E-2</v>
      </c>
      <c r="U93" s="176">
        <f>U90/T90-1</f>
        <v>9.3939269086582566E-3</v>
      </c>
      <c r="V93" s="176">
        <f>V90/U90-1</f>
        <v>8.2044165067951536E-3</v>
      </c>
      <c r="AL93" s="244"/>
    </row>
    <row r="94" spans="1:38" s="187" customFormat="1" x14ac:dyDescent="0.35">
      <c r="A94" s="265" t="s">
        <v>263</v>
      </c>
      <c r="F94" s="209"/>
      <c r="G94" s="209"/>
      <c r="H94" s="209"/>
      <c r="I94" s="209"/>
      <c r="J94" s="209"/>
      <c r="K94" s="202"/>
      <c r="L94" s="202"/>
      <c r="M94" s="199"/>
      <c r="N94" s="176"/>
      <c r="O94" s="176"/>
      <c r="P94" s="176"/>
      <c r="Q94" s="176"/>
      <c r="R94" s="176"/>
      <c r="S94" s="176"/>
      <c r="T94" s="176"/>
      <c r="U94" s="176"/>
      <c r="V94" s="176"/>
      <c r="AL94" s="244"/>
    </row>
    <row r="95" spans="1:38" s="35" customFormat="1" x14ac:dyDescent="0.35">
      <c r="A95" s="35" t="s">
        <v>164</v>
      </c>
      <c r="F95" s="203">
        <f>F81+F40-F77</f>
        <v>339220</v>
      </c>
      <c r="G95" s="203">
        <f>G81+G40-G77</f>
        <v>334185</v>
      </c>
      <c r="H95" s="203">
        <f>H81+H40-H77</f>
        <v>335532</v>
      </c>
      <c r="I95" s="203">
        <f>I81+I40-I77</f>
        <v>344546</v>
      </c>
      <c r="J95" s="203">
        <f>J81+J40-J77</f>
        <v>349558</v>
      </c>
      <c r="K95" s="203">
        <f>K81+K40-K77</f>
        <v>343658</v>
      </c>
      <c r="L95" s="203">
        <f>L81+L40-L77</f>
        <v>577118</v>
      </c>
      <c r="M95" s="199">
        <f>M81+M40-M77</f>
        <v>489927</v>
      </c>
      <c r="N95" s="223">
        <f>N81+N40-N77</f>
        <v>405893.45314006024</v>
      </c>
      <c r="O95" s="223">
        <f>O81+O40-O77</f>
        <v>389550.39386997721</v>
      </c>
      <c r="P95" s="223">
        <f>P81+P40-P77</f>
        <v>375767.36763263971</v>
      </c>
      <c r="Q95" s="223">
        <f>Q81+Q40-Q77</f>
        <v>376485.55942022882</v>
      </c>
      <c r="R95" s="223">
        <f>R81+R40-R77</f>
        <v>377568.23354001937</v>
      </c>
      <c r="S95" s="223">
        <f>S81+S40-S77</f>
        <v>379022.6257742712</v>
      </c>
      <c r="T95" s="223">
        <f>T81+T40-T77</f>
        <v>423984.35574832192</v>
      </c>
      <c r="U95" s="223">
        <f>U81+U40-U77</f>
        <v>425378.7992644498</v>
      </c>
      <c r="V95" s="223">
        <f>V81+V40-V77</f>
        <v>426608.11131156218</v>
      </c>
      <c r="W95" s="223">
        <f>W81+W40-W77</f>
        <v>0</v>
      </c>
      <c r="X95" s="223">
        <f>X81+X40-X77</f>
        <v>0</v>
      </c>
      <c r="Y95" s="223">
        <f>Y81+Y40-Y77</f>
        <v>0</v>
      </c>
      <c r="AL95" s="243"/>
    </row>
    <row r="96" spans="1:38" s="35" customFormat="1" x14ac:dyDescent="0.35">
      <c r="A96" s="141" t="s">
        <v>214</v>
      </c>
      <c r="B96" s="141"/>
      <c r="E96" s="141"/>
      <c r="F96" s="203"/>
      <c r="G96" s="203"/>
      <c r="H96" s="203"/>
      <c r="I96" s="203"/>
      <c r="J96" s="203"/>
      <c r="K96" s="203"/>
      <c r="L96" s="203">
        <f>L84-L77</f>
        <v>156183</v>
      </c>
      <c r="M96" s="199">
        <f t="shared" ref="M96:U96" si="64">M84-M77</f>
        <v>205195</v>
      </c>
      <c r="N96" s="142">
        <f t="shared" si="64"/>
        <v>182970.60314006027</v>
      </c>
      <c r="O96" s="142">
        <f t="shared" si="64"/>
        <v>186270.23674497718</v>
      </c>
      <c r="P96" s="142">
        <f t="shared" si="64"/>
        <v>188129.01011482731</v>
      </c>
      <c r="Q96" s="142">
        <f t="shared" si="64"/>
        <v>188129.01011482731</v>
      </c>
      <c r="R96" s="142">
        <f t="shared" si="64"/>
        <v>188129.01011482731</v>
      </c>
      <c r="S96" s="142">
        <f t="shared" si="64"/>
        <v>188129.01011482731</v>
      </c>
      <c r="T96" s="142">
        <f t="shared" si="64"/>
        <v>231543.39706440276</v>
      </c>
      <c r="U96" s="142">
        <f t="shared" si="64"/>
        <v>231543.39706440276</v>
      </c>
      <c r="V96" s="142">
        <f t="shared" ref="V96:Y96" si="65">V84-V77</f>
        <v>231543.39706440276</v>
      </c>
      <c r="W96" s="142">
        <f t="shared" si="65"/>
        <v>0</v>
      </c>
      <c r="X96" s="142">
        <f t="shared" si="65"/>
        <v>0</v>
      </c>
      <c r="Y96" s="142">
        <f t="shared" si="65"/>
        <v>0</v>
      </c>
      <c r="AL96" s="243"/>
    </row>
    <row r="97" spans="1:38" s="141" customFormat="1" x14ac:dyDescent="0.35">
      <c r="A97" s="141" t="s">
        <v>232</v>
      </c>
      <c r="C97" s="35"/>
      <c r="D97" s="35"/>
      <c r="F97" s="203">
        <f>F95-(F84-F77)</f>
        <v>139025</v>
      </c>
      <c r="G97" s="203">
        <f t="shared" ref="G97:V97" si="66">G95-(G84-G77)</f>
        <v>139342</v>
      </c>
      <c r="H97" s="203">
        <f t="shared" si="66"/>
        <v>140228</v>
      </c>
      <c r="I97" s="203">
        <f t="shared" si="66"/>
        <v>141105</v>
      </c>
      <c r="J97" s="203">
        <f t="shared" si="66"/>
        <v>141335</v>
      </c>
      <c r="K97" s="203">
        <f t="shared" si="66"/>
        <v>142991</v>
      </c>
      <c r="L97" s="203">
        <f t="shared" si="66"/>
        <v>420935</v>
      </c>
      <c r="M97" s="199">
        <f>M95-(M84-M77)</f>
        <v>284732</v>
      </c>
      <c r="N97" s="143">
        <f t="shared" si="66"/>
        <v>222922.84999999998</v>
      </c>
      <c r="O97" s="143">
        <f t="shared" si="66"/>
        <v>203280.15712500003</v>
      </c>
      <c r="P97" s="143">
        <f t="shared" si="66"/>
        <v>187638.3575178124</v>
      </c>
      <c r="Q97" s="143">
        <f t="shared" si="66"/>
        <v>188356.54930540151</v>
      </c>
      <c r="R97" s="143">
        <f t="shared" si="66"/>
        <v>189439.22342519206</v>
      </c>
      <c r="S97" s="143">
        <f t="shared" si="66"/>
        <v>190893.61565944389</v>
      </c>
      <c r="T97" s="143">
        <f t="shared" si="66"/>
        <v>192440.95868391916</v>
      </c>
      <c r="U97" s="143">
        <f t="shared" si="66"/>
        <v>193835.40220004704</v>
      </c>
      <c r="V97" s="143">
        <f t="shared" si="66"/>
        <v>195064.71424715943</v>
      </c>
      <c r="W97" s="143">
        <f t="shared" ref="W97:Y97" si="67">W95-(W84-W77)</f>
        <v>0</v>
      </c>
      <c r="X97" s="143">
        <f t="shared" si="67"/>
        <v>0</v>
      </c>
      <c r="Y97" s="143">
        <f t="shared" si="67"/>
        <v>0</v>
      </c>
      <c r="AL97" s="267"/>
    </row>
    <row r="98" spans="1:38" s="35" customFormat="1" x14ac:dyDescent="0.35">
      <c r="A98"/>
      <c r="F98" s="220"/>
      <c r="G98" s="220"/>
      <c r="H98" s="220"/>
      <c r="I98" s="220"/>
      <c r="J98" s="220"/>
      <c r="K98" s="220"/>
      <c r="L98" s="220"/>
      <c r="M98" s="135"/>
      <c r="N98" s="94"/>
      <c r="O98" s="94"/>
      <c r="P98" s="94"/>
      <c r="Q98" s="94"/>
      <c r="R98" s="94"/>
      <c r="S98" s="94"/>
      <c r="T98" s="94"/>
      <c r="U98" s="94"/>
      <c r="V98"/>
      <c r="AL98" s="243"/>
    </row>
    <row r="99" spans="1:38" s="187" customFormat="1" x14ac:dyDescent="0.35">
      <c r="A99" s="170"/>
      <c r="F99" s="195"/>
      <c r="G99" s="195"/>
      <c r="H99" s="195"/>
      <c r="I99" s="195"/>
      <c r="J99" s="195"/>
      <c r="K99" s="195"/>
      <c r="L99" s="195"/>
      <c r="M99" s="221"/>
      <c r="N99" s="195"/>
      <c r="O99" s="195"/>
      <c r="P99" s="195"/>
      <c r="Q99" s="195"/>
      <c r="R99" s="195"/>
      <c r="S99" s="195"/>
      <c r="T99" s="195"/>
      <c r="U99" s="195"/>
      <c r="AL99" s="244"/>
    </row>
    <row r="100" spans="1:38" x14ac:dyDescent="0.35">
      <c r="A100" t="s">
        <v>158</v>
      </c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</row>
    <row r="101" spans="1:38" x14ac:dyDescent="0.35"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</row>
    <row r="102" spans="1:38" x14ac:dyDescent="0.35"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</row>
    <row r="103" spans="1:38" x14ac:dyDescent="0.35"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</row>
    <row r="104" spans="1:38" x14ac:dyDescent="0.35"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</row>
    <row r="105" spans="1:38" x14ac:dyDescent="0.35"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</row>
  </sheetData>
  <mergeCells count="12">
    <mergeCell ref="A4:B4"/>
    <mergeCell ref="F2:I2"/>
    <mergeCell ref="A1:B1"/>
    <mergeCell ref="AL1:AO1"/>
    <mergeCell ref="AC2:AE2"/>
    <mergeCell ref="J2:M2"/>
    <mergeCell ref="N2:Q2"/>
    <mergeCell ref="R2:U2"/>
    <mergeCell ref="AC1:AE1"/>
    <mergeCell ref="AH2:AJ2"/>
    <mergeCell ref="AH1:AK1"/>
    <mergeCell ref="V2:Y2"/>
  </mergeCells>
  <pageMargins left="0.7" right="0.7" top="0.75" bottom="0.75" header="0.3" footer="0.3"/>
  <pageSetup orientation="portrait" r:id="rId1"/>
  <ignoredErrors>
    <ignoredError sqref="AB18 AB12:AB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43" activePane="bottomRight" state="frozen"/>
      <selection pane="topRight" activeCell="C1" sqref="C1"/>
      <selection pane="bottomLeft" activeCell="A9" sqref="A9"/>
      <selection pane="bottomRight" activeCell="L17" sqref="L17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290" t="s">
        <v>208</v>
      </c>
      <c r="B1" s="291"/>
      <c r="C1" s="35"/>
      <c r="H1"/>
      <c r="I1" s="250"/>
      <c r="J1" s="298" t="s">
        <v>282</v>
      </c>
      <c r="V1" s="285"/>
      <c r="W1" s="285"/>
      <c r="X1" s="285"/>
      <c r="Y1" s="285"/>
    </row>
    <row r="2" spans="1:27" x14ac:dyDescent="0.35">
      <c r="A2" s="292" t="s">
        <v>192</v>
      </c>
      <c r="B2" s="126"/>
      <c r="C2" t="s">
        <v>193</v>
      </c>
      <c r="I2" s="251"/>
      <c r="J2" s="298"/>
    </row>
    <row r="3" spans="1:27" x14ac:dyDescent="0.35">
      <c r="A3" s="293"/>
      <c r="B3" s="127"/>
      <c r="C3" t="s">
        <v>194</v>
      </c>
      <c r="I3" s="251"/>
      <c r="J3" s="298"/>
    </row>
    <row r="4" spans="1:27" x14ac:dyDescent="0.35">
      <c r="A4" s="293"/>
      <c r="B4" s="128"/>
      <c r="C4" t="s">
        <v>195</v>
      </c>
    </row>
    <row r="5" spans="1:27" x14ac:dyDescent="0.35">
      <c r="A5" s="294"/>
      <c r="B5" s="129"/>
      <c r="C5" t="s">
        <v>182</v>
      </c>
    </row>
    <row r="7" spans="1:27" x14ac:dyDescent="0.35">
      <c r="C7" s="295" t="s">
        <v>160</v>
      </c>
      <c r="D7" s="296"/>
      <c r="E7" s="296"/>
      <c r="F7" s="297"/>
      <c r="G7" s="295" t="s">
        <v>166</v>
      </c>
      <c r="H7" s="296"/>
      <c r="I7" s="296"/>
      <c r="J7" s="297"/>
      <c r="K7" s="295" t="s">
        <v>177</v>
      </c>
      <c r="L7" s="296"/>
      <c r="M7" s="296"/>
      <c r="N7" s="296"/>
      <c r="O7" s="295" t="s">
        <v>272</v>
      </c>
      <c r="P7" s="296"/>
      <c r="Q7" s="296"/>
      <c r="R7" s="296"/>
      <c r="S7" s="295" t="s">
        <v>276</v>
      </c>
      <c r="T7" s="296"/>
      <c r="U7" s="296"/>
      <c r="V7" s="296"/>
      <c r="W7" s="295" t="s">
        <v>277</v>
      </c>
      <c r="X7" s="296"/>
      <c r="Y7" s="296"/>
      <c r="Z7" s="296"/>
      <c r="AA7" s="231" t="s">
        <v>278</v>
      </c>
    </row>
    <row r="8" spans="1:27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>
        <v>200.67100000000011</v>
      </c>
      <c r="E10">
        <v>156.16</v>
      </c>
      <c r="F10">
        <v>205.22800000000001</v>
      </c>
      <c r="G10">
        <v>213.05988737442189</v>
      </c>
      <c r="H10">
        <v>220.89177474884389</v>
      </c>
      <c r="I10">
        <v>228.723662123266</v>
      </c>
      <c r="J10">
        <v>236.55554949768791</v>
      </c>
      <c r="K10">
        <v>234.20095430933171</v>
      </c>
      <c r="L10">
        <v>231.84635912097539</v>
      </c>
      <c r="M10">
        <v>229.49176393261911</v>
      </c>
      <c r="N10">
        <v>227.13716874426279</v>
      </c>
      <c r="O10">
        <v>224.80568263613071</v>
      </c>
      <c r="P10">
        <v>222.4741965279984</v>
      </c>
      <c r="Q10">
        <v>220.14271041986621</v>
      </c>
      <c r="R10">
        <v>217.81122431173389</v>
      </c>
      <c r="S10">
        <v>220.26562871801039</v>
      </c>
      <c r="T10">
        <v>222.7200331242868</v>
      </c>
      <c r="U10">
        <v>225.17443753056341</v>
      </c>
      <c r="V10">
        <v>227.62884193683999</v>
      </c>
      <c r="W10">
        <v>230.7380036161324</v>
      </c>
      <c r="X10">
        <v>233.8471652954247</v>
      </c>
      <c r="Y10">
        <v>236.9563269747172</v>
      </c>
      <c r="Z10">
        <v>240.0654886540095</v>
      </c>
      <c r="AA10">
        <v>243.3008699286211</v>
      </c>
    </row>
    <row r="11" spans="1:27" x14ac:dyDescent="0.35">
      <c r="B11" s="86" t="s">
        <v>172</v>
      </c>
      <c r="D11">
        <v>186.02099999999999</v>
      </c>
      <c r="E11">
        <v>436.94400000000019</v>
      </c>
      <c r="F11">
        <v>875.8370000000001</v>
      </c>
      <c r="G11">
        <v>853.37353126596815</v>
      </c>
      <c r="H11">
        <v>830.91985713818588</v>
      </c>
      <c r="I11">
        <v>808.47600210316944</v>
      </c>
      <c r="J11">
        <v>789.98929054816381</v>
      </c>
      <c r="K11">
        <v>809.82173278252503</v>
      </c>
      <c r="L11">
        <v>833.74022244575849</v>
      </c>
      <c r="M11">
        <v>858.68045768077434</v>
      </c>
      <c r="N11">
        <v>881.93997137262988</v>
      </c>
      <c r="O11">
        <v>903.30646404548429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x14ac:dyDescent="0.35">
      <c r="B12" s="86" t="s">
        <v>173</v>
      </c>
      <c r="D12">
        <v>1862.4</v>
      </c>
      <c r="E12">
        <v>1779.8</v>
      </c>
      <c r="F12">
        <v>1836.9</v>
      </c>
      <c r="G12">
        <v>1874.0452162092181</v>
      </c>
      <c r="H12">
        <v>1905.1260939927499</v>
      </c>
      <c r="I12">
        <v>1935.420345675816</v>
      </c>
      <c r="J12">
        <v>1967.800071206628</v>
      </c>
      <c r="K12">
        <v>1989.487169860176</v>
      </c>
      <c r="L12">
        <v>2009.335758674262</v>
      </c>
      <c r="M12">
        <v>2028.983117555671</v>
      </c>
      <c r="N12">
        <v>2049.5268643190061</v>
      </c>
      <c r="O12">
        <v>2070.3724559813568</v>
      </c>
      <c r="P12">
        <v>2091.3278094251682</v>
      </c>
      <c r="Q12">
        <v>2111.4142154324181</v>
      </c>
      <c r="R12">
        <v>2132.9366714137759</v>
      </c>
      <c r="S12">
        <v>2155.68480062144</v>
      </c>
      <c r="T12">
        <v>2179.5945753495598</v>
      </c>
      <c r="U12">
        <v>2203.083596582082</v>
      </c>
      <c r="V12">
        <v>2226.3713878819258</v>
      </c>
      <c r="W12">
        <v>2250.0890794924908</v>
      </c>
      <c r="X12">
        <v>2274.950122993268</v>
      </c>
      <c r="Y12">
        <v>2300.103864577939</v>
      </c>
      <c r="Z12">
        <v>2325.5045701708959</v>
      </c>
      <c r="AA12">
        <v>2351.124799326773</v>
      </c>
    </row>
    <row r="13" spans="1:27" x14ac:dyDescent="0.35">
      <c r="B13" s="86" t="s">
        <v>174</v>
      </c>
      <c r="D13">
        <v>62.7</v>
      </c>
      <c r="E13">
        <v>54.2</v>
      </c>
      <c r="F13">
        <v>79.099999999999994</v>
      </c>
      <c r="G13">
        <v>80.69953541409393</v>
      </c>
      <c r="H13">
        <v>82.037930227462851</v>
      </c>
      <c r="I13">
        <v>83.342451599410424</v>
      </c>
      <c r="J13">
        <v>84.736776978847132</v>
      </c>
      <c r="K13">
        <v>85.670659881289055</v>
      </c>
      <c r="L13">
        <v>86.525373461339257</v>
      </c>
      <c r="M13">
        <v>87.371421742421205</v>
      </c>
      <c r="N13">
        <v>88.256069991634433</v>
      </c>
      <c r="O13">
        <v>89.15371618930007</v>
      </c>
      <c r="P13">
        <v>90.056088913675637</v>
      </c>
      <c r="Q13">
        <v>90.921043301597379</v>
      </c>
      <c r="R13">
        <v>91.847836413974392</v>
      </c>
      <c r="S13">
        <v>92.827409074612547</v>
      </c>
      <c r="T13">
        <v>93.857004142931061</v>
      </c>
      <c r="U13">
        <v>94.868480858861446</v>
      </c>
      <c r="V13">
        <v>95.871292275823549</v>
      </c>
      <c r="W13">
        <v>96.892615922399656</v>
      </c>
      <c r="X13">
        <v>97.963174222204472</v>
      </c>
      <c r="Y13">
        <v>99.046336593235807</v>
      </c>
      <c r="Z13">
        <v>100.1401336493646</v>
      </c>
      <c r="AA13">
        <v>101.2433837589132</v>
      </c>
    </row>
    <row r="14" spans="1:27" x14ac:dyDescent="0.35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x14ac:dyDescent="0.35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1626.2298482587289</v>
      </c>
      <c r="Y15">
        <v>1663.2977921201521</v>
      </c>
      <c r="Z15">
        <v>1700.365735981575</v>
      </c>
      <c r="AA15">
        <v>1728.0518698642729</v>
      </c>
    </row>
    <row r="16" spans="1:27" x14ac:dyDescent="0.35">
      <c r="B16" s="86" t="s">
        <v>167</v>
      </c>
      <c r="D16">
        <v>1574.779</v>
      </c>
      <c r="E16">
        <v>3697.6560000000009</v>
      </c>
      <c r="F16">
        <v>1914.2629999999999</v>
      </c>
      <c r="G16">
        <v>1652.519124685555</v>
      </c>
      <c r="H16">
        <v>1447.016042358189</v>
      </c>
      <c r="I16">
        <v>1282.003150290248</v>
      </c>
      <c r="J16">
        <v>1167.646687976573</v>
      </c>
      <c r="K16">
        <v>1195.5066238196489</v>
      </c>
      <c r="L16">
        <v>1200.816625555186</v>
      </c>
      <c r="M16">
        <v>1191.784739361826</v>
      </c>
      <c r="N16">
        <v>1162.893938837019</v>
      </c>
      <c r="O16">
        <v>1162.3330694430681</v>
      </c>
      <c r="P16">
        <v>1162.3330694430681</v>
      </c>
      <c r="Q16">
        <v>1162.3330694430681</v>
      </c>
      <c r="R16">
        <v>1162.3330694430681</v>
      </c>
      <c r="S16">
        <v>1162.3330694430681</v>
      </c>
      <c r="T16">
        <v>1162.3330694430681</v>
      </c>
      <c r="U16">
        <v>1162.3330694430681</v>
      </c>
      <c r="V16">
        <v>1162.3330694430681</v>
      </c>
      <c r="W16">
        <v>1162.3330694430681</v>
      </c>
      <c r="X16">
        <v>1162.3330694430681</v>
      </c>
      <c r="Y16">
        <v>1162.3330694430681</v>
      </c>
      <c r="Z16">
        <v>1162.3330694430681</v>
      </c>
      <c r="AA16">
        <v>1162.3330694430681</v>
      </c>
    </row>
    <row r="17" spans="1:28" x14ac:dyDescent="0.35">
      <c r="B17" s="86" t="s">
        <v>168</v>
      </c>
      <c r="D17">
        <v>3376.8</v>
      </c>
      <c r="E17">
        <v>3105.7</v>
      </c>
      <c r="F17">
        <v>3266.7</v>
      </c>
      <c r="G17">
        <v>3295.9886094398548</v>
      </c>
      <c r="H17">
        <v>3325.2772188797112</v>
      </c>
      <c r="I17">
        <v>3354.5658283195671</v>
      </c>
      <c r="J17">
        <v>3383.854437759423</v>
      </c>
      <c r="K17">
        <v>3432.4099094471171</v>
      </c>
      <c r="L17">
        <v>3480.965381134813</v>
      </c>
      <c r="M17">
        <v>3529.5208528225089</v>
      </c>
      <c r="N17">
        <v>3578.076324510203</v>
      </c>
      <c r="O17">
        <v>3625.0763484493041</v>
      </c>
      <c r="P17">
        <v>3672.0763723884052</v>
      </c>
      <c r="Q17">
        <v>3719.0763963275049</v>
      </c>
      <c r="R17">
        <v>3766.0764202666069</v>
      </c>
      <c r="S17">
        <v>3801.6062968575611</v>
      </c>
      <c r="T17">
        <v>3837.1361734485149</v>
      </c>
      <c r="U17">
        <v>3872.6660500394692</v>
      </c>
      <c r="V17">
        <v>3908.1959266304229</v>
      </c>
      <c r="W17">
        <v>3947.8055767507321</v>
      </c>
      <c r="X17">
        <v>3987.4152268710432</v>
      </c>
      <c r="Y17">
        <v>4027.0248769913519</v>
      </c>
      <c r="Z17">
        <v>4066.6345271116629</v>
      </c>
      <c r="AA17">
        <v>4112.6452877858992</v>
      </c>
    </row>
    <row r="18" spans="1:28" x14ac:dyDescent="0.35">
      <c r="B18" s="86" t="s">
        <v>169</v>
      </c>
      <c r="D18">
        <v>180.5</v>
      </c>
      <c r="E18">
        <v>171.5</v>
      </c>
      <c r="F18">
        <v>205.3</v>
      </c>
      <c r="G18">
        <v>215.4316552197742</v>
      </c>
      <c r="H18">
        <v>225.5633104395485</v>
      </c>
      <c r="I18">
        <v>235.69496565932261</v>
      </c>
      <c r="J18">
        <v>245.82662087909691</v>
      </c>
      <c r="K18">
        <v>288.77645688803358</v>
      </c>
      <c r="L18">
        <v>331.72629289697022</v>
      </c>
      <c r="M18">
        <v>374.67612890590692</v>
      </c>
      <c r="N18">
        <v>417.62596491484362</v>
      </c>
      <c r="O18">
        <v>442.24719184641708</v>
      </c>
      <c r="P18">
        <v>466.86841877799071</v>
      </c>
      <c r="Q18">
        <v>491.48964570956429</v>
      </c>
      <c r="R18">
        <v>516.1108726411378</v>
      </c>
      <c r="S18">
        <v>529.32381837971764</v>
      </c>
      <c r="T18">
        <v>542.53676411829747</v>
      </c>
      <c r="U18">
        <v>555.7497098568773</v>
      </c>
      <c r="V18">
        <v>568.96265559545702</v>
      </c>
      <c r="W18">
        <v>581.64347953735432</v>
      </c>
      <c r="X18">
        <v>594.32430347925151</v>
      </c>
      <c r="Y18">
        <v>607.0051274211487</v>
      </c>
      <c r="Z18">
        <v>619.68595136304589</v>
      </c>
      <c r="AA18">
        <v>621.89294105808938</v>
      </c>
    </row>
    <row r="19" spans="1:28" x14ac:dyDescent="0.35">
      <c r="B19" s="86" t="s">
        <v>170</v>
      </c>
      <c r="D19">
        <v>74.5</v>
      </c>
      <c r="E19">
        <v>1085.9000000000001</v>
      </c>
      <c r="F19">
        <v>1212.7</v>
      </c>
      <c r="G19">
        <v>1216.671484401355</v>
      </c>
      <c r="H19">
        <v>1220.7940236769309</v>
      </c>
      <c r="I19">
        <v>1225.20608479476</v>
      </c>
      <c r="J19">
        <v>1229.970607285768</v>
      </c>
      <c r="K19">
        <v>1235.106473009233</v>
      </c>
      <c r="L19">
        <v>1240.437451278565</v>
      </c>
      <c r="M19">
        <v>1245.8565448911911</v>
      </c>
      <c r="N19">
        <v>1251.3448719878349</v>
      </c>
      <c r="O19">
        <v>1256.902432568495</v>
      </c>
      <c r="P19">
        <v>1262.5418145393589</v>
      </c>
      <c r="Q19">
        <v>1268.206372322592</v>
      </c>
      <c r="R19">
        <v>1273.9527514960271</v>
      </c>
      <c r="S19">
        <v>1279.7809520596641</v>
      </c>
      <c r="T19">
        <v>1285.6720921542269</v>
      </c>
      <c r="U19">
        <v>1291.5758201549741</v>
      </c>
      <c r="V19">
        <v>1297.511017921184</v>
      </c>
      <c r="W19">
        <v>1303.4776854528559</v>
      </c>
      <c r="X19">
        <v>1309.456940890713</v>
      </c>
      <c r="Y19">
        <v>1315.4047265631079</v>
      </c>
      <c r="Z19">
        <v>1321.3588061885951</v>
      </c>
      <c r="AA19">
        <v>1327.3128858140831</v>
      </c>
    </row>
    <row r="20" spans="1:28" x14ac:dyDescent="0.35">
      <c r="B20" t="s">
        <v>196</v>
      </c>
      <c r="D20">
        <v>204.37100000000001</v>
      </c>
      <c r="E20">
        <v>884.2600000000001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244.4440181553536</v>
      </c>
      <c r="P20">
        <v>257.44254207870313</v>
      </c>
      <c r="Q20">
        <v>269.82423671275291</v>
      </c>
      <c r="R20">
        <v>282.9579189609679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main!L96/1000</f>
        <v>156.18299999999999</v>
      </c>
      <c r="E24" s="104">
        <f>main!M96/1000</f>
        <v>205.19499999999999</v>
      </c>
      <c r="F24" s="104">
        <f>main!N96/1000</f>
        <v>182.97060314006026</v>
      </c>
      <c r="G24" s="149">
        <f>main!O96/1000</f>
        <v>186.27023674497718</v>
      </c>
      <c r="H24" s="104">
        <f>main!P96/1000</f>
        <v>188.12901011482731</v>
      </c>
      <c r="I24" s="104">
        <f>main!Q96/1000</f>
        <v>188.12901011482731</v>
      </c>
      <c r="J24" s="104">
        <f>main!R96/1000</f>
        <v>188.12901011482731</v>
      </c>
      <c r="K24" s="149">
        <f>main!S96/1000</f>
        <v>188.12901011482731</v>
      </c>
      <c r="L24" s="104">
        <f>main!T96/1000</f>
        <v>231.54339706440277</v>
      </c>
      <c r="M24" s="232">
        <f>main!U96/1000</f>
        <v>231.54339706440277</v>
      </c>
      <c r="N24" s="104">
        <f>M24*(1+N26)</f>
        <v>229.16775203348308</v>
      </c>
      <c r="O24" s="149">
        <f t="shared" ref="O24:AA24" si="0">N24*(1+O26)</f>
        <v>226.81542267562489</v>
      </c>
      <c r="P24" s="104">
        <f t="shared" si="0"/>
        <v>224.46309331776644</v>
      </c>
      <c r="Q24" s="104">
        <f t="shared" si="0"/>
        <v>222.1107639599081</v>
      </c>
      <c r="R24" s="104">
        <f t="shared" si="0"/>
        <v>219.75843460204968</v>
      </c>
      <c r="S24" s="149">
        <f t="shared" si="0"/>
        <v>222.2347811351913</v>
      </c>
      <c r="T24" s="104">
        <f t="shared" si="0"/>
        <v>224.71112766833286</v>
      </c>
      <c r="U24" s="104">
        <f t="shared" si="0"/>
        <v>227.1874742014746</v>
      </c>
      <c r="V24" s="104">
        <f t="shared" si="0"/>
        <v>229.66382073461634</v>
      </c>
      <c r="W24" s="149">
        <f t="shared" si="0"/>
        <v>232.80077800449556</v>
      </c>
      <c r="X24" s="104">
        <f t="shared" si="0"/>
        <v>235.93773527437466</v>
      </c>
      <c r="Y24" s="104">
        <f t="shared" si="0"/>
        <v>239.07469254425391</v>
      </c>
      <c r="Z24" s="104">
        <f t="shared" si="0"/>
        <v>242.21164981413298</v>
      </c>
      <c r="AA24" s="149">
        <f t="shared" si="0"/>
        <v>245.47595506973281</v>
      </c>
      <c r="AB24" s="95"/>
    </row>
    <row r="25" spans="1:28" x14ac:dyDescent="0.35">
      <c r="B25" t="s">
        <v>178</v>
      </c>
      <c r="D25" s="102">
        <f t="shared" ref="D25:AA25" si="1">D10</f>
        <v>200.67100000000011</v>
      </c>
      <c r="E25" s="104">
        <f t="shared" si="1"/>
        <v>156.16</v>
      </c>
      <c r="F25" s="104">
        <f t="shared" si="1"/>
        <v>205.22800000000001</v>
      </c>
      <c r="G25" s="149">
        <f t="shared" si="1"/>
        <v>213.05988737442189</v>
      </c>
      <c r="H25" s="104">
        <f t="shared" si="1"/>
        <v>220.89177474884389</v>
      </c>
      <c r="I25" s="104">
        <f t="shared" si="1"/>
        <v>228.723662123266</v>
      </c>
      <c r="J25" s="104">
        <f t="shared" si="1"/>
        <v>236.55554949768791</v>
      </c>
      <c r="K25" s="149">
        <f t="shared" si="1"/>
        <v>234.20095430933171</v>
      </c>
      <c r="L25" s="104">
        <f t="shared" si="1"/>
        <v>231.84635912097539</v>
      </c>
      <c r="M25" s="232">
        <f t="shared" si="1"/>
        <v>229.49176393261911</v>
      </c>
      <c r="N25" s="104">
        <f t="shared" si="1"/>
        <v>227.13716874426279</v>
      </c>
      <c r="O25" s="149">
        <f t="shared" si="1"/>
        <v>224.80568263613071</v>
      </c>
      <c r="P25" s="104">
        <f t="shared" si="1"/>
        <v>222.4741965279984</v>
      </c>
      <c r="Q25" s="104">
        <f t="shared" si="1"/>
        <v>220.14271041986621</v>
      </c>
      <c r="R25" s="104">
        <f t="shared" si="1"/>
        <v>217.81122431173389</v>
      </c>
      <c r="S25" s="149">
        <f t="shared" si="1"/>
        <v>220.26562871801039</v>
      </c>
      <c r="T25" s="104">
        <f t="shared" si="1"/>
        <v>222.7200331242868</v>
      </c>
      <c r="U25" s="104">
        <f t="shared" si="1"/>
        <v>225.17443753056341</v>
      </c>
      <c r="V25" s="104">
        <f t="shared" si="1"/>
        <v>227.62884193683999</v>
      </c>
      <c r="W25" s="149">
        <f t="shared" si="1"/>
        <v>230.7380036161324</v>
      </c>
      <c r="X25" s="104">
        <f t="shared" si="1"/>
        <v>233.8471652954247</v>
      </c>
      <c r="Y25" s="104">
        <f t="shared" si="1"/>
        <v>236.9563269747172</v>
      </c>
      <c r="Z25" s="104">
        <f t="shared" si="1"/>
        <v>240.0654886540095</v>
      </c>
      <c r="AA25" s="149">
        <f t="shared" si="1"/>
        <v>243.3008699286211</v>
      </c>
      <c r="AB25" s="95"/>
    </row>
    <row r="26" spans="1:28" s="171" customFormat="1" ht="12" x14ac:dyDescent="0.3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-1.0260042225513799E-2</v>
      </c>
      <c r="O26" s="256">
        <f t="shared" ref="O26" si="3">(O25/N25)-1</f>
        <v>-1.0264661310263712E-2</v>
      </c>
      <c r="P26" s="239">
        <f t="shared" ref="P26" si="4">(P25/O25)-1</f>
        <v>-1.0371117316932077E-2</v>
      </c>
      <c r="Q26" s="239">
        <f t="shared" ref="Q26" si="5">(Q25/P25)-1</f>
        <v>-1.0479804599895615E-2</v>
      </c>
      <c r="R26" s="239">
        <f t="shared" ref="R26" si="6">(R25/Q25)-1</f>
        <v>-1.0590794052120045E-2</v>
      </c>
      <c r="S26" s="256">
        <f t="shared" ref="S26" si="7">(S25/R25)-1</f>
        <v>1.126849368774363E-2</v>
      </c>
      <c r="T26" s="239">
        <f t="shared" ref="T26" si="8">(T25/S25)-1</f>
        <v>1.1142929655260092E-2</v>
      </c>
      <c r="U26" s="239">
        <f t="shared" ref="U26" si="9">(U25/T25)-1</f>
        <v>1.1020133087475514E-2</v>
      </c>
      <c r="V26" s="239">
        <f t="shared" ref="V26" si="10">(V25/U25)-1</f>
        <v>1.0900013488180482E-2</v>
      </c>
      <c r="W26" s="256">
        <f t="shared" ref="W26" si="11">(W25/V25)-1</f>
        <v>1.3658909182322043E-2</v>
      </c>
      <c r="X26" s="239">
        <f t="shared" ref="X26" si="12">(X25/W25)-1</f>
        <v>1.3474857329808909E-2</v>
      </c>
      <c r="Y26" s="239">
        <f t="shared" ref="Y26" si="13">(Y25/X25)-1</f>
        <v>1.3295699673607775E-2</v>
      </c>
      <c r="Z26" s="239">
        <f t="shared" ref="Z26" si="14">(Z25/Y25)-1</f>
        <v>1.3121243559890416E-2</v>
      </c>
      <c r="AA26" s="256">
        <f t="shared" ref="AA26" si="15">(AA25/Z25)-1</f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" si="16">F24-F25</f>
        <v>-22.257396859939746</v>
      </c>
      <c r="G27" s="150">
        <f t="shared" ref="G27" si="17">G24-G25</f>
        <v>-26.789650629444708</v>
      </c>
      <c r="H27" s="225">
        <f t="shared" ref="H27" si="18">H24-H25</f>
        <v>-32.762764634016577</v>
      </c>
      <c r="I27" s="225">
        <f t="shared" ref="I27" si="19">I24-I25</f>
        <v>-40.594652008438686</v>
      </c>
      <c r="J27" s="225">
        <f t="shared" ref="J27" si="20">J24-J25</f>
        <v>-48.426539382860597</v>
      </c>
      <c r="K27" s="150">
        <f t="shared" ref="K27:AA27" si="21">K24-K25</f>
        <v>-46.071944194504397</v>
      </c>
      <c r="L27" s="225">
        <f t="shared" si="21"/>
        <v>-0.30296205657262476</v>
      </c>
      <c r="M27" s="249">
        <f t="shared" si="21"/>
        <v>2.0516331317836602</v>
      </c>
      <c r="N27" s="225">
        <f t="shared" si="21"/>
        <v>2.0305832892202886</v>
      </c>
      <c r="O27" s="150">
        <f t="shared" si="21"/>
        <v>2.0097400394941758</v>
      </c>
      <c r="P27" s="225">
        <f t="shared" si="21"/>
        <v>1.9888967897680345</v>
      </c>
      <c r="Q27" s="225">
        <f t="shared" si="21"/>
        <v>1.9680535400418933</v>
      </c>
      <c r="R27" s="225">
        <f t="shared" si="21"/>
        <v>1.9472102903157804</v>
      </c>
      <c r="S27" s="150">
        <f t="shared" si="21"/>
        <v>1.9691524171809078</v>
      </c>
      <c r="T27" s="225">
        <f t="shared" si="21"/>
        <v>1.9910945440460637</v>
      </c>
      <c r="U27" s="225">
        <f t="shared" si="21"/>
        <v>2.0130366709111911</v>
      </c>
      <c r="V27" s="225">
        <f t="shared" si="21"/>
        <v>2.0349787977763469</v>
      </c>
      <c r="W27" s="150">
        <f t="shared" si="21"/>
        <v>2.0627743883631524</v>
      </c>
      <c r="X27" s="225">
        <f t="shared" si="21"/>
        <v>2.0905699789499579</v>
      </c>
      <c r="Y27" s="225">
        <f t="shared" si="21"/>
        <v>2.1183655695367065</v>
      </c>
      <c r="Z27" s="225">
        <f t="shared" si="21"/>
        <v>2.1461611601234836</v>
      </c>
      <c r="AA27" s="150">
        <f t="shared" si="21"/>
        <v>2.1750851411117083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main!L97/1000</f>
        <v>420.935</v>
      </c>
      <c r="F31" s="104">
        <f>main!M97/1000</f>
        <v>284.73200000000003</v>
      </c>
      <c r="G31" s="104">
        <f>main!N97/1000</f>
        <v>222.92284999999998</v>
      </c>
      <c r="H31" s="104">
        <f>main!O97/1000</f>
        <v>203.28015712500002</v>
      </c>
      <c r="I31" s="104">
        <f>main!P97/1000</f>
        <v>187.63835751781241</v>
      </c>
      <c r="J31" s="104">
        <f>main!Q97/1000</f>
        <v>188.3565493054015</v>
      </c>
      <c r="K31" s="104">
        <f>main!R97/1000</f>
        <v>189.43922342519207</v>
      </c>
      <c r="L31" s="104">
        <f>main!S97/1000</f>
        <v>190.8936156594439</v>
      </c>
      <c r="M31" s="104">
        <f>L31*(1 + M33)</f>
        <v>196.6039455094818</v>
      </c>
      <c r="N31" s="104">
        <f t="shared" ref="N31:AA31" si="22">M31*(1 + N33)</f>
        <v>201.92945643912574</v>
      </c>
      <c r="O31" s="104">
        <f t="shared" si="22"/>
        <v>206.82154024469929</v>
      </c>
      <c r="P31" s="104">
        <f t="shared" si="22"/>
        <v>242.80935879117246</v>
      </c>
      <c r="Q31" s="104">
        <f t="shared" si="22"/>
        <v>248.2396911085703</v>
      </c>
      <c r="R31" s="104">
        <f t="shared" si="22"/>
        <v>253.63657746143045</v>
      </c>
      <c r="S31" s="104">
        <f t="shared" si="22"/>
        <v>255.33471782645819</v>
      </c>
      <c r="T31" s="104">
        <f t="shared" si="22"/>
        <v>257.23353397871472</v>
      </c>
      <c r="U31" s="104">
        <f t="shared" si="22"/>
        <v>259.31630293592781</v>
      </c>
      <c r="V31" s="104">
        <f t="shared" si="22"/>
        <v>261.666639609443</v>
      </c>
      <c r="W31" s="104">
        <f t="shared" si="22"/>
        <v>263.5565443671378</v>
      </c>
      <c r="X31" s="104">
        <f t="shared" si="22"/>
        <v>265.41300316029486</v>
      </c>
      <c r="Y31" s="104">
        <f t="shared" si="22"/>
        <v>267.40324581160064</v>
      </c>
      <c r="Z31" s="104">
        <f t="shared" si="22"/>
        <v>269.54399530332751</v>
      </c>
      <c r="AA31" s="104">
        <f t="shared" si="22"/>
        <v>271.72009853733562</v>
      </c>
      <c r="AB31" s="95"/>
    </row>
    <row r="32" spans="1:28" x14ac:dyDescent="0.35">
      <c r="B32" t="s">
        <v>178</v>
      </c>
      <c r="D32" s="102">
        <f t="shared" ref="D32:AA32" si="23">D11</f>
        <v>186.02099999999999</v>
      </c>
      <c r="E32" s="104">
        <f t="shared" si="23"/>
        <v>436.94400000000019</v>
      </c>
      <c r="F32" s="104">
        <f t="shared" si="23"/>
        <v>875.8370000000001</v>
      </c>
      <c r="G32" s="149">
        <f t="shared" si="23"/>
        <v>853.37353126596815</v>
      </c>
      <c r="H32" s="104">
        <f t="shared" si="23"/>
        <v>830.91985713818588</v>
      </c>
      <c r="I32" s="104">
        <f t="shared" si="23"/>
        <v>808.47600210316944</v>
      </c>
      <c r="J32" s="104">
        <f t="shared" si="23"/>
        <v>789.98929054816381</v>
      </c>
      <c r="K32" s="149">
        <f t="shared" si="23"/>
        <v>809.82173278252503</v>
      </c>
      <c r="L32" s="232">
        <f t="shared" si="23"/>
        <v>833.74022244575849</v>
      </c>
      <c r="M32" s="104">
        <f t="shared" si="23"/>
        <v>858.68045768077434</v>
      </c>
      <c r="N32" s="104">
        <f t="shared" si="23"/>
        <v>881.93997137262988</v>
      </c>
      <c r="O32" s="149">
        <f t="shared" si="23"/>
        <v>903.30646404548429</v>
      </c>
      <c r="P32" s="104">
        <f t="shared" si="23"/>
        <v>1060.4855909462101</v>
      </c>
      <c r="Q32" s="104">
        <f t="shared" si="23"/>
        <v>1084.2029188339</v>
      </c>
      <c r="R32" s="104">
        <f t="shared" si="23"/>
        <v>1107.7741693066</v>
      </c>
      <c r="S32" s="149">
        <f t="shared" si="23"/>
        <v>1115.1909072671201</v>
      </c>
      <c r="T32" s="104">
        <f t="shared" si="23"/>
        <v>1123.4841097175899</v>
      </c>
      <c r="U32" s="104">
        <f t="shared" si="23"/>
        <v>1132.5807379505</v>
      </c>
      <c r="V32" s="104">
        <f t="shared" si="23"/>
        <v>1142.84598550333</v>
      </c>
      <c r="W32" s="149">
        <f t="shared" si="23"/>
        <v>1151.10026686124</v>
      </c>
      <c r="X32" s="104">
        <f t="shared" si="23"/>
        <v>1159.20847080416</v>
      </c>
      <c r="Y32" s="104">
        <f t="shared" si="23"/>
        <v>1167.9009844070299</v>
      </c>
      <c r="Z32" s="104">
        <f t="shared" si="23"/>
        <v>1177.2508463773599</v>
      </c>
      <c r="AA32" s="149">
        <f t="shared" si="23"/>
        <v>1186.75511810546</v>
      </c>
      <c r="AB32" s="95"/>
    </row>
    <row r="33" spans="1:28" s="171" customFormat="1" ht="12" x14ac:dyDescent="0.3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2.9913676422920199E-2</v>
      </c>
      <c r="N33" s="239">
        <f t="shared" ref="N33" si="25">(N32/M32)-1</f>
        <v>2.7087507912638031E-2</v>
      </c>
      <c r="O33" s="256">
        <f t="shared" ref="O33" si="26">(O32/N32)-1</f>
        <v>2.4226697242897499E-2</v>
      </c>
      <c r="P33" s="239">
        <f t="shared" ref="P33" si="27">(P32/O32)-1</f>
        <v>0.17400420915488035</v>
      </c>
      <c r="Q33" s="239">
        <f t="shared" ref="Q33" si="28">(Q32/P32)-1</f>
        <v>2.2364592305802233E-2</v>
      </c>
      <c r="R33" s="239">
        <f t="shared" ref="R33" si="29">(R32/Q32)-1</f>
        <v>2.1740626282441555E-2</v>
      </c>
      <c r="S33" s="256">
        <f t="shared" ref="S33" si="30">(S32/R32)-1</f>
        <v>6.6951714221343828E-3</v>
      </c>
      <c r="T33" s="239">
        <f t="shared" ref="T33" si="31">(T32/S32)-1</f>
        <v>7.4365764609694018E-3</v>
      </c>
      <c r="U33" s="239">
        <f t="shared" ref="U33" si="32">(U32/T32)-1</f>
        <v>8.0968018632650018E-3</v>
      </c>
      <c r="V33" s="239">
        <f t="shared" ref="V33" si="33">(V32/U32)-1</f>
        <v>9.0635900901916422E-3</v>
      </c>
      <c r="W33" s="256">
        <f t="shared" ref="W33" si="34">(W32/V32)-1</f>
        <v>7.2225666998118054E-3</v>
      </c>
      <c r="X33" s="239">
        <f t="shared" ref="X33" si="35">(X32/W32)-1</f>
        <v>7.0438728721946564E-3</v>
      </c>
      <c r="Y33" s="239">
        <f t="shared" ref="Y33" si="36">(Y32/X32)-1</f>
        <v>7.4986629426885276E-3</v>
      </c>
      <c r="Z33" s="239">
        <f t="shared" ref="Z33" si="37">(Z32/Y32)-1</f>
        <v>8.0056974822031446E-3</v>
      </c>
      <c r="AA33" s="256">
        <f t="shared" ref="AA33" si="38">(AA32/Z32)-1</f>
        <v>8.0732766150448665E-3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" si="39">F31-F32</f>
        <v>-591.10500000000002</v>
      </c>
      <c r="G34" s="150">
        <f t="shared" ref="G34" si="40">G31-G32</f>
        <v>-630.45068126596811</v>
      </c>
      <c r="H34" s="225">
        <f t="shared" ref="H34" si="41">H31-H32</f>
        <v>-627.6397000131858</v>
      </c>
      <c r="I34" s="225">
        <f t="shared" ref="I34" si="42">I31-I32</f>
        <v>-620.837644585357</v>
      </c>
      <c r="J34" s="225">
        <f t="shared" ref="J34" si="43">J31-J32</f>
        <v>-601.63274124276234</v>
      </c>
      <c r="K34" s="150">
        <f t="shared" ref="K34:N34" si="44">K31-K32</f>
        <v>-620.38250935733299</v>
      </c>
      <c r="L34" s="249">
        <f t="shared" si="44"/>
        <v>-642.84660678631462</v>
      </c>
      <c r="M34" s="225">
        <f t="shared" si="44"/>
        <v>-662.07651217129251</v>
      </c>
      <c r="N34" s="225">
        <f t="shared" si="44"/>
        <v>-680.01051493350417</v>
      </c>
      <c r="O34" s="150">
        <f t="shared" ref="O34:AA34" si="45">O31-O32</f>
        <v>-696.48492380078505</v>
      </c>
      <c r="P34" s="150">
        <f t="shared" si="45"/>
        <v>-817.67623215503761</v>
      </c>
      <c r="Q34" s="150">
        <f t="shared" si="45"/>
        <v>-835.96322772532972</v>
      </c>
      <c r="R34" s="150">
        <f t="shared" si="45"/>
        <v>-854.1375918451696</v>
      </c>
      <c r="S34" s="150">
        <f t="shared" si="45"/>
        <v>-859.85618944066186</v>
      </c>
      <c r="T34" s="150">
        <f t="shared" si="45"/>
        <v>-866.25057573887523</v>
      </c>
      <c r="U34" s="150">
        <f t="shared" si="45"/>
        <v>-873.2644350145722</v>
      </c>
      <c r="V34" s="150">
        <f t="shared" si="45"/>
        <v>-881.17934589388699</v>
      </c>
      <c r="W34" s="150">
        <f t="shared" si="45"/>
        <v>-887.54372249410221</v>
      </c>
      <c r="X34" s="150">
        <f t="shared" si="45"/>
        <v>-893.79546764386509</v>
      </c>
      <c r="Y34" s="150">
        <f t="shared" si="45"/>
        <v>-900.49773859542927</v>
      </c>
      <c r="Z34" s="150">
        <f t="shared" si="45"/>
        <v>-907.70685107403244</v>
      </c>
      <c r="AA34" s="150">
        <f t="shared" si="45"/>
        <v>-915.03501956812443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273</v>
      </c>
      <c r="D38" s="102"/>
      <c r="E38" s="104">
        <f>main!L22</f>
        <v>1779.8019999999999</v>
      </c>
      <c r="F38" s="104">
        <f>main!M22</f>
        <v>1836.9459999999999</v>
      </c>
      <c r="G38" s="149">
        <f>main!N22</f>
        <v>1874.1364363176749</v>
      </c>
      <c r="H38" s="104">
        <f>main!O22</f>
        <v>1905.2188269788135</v>
      </c>
      <c r="I38" s="104">
        <f>main!P22</f>
        <v>1935.514553250054</v>
      </c>
      <c r="J38" s="104">
        <f>main!Q22</f>
        <v>1967.8958548805504</v>
      </c>
      <c r="K38" s="149">
        <f>main!R22</f>
        <v>1989.584009164711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1836.9</v>
      </c>
      <c r="G39" s="149">
        <f t="shared" si="46"/>
        <v>1874.0452162092181</v>
      </c>
      <c r="H39" s="104">
        <f t="shared" si="46"/>
        <v>1905.1260939927499</v>
      </c>
      <c r="I39" s="104">
        <f t="shared" si="46"/>
        <v>1935.420345675816</v>
      </c>
      <c r="J39" s="104">
        <f t="shared" si="46"/>
        <v>1967.800071206628</v>
      </c>
      <c r="K39" s="149">
        <f t="shared" si="46"/>
        <v>1989.487169860176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179</v>
      </c>
      <c r="D40" s="103"/>
      <c r="E40" s="225"/>
      <c r="F40" s="225">
        <f>F38-F39</f>
        <v>4.5999999999821739E-2</v>
      </c>
      <c r="G40" s="150">
        <f t="shared" ref="G40:K40" si="47">G38-G39</f>
        <v>9.1220108456809612E-2</v>
      </c>
      <c r="H40" s="225">
        <f t="shared" si="47"/>
        <v>9.2732986063538192E-2</v>
      </c>
      <c r="I40" s="225">
        <f t="shared" si="47"/>
        <v>9.4207574237998415E-2</v>
      </c>
      <c r="J40" s="225">
        <f t="shared" si="47"/>
        <v>9.5783673922369417E-2</v>
      </c>
      <c r="K40" s="150">
        <f t="shared" si="47"/>
        <v>9.6839304535023984E-2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273</v>
      </c>
      <c r="D44" s="102"/>
      <c r="E44" s="104">
        <f>main!L26</f>
        <v>54.2</v>
      </c>
      <c r="F44" s="104">
        <f>main!M26</f>
        <v>79.099999999999994</v>
      </c>
      <c r="G44" s="149">
        <f>main!N26</f>
        <v>80.701442564304074</v>
      </c>
      <c r="H44" s="104">
        <f>main!O26</f>
        <v>82.039869007594206</v>
      </c>
      <c r="I44" s="104">
        <f>main!P26</f>
        <v>83.344421208940986</v>
      </c>
      <c r="J44" s="104">
        <f>main!Q26</f>
        <v>84.738779540090761</v>
      </c>
      <c r="K44" s="149">
        <f>main!R26</f>
        <v>85.672684512734008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79.099999999999994</v>
      </c>
      <c r="G45" s="149">
        <f t="shared" si="48"/>
        <v>80.69953541409393</v>
      </c>
      <c r="H45" s="104">
        <f t="shared" si="48"/>
        <v>82.037930227462851</v>
      </c>
      <c r="I45" s="104">
        <f t="shared" si="48"/>
        <v>83.342451599410424</v>
      </c>
      <c r="J45" s="104">
        <f t="shared" si="48"/>
        <v>84.736776978847132</v>
      </c>
      <c r="K45" s="149">
        <f t="shared" si="48"/>
        <v>85.670659881289055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1.9071502101439819E-3</v>
      </c>
      <c r="H46" s="225">
        <f t="shared" si="49"/>
        <v>1.9387801313541786E-3</v>
      </c>
      <c r="I46" s="225">
        <f t="shared" si="49"/>
        <v>1.969609530561911E-3</v>
      </c>
      <c r="J46" s="225">
        <f t="shared" si="49"/>
        <v>2.0025612436285201E-3</v>
      </c>
      <c r="K46" s="150">
        <f t="shared" si="49"/>
        <v>2.024631444953684E-3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189</v>
      </c>
      <c r="D50" s="102"/>
      <c r="E50" s="104">
        <f>main!L79/1000</f>
        <v>1336.6980000000001</v>
      </c>
      <c r="F50" s="104">
        <f>main!M79/1000</f>
        <v>1328.8050000000001</v>
      </c>
      <c r="G50" s="149">
        <f>main!N79/1000</f>
        <v>1373.8156728590002</v>
      </c>
      <c r="H50" s="104">
        <f>main!O79/1000</f>
        <v>1393.6535067068824</v>
      </c>
      <c r="I50" s="104">
        <f>main!P79/1000</f>
        <v>1409.5183603139265</v>
      </c>
      <c r="J50" s="232">
        <f>main!Q79/1000</f>
        <v>1420.2223552427586</v>
      </c>
      <c r="K50" s="149">
        <f>J50*(1+K52)</f>
        <v>1456.3521805721477</v>
      </c>
      <c r="L50" s="104">
        <f t="shared" ref="L50:AA50" si="50">K50*(1+L52)</f>
        <v>1492.4820059015367</v>
      </c>
      <c r="M50" s="104">
        <f t="shared" si="50"/>
        <v>1528.6118312309259</v>
      </c>
      <c r="N50" s="104">
        <f t="shared" si="50"/>
        <v>1564.7416565603151</v>
      </c>
      <c r="O50" s="149">
        <f t="shared" si="50"/>
        <v>1569.166071496194</v>
      </c>
      <c r="P50" s="104">
        <f t="shared" si="50"/>
        <v>1573.5904864320726</v>
      </c>
      <c r="Q50" s="104">
        <f t="shared" si="50"/>
        <v>1578.0149013679513</v>
      </c>
      <c r="R50" s="104">
        <f t="shared" si="50"/>
        <v>1582.4393163038303</v>
      </c>
      <c r="S50" s="149">
        <f t="shared" si="50"/>
        <v>1594.4899061049841</v>
      </c>
      <c r="T50" s="104">
        <f t="shared" si="50"/>
        <v>1606.5404959061379</v>
      </c>
      <c r="U50" s="104">
        <f t="shared" si="50"/>
        <v>1618.5910857072909</v>
      </c>
      <c r="V50" s="104">
        <f t="shared" si="50"/>
        <v>1630.6416755084458</v>
      </c>
      <c r="W50" s="149">
        <f t="shared" si="50"/>
        <v>1669.5855382015102</v>
      </c>
      <c r="X50" s="104">
        <f t="shared" si="50"/>
        <v>1708.5294008945755</v>
      </c>
      <c r="Y50" s="104">
        <f t="shared" si="50"/>
        <v>1747.4732635876398</v>
      </c>
      <c r="Z50" s="104">
        <f t="shared" si="50"/>
        <v>1786.4171262807042</v>
      </c>
      <c r="AA50" s="149">
        <f t="shared" si="50"/>
        <v>1815.5043883220089</v>
      </c>
      <c r="AB50" s="95"/>
    </row>
    <row r="51" spans="1:28" x14ac:dyDescent="0.35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1626.2298482587289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3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2.3325467190507654E-2</v>
      </c>
      <c r="Y52" s="239">
        <f t="shared" ref="Y52" si="66">(Y51/X51)-1</f>
        <v>2.2793791358037829E-2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35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39.284047628965254</v>
      </c>
      <c r="H53" s="225">
        <f t="shared" ref="H53" si="71">H50-H51</f>
        <v>53.362256246811285</v>
      </c>
      <c r="I53" s="225">
        <f t="shared" ref="I53" si="72">I50-I51</f>
        <v>63.467484623819473</v>
      </c>
      <c r="J53" s="249">
        <f t="shared" ref="J53" si="73">J50-J51</f>
        <v>68.411854322616591</v>
      </c>
      <c r="K53" s="150">
        <f t="shared" ref="K53:AA53" si="74">K50-K51</f>
        <v>70.152221482738696</v>
      </c>
      <c r="L53" s="225">
        <f t="shared" si="74"/>
        <v>71.892588642860801</v>
      </c>
      <c r="M53" s="225">
        <f t="shared" si="74"/>
        <v>73.632955802982906</v>
      </c>
      <c r="N53" s="225">
        <f t="shared" si="74"/>
        <v>75.373322963105011</v>
      </c>
      <c r="O53" s="150">
        <f t="shared" si="74"/>
        <v>75.586446231400942</v>
      </c>
      <c r="P53" s="225">
        <f t="shared" si="74"/>
        <v>75.799569499696645</v>
      </c>
      <c r="Q53" s="225">
        <f t="shared" si="74"/>
        <v>76.012692767992348</v>
      </c>
      <c r="R53" s="225">
        <f t="shared" si="74"/>
        <v>76.225816036288279</v>
      </c>
      <c r="S53" s="150">
        <f t="shared" si="74"/>
        <v>76.806290770357236</v>
      </c>
      <c r="T53" s="225">
        <f t="shared" si="74"/>
        <v>77.386765504425966</v>
      </c>
      <c r="U53" s="225">
        <f t="shared" si="74"/>
        <v>77.967240238494924</v>
      </c>
      <c r="V53" s="225">
        <f t="shared" si="74"/>
        <v>78.547714972563881</v>
      </c>
      <c r="W53" s="150">
        <f t="shared" si="74"/>
        <v>80.42363380420511</v>
      </c>
      <c r="X53" s="225">
        <f t="shared" si="74"/>
        <v>82.299552635846567</v>
      </c>
      <c r="Y53" s="225">
        <f t="shared" si="74"/>
        <v>84.175471467487796</v>
      </c>
      <c r="Z53" s="225">
        <f t="shared" si="74"/>
        <v>86.051390299129253</v>
      </c>
      <c r="AA53" s="150">
        <f t="shared" si="74"/>
        <v>87.452518457736005</v>
      </c>
      <c r="AB53" s="254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190</v>
      </c>
      <c r="D57" s="102">
        <f>main!K78/1000</f>
        <v>1574.462</v>
      </c>
      <c r="E57" s="104">
        <f>main!L78/1000</f>
        <v>3713.565333333333</v>
      </c>
      <c r="F57" s="104">
        <f>main!M78/1000</f>
        <v>2508.7139999999999</v>
      </c>
      <c r="G57" s="149">
        <f>main!N78/1000</f>
        <v>1966.5974866534179</v>
      </c>
      <c r="H57" s="104">
        <f>main!O78/1000</f>
        <v>3170.7427957109899</v>
      </c>
      <c r="I57" s="104">
        <f>main!P78/1000</f>
        <v>1799.2309611612814</v>
      </c>
      <c r="J57" s="104">
        <f>main!Q78/1000</f>
        <v>1662.9892289525719</v>
      </c>
      <c r="K57" s="274">
        <f>main!R78/1000</f>
        <v>1659.2890673868606</v>
      </c>
      <c r="L57" s="104">
        <f>K57*(1+L59)</f>
        <v>1666.6590205531852</v>
      </c>
      <c r="M57" s="104">
        <f t="shared" ref="M57:AA57" si="75">L57*(1+M59)</f>
        <v>1654.1233225320043</v>
      </c>
      <c r="N57" s="104">
        <f t="shared" si="75"/>
        <v>1614.0246827555854</v>
      </c>
      <c r="O57" s="104">
        <f t="shared" si="75"/>
        <v>1613.2462308130598</v>
      </c>
      <c r="P57" s="104">
        <f t="shared" si="75"/>
        <v>1613.2462308130598</v>
      </c>
      <c r="Q57" s="104">
        <f t="shared" si="75"/>
        <v>1613.2462308130598</v>
      </c>
      <c r="R57" s="104">
        <f t="shared" si="75"/>
        <v>1613.2462308130598</v>
      </c>
      <c r="S57" s="104">
        <f t="shared" si="75"/>
        <v>1613.2462308130598</v>
      </c>
      <c r="T57" s="104">
        <f t="shared" si="75"/>
        <v>1613.2462308130598</v>
      </c>
      <c r="U57" s="104">
        <f t="shared" si="75"/>
        <v>1613.2462308130598</v>
      </c>
      <c r="V57" s="104">
        <f t="shared" si="75"/>
        <v>1613.2462308130598</v>
      </c>
      <c r="W57" s="104">
        <f t="shared" si="75"/>
        <v>1613.2462308130598</v>
      </c>
      <c r="X57" s="104">
        <f t="shared" si="75"/>
        <v>1613.2462308130598</v>
      </c>
      <c r="Y57" s="104">
        <f t="shared" si="75"/>
        <v>1613.2462308130598</v>
      </c>
      <c r="Z57" s="104">
        <f t="shared" si="75"/>
        <v>1613.2462308130598</v>
      </c>
      <c r="AA57" s="104">
        <f t="shared" si="75"/>
        <v>1613.2462308130598</v>
      </c>
      <c r="AB57" s="95"/>
    </row>
    <row r="58" spans="1:28" x14ac:dyDescent="0.35">
      <c r="B58" t="s">
        <v>178</v>
      </c>
      <c r="D58" s="102">
        <f t="shared" ref="D58:AA58" si="76">D16</f>
        <v>1574.779</v>
      </c>
      <c r="E58" s="104">
        <f t="shared" si="76"/>
        <v>3697.6560000000009</v>
      </c>
      <c r="F58" s="104">
        <f t="shared" si="76"/>
        <v>1914.2629999999999</v>
      </c>
      <c r="G58" s="149">
        <f t="shared" si="76"/>
        <v>1652.519124685555</v>
      </c>
      <c r="H58" s="104">
        <f t="shared" si="76"/>
        <v>1447.016042358189</v>
      </c>
      <c r="I58" s="104">
        <f t="shared" si="76"/>
        <v>1282.003150290248</v>
      </c>
      <c r="J58" s="104">
        <f t="shared" si="76"/>
        <v>1167.646687976573</v>
      </c>
      <c r="K58" s="274">
        <f t="shared" si="76"/>
        <v>1195.5066238196489</v>
      </c>
      <c r="L58" s="104">
        <f t="shared" si="76"/>
        <v>1200.816625555186</v>
      </c>
      <c r="M58" s="104">
        <f t="shared" si="76"/>
        <v>1191.784739361826</v>
      </c>
      <c r="N58" s="104">
        <f t="shared" si="76"/>
        <v>1162.893938837019</v>
      </c>
      <c r="O58" s="149">
        <f t="shared" si="76"/>
        <v>1162.3330694430681</v>
      </c>
      <c r="P58" s="104">
        <f t="shared" si="76"/>
        <v>1162.3330694430681</v>
      </c>
      <c r="Q58" s="104">
        <f t="shared" si="76"/>
        <v>1162.3330694430681</v>
      </c>
      <c r="R58" s="104">
        <f t="shared" si="76"/>
        <v>1162.3330694430681</v>
      </c>
      <c r="S58" s="149">
        <f t="shared" si="76"/>
        <v>1162.3330694430681</v>
      </c>
      <c r="T58" s="104">
        <f t="shared" si="76"/>
        <v>1162.3330694430681</v>
      </c>
      <c r="U58" s="104">
        <f t="shared" si="76"/>
        <v>1162.3330694430681</v>
      </c>
      <c r="V58" s="104">
        <f t="shared" si="76"/>
        <v>1162.3330694430681</v>
      </c>
      <c r="W58" s="149">
        <f t="shared" si="76"/>
        <v>1162.3330694430681</v>
      </c>
      <c r="X58" s="104">
        <f t="shared" si="76"/>
        <v>1162.3330694430681</v>
      </c>
      <c r="Y58" s="104">
        <f t="shared" si="76"/>
        <v>1162.3330694430681</v>
      </c>
      <c r="Z58" s="104">
        <f t="shared" si="76"/>
        <v>1162.3330694430681</v>
      </c>
      <c r="AA58" s="149">
        <f t="shared" si="76"/>
        <v>1162.3330694430681</v>
      </c>
      <c r="AB58" s="95"/>
    </row>
    <row r="59" spans="1:28" s="171" customFormat="1" ht="12" x14ac:dyDescent="0.3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4.4416330530829828E-3</v>
      </c>
      <c r="M59" s="239">
        <f t="shared" ref="M59" si="78">(M58/L58)-1</f>
        <v>-7.521453318639848E-3</v>
      </c>
      <c r="N59" s="239">
        <f t="shared" ref="N59" si="79">(N58/M58)-1</f>
        <v>-2.4241626504025726E-2</v>
      </c>
      <c r="O59" s="256">
        <f t="shared" ref="O59" si="80">(O58/N58)-1</f>
        <v>-4.82304856203708E-4</v>
      </c>
      <c r="P59" s="239">
        <f t="shared" ref="P59" si="81">(P58/O58)-1</f>
        <v>0</v>
      </c>
      <c r="Q59" s="239">
        <f t="shared" ref="Q59" si="82">(Q58/P58)-1</f>
        <v>0</v>
      </c>
      <c r="R59" s="239">
        <f t="shared" ref="R59" si="83">(R58/Q58)-1</f>
        <v>0</v>
      </c>
      <c r="S59" s="256">
        <f t="shared" ref="S59" si="84">(S58/R58)-1</f>
        <v>0</v>
      </c>
      <c r="T59" s="239">
        <f t="shared" ref="T59" si="85">(T58/S58)-1</f>
        <v>0</v>
      </c>
      <c r="U59" s="239">
        <f t="shared" ref="U59" si="86">(U58/T58)-1</f>
        <v>0</v>
      </c>
      <c r="V59" s="239">
        <f t="shared" ref="V59" si="87">(V58/U58)-1</f>
        <v>0</v>
      </c>
      <c r="W59" s="256">
        <f t="shared" ref="W59" si="88">(W58/V58)-1</f>
        <v>0</v>
      </c>
      <c r="X59" s="239">
        <f t="shared" ref="X59" si="89">(X58/W58)-1</f>
        <v>0</v>
      </c>
      <c r="Y59" s="239">
        <f t="shared" ref="Y59" si="90">(Y58/X58)-1</f>
        <v>0</v>
      </c>
      <c r="Z59" s="239">
        <f t="shared" ref="Z59" si="91">(Z58/Y58)-1</f>
        <v>0</v>
      </c>
      <c r="AA59" s="256">
        <f t="shared" ref="AA59" si="92">(AA58/Z58)-1</f>
        <v>0</v>
      </c>
      <c r="AB59" s="253"/>
    </row>
    <row r="60" spans="1:28" s="97" customFormat="1" x14ac:dyDescent="0.35">
      <c r="B60" s="99" t="s">
        <v>179</v>
      </c>
      <c r="D60" s="103"/>
      <c r="E60" s="225"/>
      <c r="F60" s="225">
        <f t="shared" ref="F60" si="93">F57-F58</f>
        <v>594.45100000000002</v>
      </c>
      <c r="G60" s="150">
        <f t="shared" ref="G60" si="94">G57-G58</f>
        <v>314.07836196786297</v>
      </c>
      <c r="H60" s="225">
        <f t="shared" ref="H60" si="95">H57-H58</f>
        <v>1723.7267533528009</v>
      </c>
      <c r="I60" s="225">
        <f t="shared" ref="I60" si="96">I57-I58</f>
        <v>517.2278108710334</v>
      </c>
      <c r="J60" s="225">
        <f t="shared" ref="J60" si="97">J57-J58</f>
        <v>495.34254097599887</v>
      </c>
      <c r="K60" s="275">
        <f t="shared" ref="K60" si="98">K57-K58</f>
        <v>463.78244356721166</v>
      </c>
      <c r="L60" s="225">
        <f t="shared" ref="L60:AA60" si="99">L57-L58</f>
        <v>465.84239499799924</v>
      </c>
      <c r="M60" s="225">
        <f t="shared" si="99"/>
        <v>462.33858317017825</v>
      </c>
      <c r="N60" s="225">
        <f t="shared" si="99"/>
        <v>451.1307439185664</v>
      </c>
      <c r="O60" s="150">
        <f t="shared" si="99"/>
        <v>450.91316136999171</v>
      </c>
      <c r="P60" s="225">
        <f t="shared" si="99"/>
        <v>450.91316136999171</v>
      </c>
      <c r="Q60" s="225">
        <f t="shared" si="99"/>
        <v>450.91316136999171</v>
      </c>
      <c r="R60" s="225">
        <f t="shared" si="99"/>
        <v>450.91316136999171</v>
      </c>
      <c r="S60" s="150">
        <f t="shared" si="99"/>
        <v>450.91316136999171</v>
      </c>
      <c r="T60" s="225">
        <f t="shared" si="99"/>
        <v>450.91316136999171</v>
      </c>
      <c r="U60" s="225">
        <f t="shared" si="99"/>
        <v>450.91316136999171</v>
      </c>
      <c r="V60" s="225">
        <f t="shared" si="99"/>
        <v>450.91316136999171</v>
      </c>
      <c r="W60" s="150">
        <f t="shared" si="99"/>
        <v>450.91316136999171</v>
      </c>
      <c r="X60" s="225">
        <f t="shared" si="99"/>
        <v>450.91316136999171</v>
      </c>
      <c r="Y60" s="225">
        <f t="shared" si="99"/>
        <v>450.91316136999171</v>
      </c>
      <c r="Z60" s="225">
        <f t="shared" si="99"/>
        <v>450.91316136999171</v>
      </c>
      <c r="AA60" s="150">
        <f t="shared" si="99"/>
        <v>450.91316136999171</v>
      </c>
      <c r="AB60" s="254"/>
    </row>
    <row r="61" spans="1:28" s="97" customFormat="1" x14ac:dyDescent="0.35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35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8.5" x14ac:dyDescent="0.4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212</v>
      </c>
      <c r="D64" s="100"/>
      <c r="E64" s="104">
        <f>main!L48/1000</f>
        <v>1086.548</v>
      </c>
      <c r="F64" s="104">
        <f>main!M48/1000</f>
        <v>1213.308</v>
      </c>
      <c r="G64" s="149">
        <f>main!N48/1000</f>
        <v>382.93200834658188</v>
      </c>
      <c r="H64" s="104">
        <f>main!O48/1000</f>
        <v>500.25024999999999</v>
      </c>
      <c r="I64" s="104">
        <f>main!P48/1000</f>
        <v>500.25024999999999</v>
      </c>
      <c r="J64" s="104">
        <f>main!Q48/1000</f>
        <v>500.25024999999999</v>
      </c>
      <c r="K64" s="149">
        <f>main!R48/1000</f>
        <v>100.25024999999999</v>
      </c>
      <c r="L64" s="232">
        <f>main!S48/1000</f>
        <v>74.830250000000007</v>
      </c>
      <c r="M64" s="240">
        <f>L64*(1+M66)</f>
        <v>75.157160582543469</v>
      </c>
      <c r="N64" s="240">
        <f>M64*(1+N66)</f>
        <v>75.488247723052112</v>
      </c>
      <c r="O64" s="257">
        <f>N64*(1+O66)</f>
        <v>75.823511421525808</v>
      </c>
      <c r="P64" s="240">
        <f>O64*(1+P66)</f>
        <v>76.163711052140215</v>
      </c>
      <c r="Q64" s="240">
        <f t="shared" ref="Q64:AA64" si="100">P64*(1+Q66)</f>
        <v>76.505429431105526</v>
      </c>
      <c r="R64" s="240">
        <f t="shared" si="100"/>
        <v>76.852083742211434</v>
      </c>
      <c r="S64" s="257">
        <f t="shared" si="100"/>
        <v>77.203673985457925</v>
      </c>
      <c r="T64" s="240">
        <f t="shared" si="100"/>
        <v>77.559061099581882</v>
      </c>
      <c r="U64" s="240">
        <f t="shared" si="100"/>
        <v>77.91520758788127</v>
      </c>
      <c r="V64" s="240">
        <f t="shared" si="100"/>
        <v>78.27325251161939</v>
      </c>
      <c r="W64" s="257">
        <f t="shared" si="100"/>
        <v>78.633195870796172</v>
      </c>
      <c r="X64" s="240">
        <f t="shared" si="100"/>
        <v>78.993898604148441</v>
      </c>
      <c r="Y64" s="240">
        <f t="shared" si="100"/>
        <v>79.35270290206202</v>
      </c>
      <c r="Z64" s="240">
        <f t="shared" si="100"/>
        <v>79.711886887063343</v>
      </c>
      <c r="AA64" s="257">
        <f t="shared" si="100"/>
        <v>80.071070872064709</v>
      </c>
      <c r="AB64" s="95"/>
    </row>
    <row r="65" spans="1:32" x14ac:dyDescent="0.35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1212.7</v>
      </c>
      <c r="G65" s="149">
        <f t="shared" si="101"/>
        <v>1216.671484401355</v>
      </c>
      <c r="H65" s="104">
        <f t="shared" si="101"/>
        <v>1220.7940236769309</v>
      </c>
      <c r="I65" s="104">
        <f t="shared" si="101"/>
        <v>1225.20608479476</v>
      </c>
      <c r="J65" s="104">
        <f t="shared" si="101"/>
        <v>1229.970607285768</v>
      </c>
      <c r="K65" s="149">
        <f t="shared" si="101"/>
        <v>1235.106473009233</v>
      </c>
      <c r="L65" s="232">
        <f t="shared" si="101"/>
        <v>1240.437451278565</v>
      </c>
      <c r="M65" s="104">
        <f t="shared" si="101"/>
        <v>1245.8565448911911</v>
      </c>
      <c r="N65" s="104">
        <f t="shared" si="101"/>
        <v>1251.3448719878349</v>
      </c>
      <c r="O65" s="149">
        <f t="shared" si="101"/>
        <v>1256.902432568495</v>
      </c>
      <c r="P65" s="104">
        <f t="shared" si="101"/>
        <v>1262.5418145393589</v>
      </c>
      <c r="Q65" s="104">
        <f t="shared" si="101"/>
        <v>1268.206372322592</v>
      </c>
      <c r="R65" s="104">
        <f t="shared" si="101"/>
        <v>1273.9527514960271</v>
      </c>
      <c r="S65" s="149">
        <f t="shared" si="101"/>
        <v>1279.7809520596641</v>
      </c>
      <c r="T65" s="104">
        <f t="shared" si="101"/>
        <v>1285.6720921542269</v>
      </c>
      <c r="U65" s="104">
        <f t="shared" si="101"/>
        <v>1291.5758201549741</v>
      </c>
      <c r="V65" s="104">
        <f t="shared" si="101"/>
        <v>1297.511017921184</v>
      </c>
      <c r="W65" s="149">
        <f t="shared" si="101"/>
        <v>1303.4776854528559</v>
      </c>
      <c r="X65" s="104">
        <f t="shared" si="101"/>
        <v>1309.456940890713</v>
      </c>
      <c r="Y65" s="104">
        <f t="shared" si="101"/>
        <v>1315.4047265631079</v>
      </c>
      <c r="Z65" s="104">
        <f t="shared" si="101"/>
        <v>1321.3588061885951</v>
      </c>
      <c r="AA65" s="149">
        <f t="shared" si="101"/>
        <v>1327.3128858140831</v>
      </c>
      <c r="AB65" s="95"/>
    </row>
    <row r="66" spans="1:32" s="171" customFormat="1" ht="12" x14ac:dyDescent="0.3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4.3686955815791517E-3</v>
      </c>
      <c r="N66" s="239">
        <f t="shared" si="102"/>
        <v>4.4052640885097194E-3</v>
      </c>
      <c r="O66" s="256">
        <f t="shared" si="102"/>
        <v>4.4412701127161114E-3</v>
      </c>
      <c r="P66" s="239">
        <f t="shared" si="102"/>
        <v>4.486730095143443E-3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4.5748953850861529E-3</v>
      </c>
      <c r="T66" s="239">
        <f t="shared" si="102"/>
        <v>4.6032409570417876E-3</v>
      </c>
      <c r="U66" s="239">
        <f t="shared" si="102"/>
        <v>4.591939139672041E-3</v>
      </c>
      <c r="V66" s="239">
        <f t="shared" si="102"/>
        <v>4.595315020296642E-3</v>
      </c>
      <c r="W66" s="256">
        <f t="shared" si="102"/>
        <v>4.5985486437190026E-3</v>
      </c>
      <c r="X66" s="239">
        <f t="shared" si="102"/>
        <v>4.5871559633026138E-3</v>
      </c>
      <c r="Y66" s="239">
        <f t="shared" si="102"/>
        <v>4.5421773612113192E-3</v>
      </c>
      <c r="Z66" s="239">
        <f t="shared" si="102"/>
        <v>4.5264240771309971E-3</v>
      </c>
      <c r="AA66" s="256">
        <f t="shared" si="102"/>
        <v>4.5060278840252099E-3</v>
      </c>
      <c r="AB66" s="253"/>
    </row>
    <row r="67" spans="1:32" s="97" customFormat="1" x14ac:dyDescent="0.35">
      <c r="B67" s="99" t="s">
        <v>179</v>
      </c>
      <c r="D67" s="103"/>
      <c r="E67" s="225"/>
      <c r="F67" s="225">
        <f>F64-F65</f>
        <v>0.60799999999994725</v>
      </c>
      <c r="G67" s="150">
        <f t="shared" ref="G67:AA67" si="103">G64-G65</f>
        <v>-833.73947605477315</v>
      </c>
      <c r="H67" s="225">
        <f t="shared" si="103"/>
        <v>-720.54377367693087</v>
      </c>
      <c r="I67" s="225">
        <f t="shared" si="103"/>
        <v>-724.95583479475999</v>
      </c>
      <c r="J67" s="225">
        <f t="shared" si="103"/>
        <v>-729.72035728576793</v>
      </c>
      <c r="K67" s="150">
        <f t="shared" si="103"/>
        <v>-1134.856223009233</v>
      </c>
      <c r="L67" s="225">
        <f t="shared" si="103"/>
        <v>-1165.6072012785651</v>
      </c>
      <c r="M67" s="225">
        <f t="shared" si="103"/>
        <v>-1170.6993843086477</v>
      </c>
      <c r="N67" s="225">
        <f t="shared" si="103"/>
        <v>-1175.8566242647828</v>
      </c>
      <c r="O67" s="150">
        <f t="shared" si="103"/>
        <v>-1181.0789211469692</v>
      </c>
      <c r="P67" s="225">
        <f t="shared" si="103"/>
        <v>-1186.3781034872188</v>
      </c>
      <c r="Q67" s="225">
        <f t="shared" si="103"/>
        <v>-1191.7009428914864</v>
      </c>
      <c r="R67" s="225">
        <f t="shared" si="103"/>
        <v>-1197.1006677538157</v>
      </c>
      <c r="S67" s="150">
        <f t="shared" si="103"/>
        <v>-1202.5772780742061</v>
      </c>
      <c r="T67" s="225">
        <f t="shared" si="103"/>
        <v>-1208.113031054645</v>
      </c>
      <c r="U67" s="225">
        <f t="shared" si="103"/>
        <v>-1213.6606125670928</v>
      </c>
      <c r="V67" s="225">
        <f t="shared" si="103"/>
        <v>-1219.2377654095646</v>
      </c>
      <c r="W67" s="150">
        <f t="shared" si="103"/>
        <v>-1224.8444895820596</v>
      </c>
      <c r="X67" s="225">
        <f t="shared" si="103"/>
        <v>-1230.4630422865646</v>
      </c>
      <c r="Y67" s="225">
        <f t="shared" si="103"/>
        <v>-1236.052023661046</v>
      </c>
      <c r="Z67" s="225">
        <f t="shared" si="103"/>
        <v>-1241.6469193015316</v>
      </c>
      <c r="AA67" s="150">
        <f t="shared" si="103"/>
        <v>-1247.2418149420184</v>
      </c>
      <c r="AB67" s="225"/>
      <c r="AC67" s="225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209</v>
      </c>
      <c r="D71" s="100"/>
      <c r="E71" s="226">
        <f>main!L72/1000</f>
        <v>279.25</v>
      </c>
      <c r="F71" s="226">
        <f>main!M72/1000</f>
        <v>286.95061436735779</v>
      </c>
      <c r="G71" s="151">
        <f>main!N72/1000</f>
        <v>298.37288477706733</v>
      </c>
      <c r="H71" s="226">
        <f>main!O72/1000</f>
        <v>472.80099544764289</v>
      </c>
      <c r="I71" s="226">
        <f>main!P72/1000</f>
        <v>445.68243392207245</v>
      </c>
      <c r="J71" s="226">
        <f>main!Q72/1000</f>
        <v>446.71497613497746</v>
      </c>
      <c r="K71" s="151">
        <f>main!R72/1000</f>
        <v>251.54437969325102</v>
      </c>
      <c r="L71" s="226">
        <f>main!S72/1000</f>
        <v>247.2408068497152</v>
      </c>
      <c r="M71" s="226">
        <f>main!T72/1000</f>
        <v>248.95857178194768</v>
      </c>
      <c r="N71" s="226">
        <f>main!U72/1000</f>
        <v>250.86680125051294</v>
      </c>
      <c r="O71" s="151">
        <f>main!V72/1000</f>
        <v>252.62247677399645</v>
      </c>
      <c r="P71" s="255">
        <f>main!W72/1000</f>
        <v>254.57245802602731</v>
      </c>
      <c r="Q71" s="258">
        <f>P71*(1+Q73)</f>
        <v>266.81611601692032</v>
      </c>
      <c r="R71" s="258">
        <f t="shared" ref="R71:AA71" si="104">Q71*(1+R73)</f>
        <v>279.80337812932891</v>
      </c>
      <c r="S71" s="259">
        <f t="shared" si="104"/>
        <v>281.66851724758942</v>
      </c>
      <c r="T71" s="258">
        <f t="shared" si="104"/>
        <v>283.60929960678783</v>
      </c>
      <c r="U71" s="258">
        <f t="shared" si="104"/>
        <v>285.59477857560597</v>
      </c>
      <c r="V71" s="258">
        <f t="shared" si="104"/>
        <v>287.63695688168502</v>
      </c>
      <c r="W71" s="259">
        <f t="shared" si="104"/>
        <v>288.20265857582245</v>
      </c>
      <c r="X71" s="258">
        <f t="shared" si="104"/>
        <v>289.49562212520686</v>
      </c>
      <c r="Y71" s="258">
        <f t="shared" si="104"/>
        <v>290.12695053666232</v>
      </c>
      <c r="Z71" s="258">
        <f t="shared" si="104"/>
        <v>290.79948831348418</v>
      </c>
      <c r="AA71" s="259">
        <f t="shared" si="104"/>
        <v>291.21361923811332</v>
      </c>
      <c r="AB71" s="95"/>
    </row>
    <row r="72" spans="1:32" x14ac:dyDescent="0.35">
      <c r="B72" t="s">
        <v>178</v>
      </c>
      <c r="D72" s="102">
        <f t="shared" ref="D72:O72" si="105">D20</f>
        <v>204.37100000000001</v>
      </c>
      <c r="E72" s="104">
        <f t="shared" si="105"/>
        <v>884.2600000000001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244.4440181553536</v>
      </c>
      <c r="P72" s="232">
        <f t="shared" ref="P72:AA72" si="106">P20</f>
        <v>257.44254207870313</v>
      </c>
      <c r="Q72" s="240">
        <f t="shared" si="106"/>
        <v>269.82423671275291</v>
      </c>
      <c r="R72" s="240">
        <f t="shared" si="106"/>
        <v>282.9579189609679</v>
      </c>
      <c r="S72" s="257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3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4.8094982803054132E-2</v>
      </c>
      <c r="R73" s="239">
        <f t="shared" ref="R73" si="108">(R72/Q72)-1</f>
        <v>4.867495377072717E-2</v>
      </c>
      <c r="S73" s="256">
        <f t="shared" ref="S73" si="109">(S72/R72)-1</f>
        <v>6.6658920658149157E-3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35">
      <c r="B74" s="99" t="s">
        <v>179</v>
      </c>
      <c r="D74" s="103"/>
      <c r="E74" s="225"/>
      <c r="F74" s="225">
        <f>F71-F72</f>
        <v>44.822614367357801</v>
      </c>
      <c r="G74" s="150">
        <f t="shared" ref="G74:K74" si="118">G71-G72</f>
        <v>69.242163837897039</v>
      </c>
      <c r="H74" s="225">
        <f t="shared" si="118"/>
        <v>259.27464764872968</v>
      </c>
      <c r="I74" s="225">
        <f t="shared" si="118"/>
        <v>247.32594358351176</v>
      </c>
      <c r="J74" s="225">
        <f t="shared" si="118"/>
        <v>262.94898901689669</v>
      </c>
      <c r="K74" s="150">
        <f t="shared" si="118"/>
        <v>56.491059459541219</v>
      </c>
      <c r="L74" s="225">
        <f t="shared" ref="L74:N74" si="119">L71-L72</f>
        <v>40.106394189216502</v>
      </c>
      <c r="M74" s="225">
        <f t="shared" si="119"/>
        <v>29.661254484149993</v>
      </c>
      <c r="N74" s="225">
        <f t="shared" si="119"/>
        <v>18.676309913851043</v>
      </c>
      <c r="O74" s="150">
        <f t="shared" ref="O74:AA74" si="120">O71-O72</f>
        <v>8.1784586186428498</v>
      </c>
      <c r="P74" s="249">
        <f t="shared" si="120"/>
        <v>-2.8700840526758213</v>
      </c>
      <c r="Q74" s="260">
        <f t="shared" si="120"/>
        <v>-3.0081206958325879</v>
      </c>
      <c r="R74" s="260">
        <f t="shared" si="120"/>
        <v>-3.1545408316389967</v>
      </c>
      <c r="S74" s="261">
        <f t="shared" si="120"/>
        <v>-3.1755686603398772</v>
      </c>
      <c r="T74" s="260">
        <f t="shared" si="120"/>
        <v>-3.1974493010895912</v>
      </c>
      <c r="U74" s="260">
        <f t="shared" si="120"/>
        <v>-3.2198338574140166</v>
      </c>
      <c r="V74" s="260">
        <f t="shared" si="120"/>
        <v>-3.2428576496751589</v>
      </c>
      <c r="W74" s="261">
        <f t="shared" si="120"/>
        <v>-3.2492354464859545</v>
      </c>
      <c r="X74" s="260">
        <f t="shared" si="120"/>
        <v>-3.2638124910435522</v>
      </c>
      <c r="Y74" s="260">
        <f t="shared" si="120"/>
        <v>-3.2709301722717896</v>
      </c>
      <c r="Z74" s="260">
        <f t="shared" si="120"/>
        <v>-3.2785124534150327</v>
      </c>
      <c r="AA74" s="261">
        <f t="shared" si="120"/>
        <v>-3.2831814210312018</v>
      </c>
      <c r="AB74" s="254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M24"/>
  <sheetViews>
    <sheetView topLeftCell="E1" zoomScale="120" zoomScaleNormal="120" workbookViewId="0">
      <selection activeCell="L12" sqref="L12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3" x14ac:dyDescent="0.35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</row>
    <row r="2" spans="1:13" x14ac:dyDescent="0.35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TRANSPOSE(main!L36:P36)/1000</f>
        <v>834.93333333333328</v>
      </c>
      <c r="M2" cm="1">
        <f t="array" ref="M2:M12">TRANSPOSE(main!L40:V40)/1000</f>
        <v>277.60000000000002</v>
      </c>
    </row>
    <row r="3" spans="1:13" x14ac:dyDescent="0.35">
      <c r="A3" s="190">
        <v>44104</v>
      </c>
      <c r="B3" s="102">
        <f t="array" ref="B3:B24">TRANSPOSE('add-ons calculations'!F27:AA27)</f>
        <v>-22.257396859939746</v>
      </c>
      <c r="C3">
        <f t="array" ref="C3:C24">TRANSPOSE('add-ons calculations'!F34:AA34)</f>
        <v>-591.10500000000002</v>
      </c>
      <c r="D3">
        <f t="array" ref="D3:D24">TRANSPOSE('add-ons calculations'!F40:AA40)</f>
        <v>4.5999999999821739E-2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594.45100000000002</v>
      </c>
      <c r="H3">
        <f t="array" ref="H3:H24">TRANSPOSE('add-ons calculations'!F67:AA67)</f>
        <v>0.60799999999994725</v>
      </c>
      <c r="I3">
        <f t="array" ref="I3:I24">TRANSPOSE('add-ons calculations'!F74:AA74)</f>
        <v>44.822614367357801</v>
      </c>
      <c r="J3" s="102">
        <f>'add-ons calculations'!F71</f>
        <v>286.95061436735779</v>
      </c>
      <c r="K3" s="102" cm="1">
        <f t="array" ref="K3:K12">TRANSPOSE(main!M34:V34)/1000</f>
        <v>874.87800000000004</v>
      </c>
      <c r="L3">
        <v>738.2</v>
      </c>
      <c r="M3">
        <v>140</v>
      </c>
    </row>
    <row r="4" spans="1:13" x14ac:dyDescent="0.35">
      <c r="A4" s="190">
        <v>44196</v>
      </c>
      <c r="B4">
        <v>-26.789650629444708</v>
      </c>
      <c r="C4">
        <v>-630.45068126596811</v>
      </c>
      <c r="D4">
        <v>9.1220108456809612E-2</v>
      </c>
      <c r="E4">
        <v>1.9071502101439819E-3</v>
      </c>
      <c r="F4">
        <v>39.284047628965254</v>
      </c>
      <c r="G4">
        <v>314.07836196786297</v>
      </c>
      <c r="H4">
        <v>-833.73947605477315</v>
      </c>
      <c r="I4">
        <v>69.242163837897039</v>
      </c>
      <c r="J4" s="102"/>
      <c r="K4" s="102">
        <v>337.8</v>
      </c>
      <c r="L4">
        <v>257.8</v>
      </c>
      <c r="M4">
        <v>80</v>
      </c>
    </row>
    <row r="5" spans="1:13" x14ac:dyDescent="0.35">
      <c r="A5" s="190">
        <v>44286</v>
      </c>
      <c r="B5">
        <v>-32.762764634016577</v>
      </c>
      <c r="C5">
        <v>-627.6397000131858</v>
      </c>
      <c r="D5">
        <v>9.2732986063538192E-2</v>
      </c>
      <c r="E5">
        <v>1.9387801313541786E-3</v>
      </c>
      <c r="F5">
        <v>53.362256246811285</v>
      </c>
      <c r="G5">
        <v>1723.7267533528009</v>
      </c>
      <c r="H5">
        <v>-720.54377367693087</v>
      </c>
      <c r="I5">
        <v>259.27464764872968</v>
      </c>
      <c r="K5">
        <v>964</v>
      </c>
      <c r="L5">
        <v>904</v>
      </c>
      <c r="M5">
        <v>60</v>
      </c>
    </row>
    <row r="6" spans="1:13" x14ac:dyDescent="0.35">
      <c r="A6" s="190">
        <v>44377</v>
      </c>
      <c r="B6">
        <v>-40.594652008438686</v>
      </c>
      <c r="C6">
        <v>-620.837644585357</v>
      </c>
      <c r="D6">
        <v>9.4207574237998415E-2</v>
      </c>
      <c r="E6">
        <v>1.969609530561911E-3</v>
      </c>
      <c r="F6">
        <v>63.467484623819473</v>
      </c>
      <c r="G6">
        <v>517.2278108710334</v>
      </c>
      <c r="H6">
        <v>-724.95583479475999</v>
      </c>
      <c r="I6">
        <v>247.32594358351176</v>
      </c>
      <c r="K6">
        <v>152</v>
      </c>
      <c r="L6">
        <v>108</v>
      </c>
      <c r="M6">
        <v>44</v>
      </c>
    </row>
    <row r="7" spans="1:13" x14ac:dyDescent="0.35">
      <c r="A7" s="190">
        <v>44469</v>
      </c>
      <c r="B7">
        <v>-48.426539382860597</v>
      </c>
      <c r="C7">
        <v>-601.63274124276234</v>
      </c>
      <c r="D7">
        <v>9.5783673922369417E-2</v>
      </c>
      <c r="E7">
        <v>2.0025612436285201E-3</v>
      </c>
      <c r="F7">
        <v>68.411854322616591</v>
      </c>
      <c r="G7">
        <v>495.34254097599887</v>
      </c>
      <c r="H7">
        <v>-729.72035728576793</v>
      </c>
      <c r="I7">
        <v>262.94898901689669</v>
      </c>
      <c r="K7">
        <v>44</v>
      </c>
      <c r="L7">
        <v>0</v>
      </c>
      <c r="M7">
        <v>44</v>
      </c>
    </row>
    <row r="8" spans="1:13" x14ac:dyDescent="0.35">
      <c r="A8" s="190">
        <v>44561</v>
      </c>
      <c r="B8">
        <v>-46.071944194504397</v>
      </c>
      <c r="C8">
        <v>-620.38250935733299</v>
      </c>
      <c r="D8">
        <v>9.6839304535023984E-2</v>
      </c>
      <c r="E8">
        <v>2.024631444953684E-3</v>
      </c>
      <c r="F8">
        <v>70.152221482738696</v>
      </c>
      <c r="G8">
        <v>463.78244356721166</v>
      </c>
      <c r="H8">
        <v>-1134.856223009233</v>
      </c>
      <c r="I8">
        <v>56.491059459541219</v>
      </c>
      <c r="K8">
        <v>44</v>
      </c>
      <c r="L8">
        <v>0</v>
      </c>
      <c r="M8">
        <v>44</v>
      </c>
    </row>
    <row r="9" spans="1:13" x14ac:dyDescent="0.35">
      <c r="A9" s="190">
        <v>44651</v>
      </c>
      <c r="B9">
        <v>-0.30296205657262476</v>
      </c>
      <c r="C9">
        <v>-642.84660678631462</v>
      </c>
      <c r="D9">
        <v>0</v>
      </c>
      <c r="E9">
        <v>0</v>
      </c>
      <c r="F9">
        <v>71.892588642860801</v>
      </c>
      <c r="G9">
        <v>465.84239499799924</v>
      </c>
      <c r="H9">
        <v>-1165.6072012785651</v>
      </c>
      <c r="I9">
        <v>40.106394189216502</v>
      </c>
      <c r="K9">
        <v>44</v>
      </c>
      <c r="L9">
        <v>0</v>
      </c>
      <c r="M9">
        <v>44</v>
      </c>
    </row>
    <row r="10" spans="1:13" x14ac:dyDescent="0.35">
      <c r="A10" s="190">
        <v>44742</v>
      </c>
      <c r="B10">
        <v>2.0516331317836602</v>
      </c>
      <c r="C10">
        <v>-662.07651217129251</v>
      </c>
      <c r="D10">
        <v>0</v>
      </c>
      <c r="E10">
        <v>0</v>
      </c>
      <c r="F10">
        <v>73.632955802982906</v>
      </c>
      <c r="G10">
        <v>462.33858317017825</v>
      </c>
      <c r="H10">
        <v>-1170.6993843086477</v>
      </c>
      <c r="I10">
        <v>29.661254484149993</v>
      </c>
      <c r="K10">
        <v>44</v>
      </c>
      <c r="L10">
        <v>0</v>
      </c>
      <c r="M10">
        <v>44</v>
      </c>
    </row>
    <row r="11" spans="1:13" x14ac:dyDescent="0.35">
      <c r="A11" s="190">
        <v>44834</v>
      </c>
      <c r="B11">
        <v>2.0305832892202886</v>
      </c>
      <c r="C11">
        <v>-680.01051493350417</v>
      </c>
      <c r="D11">
        <v>0</v>
      </c>
      <c r="E11">
        <v>0</v>
      </c>
      <c r="F11">
        <v>75.373322963105011</v>
      </c>
      <c r="G11">
        <v>451.1307439185664</v>
      </c>
      <c r="H11">
        <v>-1175.8566242647828</v>
      </c>
      <c r="I11">
        <v>18.676309913851043</v>
      </c>
      <c r="K11">
        <v>44</v>
      </c>
      <c r="L11">
        <v>0</v>
      </c>
      <c r="M11">
        <v>44</v>
      </c>
    </row>
    <row r="12" spans="1:13" x14ac:dyDescent="0.35">
      <c r="A12" s="190">
        <v>44926</v>
      </c>
      <c r="B12">
        <v>2.0097400394941758</v>
      </c>
      <c r="C12">
        <v>-696.48492380078505</v>
      </c>
      <c r="D12">
        <v>0</v>
      </c>
      <c r="E12">
        <v>0</v>
      </c>
      <c r="F12">
        <v>75.586446231400942</v>
      </c>
      <c r="G12">
        <v>450.91316136999171</v>
      </c>
      <c r="H12">
        <v>-1181.0789211469692</v>
      </c>
      <c r="I12">
        <v>8.1784586186428498</v>
      </c>
      <c r="K12">
        <v>44</v>
      </c>
      <c r="M12">
        <v>44</v>
      </c>
    </row>
    <row r="13" spans="1:13" x14ac:dyDescent="0.35">
      <c r="A13" s="190">
        <v>45016</v>
      </c>
      <c r="B13">
        <v>1.9888967897680345</v>
      </c>
      <c r="C13">
        <v>-817.67623215503761</v>
      </c>
      <c r="D13">
        <v>0</v>
      </c>
      <c r="E13">
        <v>0</v>
      </c>
      <c r="F13">
        <v>75.799569499696645</v>
      </c>
      <c r="G13">
        <v>450.91316136999171</v>
      </c>
      <c r="H13">
        <v>-1186.3781034872188</v>
      </c>
      <c r="I13">
        <v>-2.8700840526758213</v>
      </c>
    </row>
    <row r="14" spans="1:13" x14ac:dyDescent="0.35">
      <c r="A14" s="190">
        <v>45107</v>
      </c>
      <c r="B14">
        <v>1.9680535400418933</v>
      </c>
      <c r="C14">
        <v>-835.96322772532972</v>
      </c>
      <c r="D14">
        <v>0</v>
      </c>
      <c r="E14">
        <v>0</v>
      </c>
      <c r="F14">
        <v>76.012692767992348</v>
      </c>
      <c r="G14">
        <v>450.91316136999171</v>
      </c>
      <c r="H14">
        <v>-1191.7009428914864</v>
      </c>
      <c r="I14">
        <v>-3.0081206958325879</v>
      </c>
    </row>
    <row r="15" spans="1:13" x14ac:dyDescent="0.35">
      <c r="A15" s="190">
        <v>45199</v>
      </c>
      <c r="B15">
        <v>1.9472102903157804</v>
      </c>
      <c r="C15">
        <v>-854.1375918451696</v>
      </c>
      <c r="D15">
        <v>0</v>
      </c>
      <c r="E15">
        <v>0</v>
      </c>
      <c r="F15">
        <v>76.225816036288279</v>
      </c>
      <c r="G15">
        <v>450.91316136999171</v>
      </c>
      <c r="H15">
        <v>-1197.1006677538157</v>
      </c>
      <c r="I15">
        <v>-3.1545408316389967</v>
      </c>
    </row>
    <row r="16" spans="1:13" x14ac:dyDescent="0.35">
      <c r="A16" s="190">
        <v>45291</v>
      </c>
      <c r="B16">
        <v>1.9691524171809078</v>
      </c>
      <c r="C16">
        <v>-859.85618944066186</v>
      </c>
      <c r="D16">
        <v>0</v>
      </c>
      <c r="E16">
        <v>0</v>
      </c>
      <c r="F16">
        <v>76.806290770357236</v>
      </c>
      <c r="G16">
        <v>450.91316136999171</v>
      </c>
      <c r="H16">
        <v>-1202.5772780742061</v>
      </c>
      <c r="I16">
        <v>-3.1755686603398772</v>
      </c>
    </row>
    <row r="17" spans="1:9" x14ac:dyDescent="0.35">
      <c r="A17" s="190">
        <v>45382</v>
      </c>
      <c r="B17">
        <v>1.9910945440460637</v>
      </c>
      <c r="C17">
        <v>-866.25057573887523</v>
      </c>
      <c r="D17">
        <v>0</v>
      </c>
      <c r="E17">
        <v>0</v>
      </c>
      <c r="F17">
        <v>77.386765504425966</v>
      </c>
      <c r="G17">
        <v>450.91316136999171</v>
      </c>
      <c r="H17">
        <v>-1208.113031054645</v>
      </c>
      <c r="I17">
        <v>-3.1974493010895912</v>
      </c>
    </row>
    <row r="18" spans="1:9" x14ac:dyDescent="0.35">
      <c r="A18" s="190">
        <v>45473</v>
      </c>
      <c r="B18">
        <v>2.0130366709111911</v>
      </c>
      <c r="C18">
        <v>-873.2644350145722</v>
      </c>
      <c r="D18">
        <v>0</v>
      </c>
      <c r="E18">
        <v>0</v>
      </c>
      <c r="F18">
        <v>77.967240238494924</v>
      </c>
      <c r="G18">
        <v>450.91316136999171</v>
      </c>
      <c r="H18">
        <v>-1213.6606125670928</v>
      </c>
      <c r="I18">
        <v>-3.2198338574140166</v>
      </c>
    </row>
    <row r="19" spans="1:9" x14ac:dyDescent="0.35">
      <c r="A19" s="190">
        <v>45565</v>
      </c>
      <c r="B19">
        <v>2.0349787977763469</v>
      </c>
      <c r="C19">
        <v>-881.17934589388699</v>
      </c>
      <c r="D19">
        <v>0</v>
      </c>
      <c r="E19">
        <v>0</v>
      </c>
      <c r="F19">
        <v>78.547714972563881</v>
      </c>
      <c r="G19">
        <v>450.91316136999171</v>
      </c>
      <c r="H19">
        <v>-1219.2377654095646</v>
      </c>
      <c r="I19">
        <v>-3.2428576496751589</v>
      </c>
    </row>
    <row r="20" spans="1:9" x14ac:dyDescent="0.35">
      <c r="A20" s="190">
        <v>45657</v>
      </c>
      <c r="B20">
        <v>2.0627743883631524</v>
      </c>
      <c r="C20">
        <v>-887.54372249410221</v>
      </c>
      <c r="D20">
        <v>0</v>
      </c>
      <c r="E20">
        <v>0</v>
      </c>
      <c r="F20">
        <v>80.42363380420511</v>
      </c>
      <c r="G20">
        <v>450.91316136999171</v>
      </c>
      <c r="H20">
        <v>-1224.8444895820596</v>
      </c>
      <c r="I20">
        <v>-3.2492354464859545</v>
      </c>
    </row>
    <row r="21" spans="1:9" x14ac:dyDescent="0.35">
      <c r="A21" s="190">
        <v>45747</v>
      </c>
      <c r="B21">
        <v>2.0905699789499579</v>
      </c>
      <c r="C21">
        <v>-893.79546764386509</v>
      </c>
      <c r="D21">
        <v>0</v>
      </c>
      <c r="E21">
        <v>0</v>
      </c>
      <c r="F21">
        <v>82.299552635846567</v>
      </c>
      <c r="G21">
        <v>450.91316136999171</v>
      </c>
      <c r="H21">
        <v>-1230.4630422865646</v>
      </c>
      <c r="I21">
        <v>-3.2638124910435522</v>
      </c>
    </row>
    <row r="22" spans="1:9" x14ac:dyDescent="0.35">
      <c r="A22" s="190">
        <v>45838</v>
      </c>
      <c r="B22">
        <v>2.1183655695367065</v>
      </c>
      <c r="C22">
        <v>-900.49773859542927</v>
      </c>
      <c r="D22">
        <v>0</v>
      </c>
      <c r="E22">
        <v>0</v>
      </c>
      <c r="F22">
        <v>84.175471467487796</v>
      </c>
      <c r="G22">
        <v>450.91316136999171</v>
      </c>
      <c r="H22">
        <v>-1236.052023661046</v>
      </c>
      <c r="I22">
        <v>-3.2709301722717896</v>
      </c>
    </row>
    <row r="23" spans="1:9" x14ac:dyDescent="0.35">
      <c r="A23" s="190">
        <v>45930</v>
      </c>
      <c r="B23">
        <v>2.1461611601234836</v>
      </c>
      <c r="C23">
        <v>-907.70685107403244</v>
      </c>
      <c r="D23">
        <v>0</v>
      </c>
      <c r="E23">
        <v>0</v>
      </c>
      <c r="F23">
        <v>86.051390299129253</v>
      </c>
      <c r="G23">
        <v>450.91316136999171</v>
      </c>
      <c r="H23">
        <v>-1241.6469193015316</v>
      </c>
      <c r="I23">
        <v>-3.2785124534150327</v>
      </c>
    </row>
    <row r="24" spans="1:9" x14ac:dyDescent="0.35">
      <c r="A24" s="190">
        <v>46022</v>
      </c>
      <c r="B24">
        <v>2.1750851411117083</v>
      </c>
      <c r="C24">
        <v>-915.03501956812443</v>
      </c>
      <c r="D24">
        <v>0</v>
      </c>
      <c r="E24">
        <v>0</v>
      </c>
      <c r="F24">
        <v>87.452518457736005</v>
      </c>
      <c r="G24">
        <v>450.91316136999171</v>
      </c>
      <c r="H24">
        <v>-1247.2418149420184</v>
      </c>
      <c r="I24">
        <v>-3.2831814210312018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6" sqref="L6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285" t="s">
        <v>21</v>
      </c>
      <c r="E1" s="285"/>
      <c r="F1" s="285"/>
      <c r="G1" s="285"/>
      <c r="H1" s="285" t="s">
        <v>9</v>
      </c>
      <c r="I1" s="285"/>
      <c r="J1" s="285"/>
      <c r="K1" s="285"/>
      <c r="L1" s="285" t="s">
        <v>10</v>
      </c>
      <c r="M1" s="285"/>
      <c r="N1" s="285"/>
      <c r="O1" s="285"/>
      <c r="P1" s="285" t="s">
        <v>11</v>
      </c>
      <c r="Q1" s="285"/>
      <c r="R1" s="285"/>
      <c r="S1" s="285"/>
      <c r="T1" s="285" t="s">
        <v>268</v>
      </c>
      <c r="U1" s="285"/>
      <c r="V1" s="285"/>
      <c r="W1" s="285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3488125</v>
      </c>
      <c r="L3" s="266">
        <f>main!N30</f>
        <v>2847845.8319988288</v>
      </c>
      <c r="M3" s="266">
        <f>main!O30</f>
        <v>3472064.9561336781</v>
      </c>
      <c r="N3" s="266">
        <f>main!P30</f>
        <v>2658305.2157637766</v>
      </c>
      <c r="O3" s="266">
        <f>main!Q30</f>
        <v>2548767.4784838995</v>
      </c>
      <c r="P3" s="266">
        <f>main!R30</f>
        <v>2601999.1665078122</v>
      </c>
      <c r="Q3" s="266">
        <f>main!S30</f>
        <v>2656541.4105371395</v>
      </c>
      <c r="R3" s="266">
        <f>main!T30</f>
        <v>2712430.6137193376</v>
      </c>
      <c r="S3" s="266">
        <f>main!U30</f>
        <v>2769704.2727967203</v>
      </c>
      <c r="T3" s="266">
        <f>main!V30</f>
        <v>0</v>
      </c>
      <c r="U3" s="266"/>
      <c r="V3" s="266"/>
      <c r="W3" s="266"/>
      <c r="AJ3" s="243"/>
    </row>
    <row r="4" spans="1:36" s="35" customFormat="1" x14ac:dyDescent="0.35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863499.75597117806</v>
      </c>
      <c r="N4" s="220">
        <f>main!P31</f>
        <v>874074.254602495</v>
      </c>
      <c r="O4" s="220">
        <f>main!Q31</f>
        <v>884778.24953132728</v>
      </c>
      <c r="P4" s="220">
        <f>main!R31</f>
        <v>913710.09912095172</v>
      </c>
      <c r="Q4" s="220">
        <f>main!S31</f>
        <v>943588.00713947637</v>
      </c>
      <c r="R4" s="220">
        <f>main!T31</f>
        <v>974442.9092707095</v>
      </c>
      <c r="S4" s="220">
        <f>main!U31</f>
        <v>1006306.7527813631</v>
      </c>
      <c r="T4" s="220">
        <f>main!V31</f>
        <v>1016447.3981375673</v>
      </c>
      <c r="U4" s="220">
        <f>main!W31</f>
        <v>1026690.2317062188</v>
      </c>
      <c r="V4" s="220">
        <f>main!X31</f>
        <v>1037036.2832472979</v>
      </c>
      <c r="W4" s="220">
        <f>main!Y31</f>
        <v>1047486.5928977706</v>
      </c>
      <c r="AJ4" s="243"/>
    </row>
    <row r="5" spans="1:36" s="35" customFormat="1" x14ac:dyDescent="0.35">
      <c r="A5" s="35" t="s">
        <v>15</v>
      </c>
      <c r="D5" s="199">
        <f>main!F81</f>
        <v>728844</v>
      </c>
      <c r="E5" s="199">
        <f>main!G81</f>
        <v>738714</v>
      </c>
      <c r="F5" s="199">
        <f>main!H81</f>
        <v>755204</v>
      </c>
      <c r="G5" s="199">
        <f>main!I81</f>
        <v>763370</v>
      </c>
      <c r="H5" s="199">
        <f>main!J81</f>
        <v>760967</v>
      </c>
      <c r="I5" s="199">
        <f>main!K81</f>
        <v>767087</v>
      </c>
      <c r="J5" s="199">
        <f>main!L81</f>
        <v>812158</v>
      </c>
      <c r="K5" s="199">
        <f>main!M81</f>
        <v>835999</v>
      </c>
      <c r="L5" s="273">
        <f>main!N81</f>
        <v>846655.9390002318</v>
      </c>
      <c r="M5" s="273">
        <f>main!O81</f>
        <v>859704.14460568153</v>
      </c>
      <c r="N5" s="273">
        <f>main!P81</f>
        <v>867211.47334407107</v>
      </c>
      <c r="O5" s="273">
        <f>main!Q81</f>
        <v>867929.66513166018</v>
      </c>
      <c r="P5" s="273">
        <f>main!R81</f>
        <v>869012.33925145073</v>
      </c>
      <c r="Q5" s="273">
        <f>main!S81</f>
        <v>870466.73148570256</v>
      </c>
      <c r="R5" s="273">
        <f>main!T81</f>
        <v>872014.07451017783</v>
      </c>
      <c r="S5" s="273">
        <f>main!U81</f>
        <v>873408.51802630571</v>
      </c>
      <c r="T5" s="273">
        <f>main!V81</f>
        <v>874637.8300734181</v>
      </c>
      <c r="U5" s="273"/>
      <c r="V5" s="273"/>
      <c r="W5" s="273"/>
      <c r="AJ5" s="269"/>
    </row>
    <row r="6" spans="1:36" s="35" customFormat="1" x14ac:dyDescent="0.35">
      <c r="A6" s="35" t="s">
        <v>214</v>
      </c>
      <c r="D6" s="199">
        <f>main!F84</f>
        <v>589819</v>
      </c>
      <c r="E6" s="199">
        <f>main!G84</f>
        <v>599372</v>
      </c>
      <c r="F6" s="199">
        <f>main!H84</f>
        <v>614976</v>
      </c>
      <c r="G6" s="199">
        <f>main!I84</f>
        <v>622265</v>
      </c>
      <c r="H6" s="199">
        <f>main!J84</f>
        <v>619632</v>
      </c>
      <c r="I6" s="199">
        <f>main!K84</f>
        <v>624096</v>
      </c>
      <c r="J6" s="199">
        <f>main!L84</f>
        <v>668823</v>
      </c>
      <c r="K6" s="199">
        <f>main!M84</f>
        <v>691267</v>
      </c>
      <c r="L6" s="35">
        <f>main!N84</f>
        <v>703733.08900023182</v>
      </c>
      <c r="M6" s="35">
        <f>main!O84</f>
        <v>716423.98748068151</v>
      </c>
      <c r="N6" s="35">
        <f>main!P84</f>
        <v>723573.11582625867</v>
      </c>
      <c r="O6" s="35">
        <f>main!Q84</f>
        <v>723573.11582625867</v>
      </c>
      <c r="P6" s="35">
        <f>main!R84</f>
        <v>723573.11582625867</v>
      </c>
      <c r="Q6" s="35">
        <f>main!S84</f>
        <v>723573.11582625867</v>
      </c>
      <c r="R6" s="35">
        <f>main!T84</f>
        <v>723573.11582625867</v>
      </c>
      <c r="S6" s="35">
        <f>main!U84</f>
        <v>723573.11582625867</v>
      </c>
      <c r="T6" s="35">
        <f>main!V84</f>
        <v>723573.11582625867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290" t="s">
        <v>208</v>
      </c>
      <c r="B1" s="291"/>
      <c r="C1" s="35"/>
      <c r="I1" s="250"/>
      <c r="J1" s="298" t="s">
        <v>282</v>
      </c>
      <c r="V1" s="285"/>
      <c r="W1" s="285"/>
      <c r="X1" s="285"/>
      <c r="Y1" s="285"/>
    </row>
    <row r="2" spans="1:27" x14ac:dyDescent="0.35">
      <c r="A2" s="292" t="s">
        <v>192</v>
      </c>
      <c r="B2" s="126"/>
      <c r="C2" t="s">
        <v>193</v>
      </c>
      <c r="H2" s="95"/>
      <c r="I2" s="251"/>
      <c r="J2" s="298"/>
    </row>
    <row r="3" spans="1:27" x14ac:dyDescent="0.35">
      <c r="A3" s="293"/>
      <c r="B3" s="127"/>
      <c r="C3" t="s">
        <v>194</v>
      </c>
      <c r="H3" s="95"/>
      <c r="I3" s="251"/>
      <c r="J3" s="298"/>
    </row>
    <row r="4" spans="1:27" x14ac:dyDescent="0.35">
      <c r="A4" s="293"/>
      <c r="B4" s="128"/>
      <c r="C4" t="s">
        <v>195</v>
      </c>
      <c r="H4" s="95"/>
      <c r="I4" s="95"/>
      <c r="J4" s="95"/>
    </row>
    <row r="5" spans="1:27" x14ac:dyDescent="0.35">
      <c r="A5" s="294"/>
      <c r="B5" s="129"/>
      <c r="C5" t="s">
        <v>182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295" t="s">
        <v>160</v>
      </c>
      <c r="D7" s="296"/>
      <c r="E7" s="296"/>
      <c r="F7" s="297"/>
      <c r="G7" s="295" t="s">
        <v>166</v>
      </c>
      <c r="H7" s="296"/>
      <c r="I7" s="296"/>
      <c r="J7" s="297"/>
      <c r="K7" s="295" t="s">
        <v>177</v>
      </c>
      <c r="L7" s="296"/>
      <c r="M7" s="296"/>
      <c r="N7" s="296"/>
      <c r="O7" s="295" t="s">
        <v>272</v>
      </c>
      <c r="P7" s="296"/>
      <c r="Q7" s="296"/>
      <c r="R7" s="296"/>
      <c r="S7" s="295" t="s">
        <v>276</v>
      </c>
      <c r="T7" s="296"/>
      <c r="U7" s="296"/>
      <c r="V7" s="296"/>
      <c r="W7" s="295" t="s">
        <v>277</v>
      </c>
      <c r="X7" s="296"/>
      <c r="Y7" s="296"/>
      <c r="Z7" s="296"/>
      <c r="AA7" s="231" t="s">
        <v>278</v>
      </c>
    </row>
    <row r="8" spans="1:27" s="268" customFormat="1" x14ac:dyDescent="0.35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x14ac:dyDescent="0.35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x14ac:dyDescent="0.35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x14ac:dyDescent="0.35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x14ac:dyDescent="0.35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x14ac:dyDescent="0.35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x14ac:dyDescent="0.35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x14ac:dyDescent="0.35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x14ac:dyDescent="0.35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x14ac:dyDescent="0.35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35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691.26700000000005</v>
      </c>
      <c r="G24" s="149">
        <f>main_nipas!L6/1000</f>
        <v>703.73308900023187</v>
      </c>
      <c r="H24" s="102">
        <f>main_nipas!M6/1000</f>
        <v>716.42398748068149</v>
      </c>
      <c r="I24" s="102">
        <f>main_nipas!N6/1000</f>
        <v>723.57311582625869</v>
      </c>
      <c r="J24" s="102">
        <f>main_nipas!O6/1000</f>
        <v>723.57311582625869</v>
      </c>
      <c r="K24" s="149">
        <f>main_nipas!P6/1000</f>
        <v>723.57311582625869</v>
      </c>
      <c r="L24" s="102">
        <f>main_nipas!Q6/1000</f>
        <v>723.57311582625869</v>
      </c>
      <c r="M24" s="102">
        <f>main_nipas!R6/1000</f>
        <v>723.57311582625869</v>
      </c>
      <c r="N24" s="102">
        <f>M24*(1+N26)</f>
        <v>716.14922510463464</v>
      </c>
      <c r="O24" s="149">
        <f t="shared" ref="O24:AA24" si="0">N24*(1+O26)</f>
        <v>708.79819586132737</v>
      </c>
      <c r="P24" s="102">
        <f t="shared" si="0"/>
        <v>701.44716661801999</v>
      </c>
      <c r="Q24" s="102">
        <f t="shared" si="0"/>
        <v>694.09613737471261</v>
      </c>
      <c r="R24" s="102">
        <f t="shared" si="0"/>
        <v>686.74510813140535</v>
      </c>
      <c r="S24" s="149">
        <f t="shared" si="0"/>
        <v>694.48369104747303</v>
      </c>
      <c r="T24" s="102">
        <f t="shared" si="0"/>
        <v>702.22227396354072</v>
      </c>
      <c r="U24" s="102">
        <f t="shared" si="0"/>
        <v>709.96085687960851</v>
      </c>
      <c r="V24" s="102">
        <f t="shared" si="0"/>
        <v>717.69943979567631</v>
      </c>
      <c r="W24" s="149">
        <f t="shared" si="0"/>
        <v>727.50243126404871</v>
      </c>
      <c r="X24" s="102">
        <f t="shared" si="0"/>
        <v>737.30542273242099</v>
      </c>
      <c r="Y24" s="102">
        <f t="shared" si="0"/>
        <v>747.1084142007935</v>
      </c>
      <c r="Z24" s="102">
        <f t="shared" si="0"/>
        <v>756.9114056691659</v>
      </c>
      <c r="AA24" s="149">
        <f t="shared" si="0"/>
        <v>767.11235959291537</v>
      </c>
      <c r="AB24" s="95"/>
    </row>
    <row r="25" spans="1:28" x14ac:dyDescent="0.35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:AA27" si="3">F24-F25</f>
        <v>-7.7329999999999472</v>
      </c>
      <c r="G27" s="150">
        <f t="shared" si="3"/>
        <v>-21.942068749787381</v>
      </c>
      <c r="H27" s="225">
        <f t="shared" si="3"/>
        <v>-35.926328019357129</v>
      </c>
      <c r="I27" s="225">
        <f t="shared" si="3"/>
        <v>-55.452357423799299</v>
      </c>
      <c r="J27" s="225">
        <f t="shared" si="3"/>
        <v>-82.127515173818438</v>
      </c>
      <c r="K27" s="150">
        <f t="shared" si="3"/>
        <v>-74.107839317399907</v>
      </c>
      <c r="L27" s="225">
        <f t="shared" si="3"/>
        <v>-66.088163460981491</v>
      </c>
      <c r="M27" s="249">
        <f t="shared" si="3"/>
        <v>-58.068487604563074</v>
      </c>
      <c r="N27" s="225">
        <f t="shared" si="3"/>
        <v>-57.472702469768592</v>
      </c>
      <c r="O27" s="150">
        <f t="shared" si="3"/>
        <v>-56.882764644330791</v>
      </c>
      <c r="P27" s="225">
        <f t="shared" si="3"/>
        <v>-56.292826818892991</v>
      </c>
      <c r="Q27" s="225">
        <f t="shared" si="3"/>
        <v>-55.70288899345519</v>
      </c>
      <c r="R27" s="225">
        <f t="shared" si="3"/>
        <v>-55.112951168017389</v>
      </c>
      <c r="S27" s="150">
        <f t="shared" si="3"/>
        <v>-55.733991110367128</v>
      </c>
      <c r="T27" s="225">
        <f t="shared" si="3"/>
        <v>-56.355031052716868</v>
      </c>
      <c r="U27" s="225">
        <f t="shared" si="3"/>
        <v>-56.976070995066607</v>
      </c>
      <c r="V27" s="225">
        <f t="shared" si="3"/>
        <v>-57.597110937416346</v>
      </c>
      <c r="W27" s="150">
        <f t="shared" si="3"/>
        <v>-58.383824644874608</v>
      </c>
      <c r="X27" s="225">
        <f t="shared" si="3"/>
        <v>-59.170538352332983</v>
      </c>
      <c r="Y27" s="225">
        <f t="shared" si="3"/>
        <v>-59.957252059791244</v>
      </c>
      <c r="Z27" s="225">
        <f t="shared" si="3"/>
        <v>-60.74396576724962</v>
      </c>
      <c r="AA27" s="150">
        <f t="shared" si="3"/>
        <v>-61.562616921527933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main_nipas!J5/1000</f>
        <v>812.15800000000002</v>
      </c>
      <c r="F31" s="104">
        <f>main_nipas!K5/1000</f>
        <v>835.99900000000002</v>
      </c>
      <c r="G31" s="149">
        <f>main_nipas!L5/1000</f>
        <v>846.6559390002318</v>
      </c>
      <c r="H31" s="104">
        <f>main_nipas!M5/1000</f>
        <v>859.70414460568156</v>
      </c>
      <c r="I31" s="104">
        <f>main_nipas!N5/1000</f>
        <v>867.21147334407112</v>
      </c>
      <c r="J31" s="104">
        <f>main_nipas!O5/1000</f>
        <v>867.92966513166016</v>
      </c>
      <c r="K31" s="149">
        <f>main_nipas!P5/1000</f>
        <v>869.01233925145073</v>
      </c>
      <c r="L31" s="104">
        <f>main_nipas!Q5/1000</f>
        <v>870.46673148570255</v>
      </c>
      <c r="M31" s="104">
        <f>L31*(1 + M33)</f>
        <v>1058.4245004225857</v>
      </c>
      <c r="N31" s="104">
        <f t="shared" ref="N31:AA31" si="4">M31*(1 + N33)</f>
        <v>1236.4814356799634</v>
      </c>
      <c r="O31" s="149">
        <f t="shared" si="4"/>
        <v>1402.9841404825713</v>
      </c>
      <c r="P31" s="104">
        <f t="shared" si="4"/>
        <v>1566.7146118549165</v>
      </c>
      <c r="Q31" s="104">
        <f t="shared" si="4"/>
        <v>1739.1578168652295</v>
      </c>
      <c r="R31" s="104">
        <f t="shared" si="4"/>
        <v>1910.8089551811815</v>
      </c>
      <c r="S31" s="149">
        <f t="shared" si="4"/>
        <v>1904.8707004367354</v>
      </c>
      <c r="T31" s="104">
        <f t="shared" si="4"/>
        <v>1903.6848458584566</v>
      </c>
      <c r="U31" s="104">
        <f t="shared" si="4"/>
        <v>1906.8553580991568</v>
      </c>
      <c r="V31" s="104">
        <f t="shared" si="4"/>
        <v>1916.3624038947451</v>
      </c>
      <c r="W31" s="149">
        <f t="shared" si="4"/>
        <v>1902.6531974396573</v>
      </c>
      <c r="X31" s="104">
        <f t="shared" si="4"/>
        <v>1888.1519242902086</v>
      </c>
      <c r="Y31" s="104">
        <f t="shared" si="4"/>
        <v>1876.818917918202</v>
      </c>
      <c r="Z31" s="104">
        <f t="shared" si="4"/>
        <v>1869.0502116708174</v>
      </c>
      <c r="AA31" s="149">
        <f t="shared" si="4"/>
        <v>1859.7452693304276</v>
      </c>
      <c r="AB31" s="95"/>
    </row>
    <row r="32" spans="1:28" x14ac:dyDescent="0.35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:AA34" si="7">F31-F32</f>
        <v>691.399</v>
      </c>
      <c r="G34" s="150">
        <f t="shared" si="7"/>
        <v>726.6220967502511</v>
      </c>
      <c r="H34" s="225">
        <f t="shared" si="7"/>
        <v>764.23118760572027</v>
      </c>
      <c r="I34" s="225">
        <f t="shared" si="7"/>
        <v>796.29411591287919</v>
      </c>
      <c r="J34" s="225">
        <f t="shared" si="7"/>
        <v>819.43775129708126</v>
      </c>
      <c r="K34" s="150">
        <f t="shared" si="7"/>
        <v>806.09430547419333</v>
      </c>
      <c r="L34" s="249">
        <f t="shared" si="7"/>
        <v>790.92303196281762</v>
      </c>
      <c r="M34" s="225">
        <f t="shared" si="7"/>
        <v>961.70512289327155</v>
      </c>
      <c r="N34" s="225">
        <f t="shared" si="7"/>
        <v>1123.4911234396754</v>
      </c>
      <c r="O34" s="150">
        <f t="shared" si="7"/>
        <v>1274.778725078075</v>
      </c>
      <c r="P34" s="150">
        <f t="shared" si="7"/>
        <v>1423.5474214089395</v>
      </c>
      <c r="Q34" s="150">
        <f t="shared" si="7"/>
        <v>1580.2326772777706</v>
      </c>
      <c r="R34" s="150">
        <f t="shared" si="7"/>
        <v>1736.1982459158774</v>
      </c>
      <c r="S34" s="150">
        <f t="shared" si="7"/>
        <v>1730.8026319571122</v>
      </c>
      <c r="T34" s="150">
        <f t="shared" si="7"/>
        <v>1729.7251413826953</v>
      </c>
      <c r="U34" s="150">
        <f t="shared" si="7"/>
        <v>1732.6059305772574</v>
      </c>
      <c r="V34" s="150">
        <f t="shared" si="7"/>
        <v>1741.244217617616</v>
      </c>
      <c r="W34" s="150">
        <f t="shared" si="7"/>
        <v>1728.7877655292568</v>
      </c>
      <c r="X34" s="150">
        <f t="shared" si="7"/>
        <v>1715.6116262101732</v>
      </c>
      <c r="Y34" s="150">
        <f t="shared" si="7"/>
        <v>1705.3142358139858</v>
      </c>
      <c r="Z34" s="150">
        <f t="shared" si="7"/>
        <v>1698.2554379560565</v>
      </c>
      <c r="AA34" s="150">
        <f t="shared" si="7"/>
        <v>1689.8007860527734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35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35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3488.125</v>
      </c>
      <c r="G45" s="149">
        <f>main_nipas!L3/1000</f>
        <v>2847.845831998829</v>
      </c>
      <c r="H45" s="102">
        <f>main_nipas!M3/1000</f>
        <v>3472.0649561336782</v>
      </c>
      <c r="I45" s="102">
        <f>main_nipas!N3/1000</f>
        <v>2658.3052157637767</v>
      </c>
      <c r="J45" s="102">
        <f>main_nipas!O3/1000</f>
        <v>2548.7674784838996</v>
      </c>
      <c r="K45" s="274">
        <f>main_nipas!P3/1000</f>
        <v>2601.9991665078123</v>
      </c>
      <c r="L45" s="104">
        <f>K45*(1+L47)</f>
        <v>2628.3452457207918</v>
      </c>
      <c r="M45" s="104">
        <f t="shared" ref="M45:AA45" si="12">L45*(1+M47)</f>
        <v>2627.5434641687648</v>
      </c>
      <c r="N45" s="104">
        <f t="shared" si="12"/>
        <v>2589.1506036815799</v>
      </c>
      <c r="O45" s="104">
        <f t="shared" si="12"/>
        <v>2592.0573222065595</v>
      </c>
      <c r="P45" s="104">
        <f t="shared" si="12"/>
        <v>2596.533342603233</v>
      </c>
      <c r="Q45" s="104">
        <f t="shared" si="12"/>
        <v>2602.0826071805495</v>
      </c>
      <c r="R45" s="104">
        <f t="shared" si="12"/>
        <v>2610.7069341322085</v>
      </c>
      <c r="S45" s="104">
        <f t="shared" si="12"/>
        <v>2637.0959349724048</v>
      </c>
      <c r="T45" s="104">
        <f t="shared" si="12"/>
        <v>2662.4525493247411</v>
      </c>
      <c r="U45" s="104">
        <f t="shared" si="12"/>
        <v>2682.9955450284483</v>
      </c>
      <c r="V45" s="104">
        <f t="shared" si="12"/>
        <v>2700.5879401482684</v>
      </c>
      <c r="W45" s="104">
        <f t="shared" si="12"/>
        <v>2762.916852497975</v>
      </c>
      <c r="X45" s="104">
        <f t="shared" si="12"/>
        <v>2815.5335753799473</v>
      </c>
      <c r="Y45" s="104">
        <f t="shared" si="12"/>
        <v>2859.5466083828628</v>
      </c>
      <c r="Z45" s="104">
        <f t="shared" si="12"/>
        <v>2894.0300700396974</v>
      </c>
      <c r="AA45" s="104">
        <f t="shared" si="12"/>
        <v>2912.6078528073549</v>
      </c>
      <c r="AB45" s="95"/>
    </row>
    <row r="46" spans="1:28" x14ac:dyDescent="0.35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35">
      <c r="B48" s="99" t="s">
        <v>179</v>
      </c>
      <c r="D48" s="103"/>
      <c r="E48" s="225"/>
      <c r="F48" s="225">
        <f t="shared" ref="F48:AA48" si="30">F45-F46</f>
        <v>817.02500000000009</v>
      </c>
      <c r="G48" s="150">
        <f t="shared" si="30"/>
        <v>513.85424509879022</v>
      </c>
      <c r="H48" s="225">
        <f t="shared" si="30"/>
        <v>1403.501858301976</v>
      </c>
      <c r="I48" s="225">
        <f t="shared" si="30"/>
        <v>803.5651155471096</v>
      </c>
      <c r="J48" s="225">
        <f t="shared" si="30"/>
        <v>843.28782539808162</v>
      </c>
      <c r="K48" s="275">
        <f t="shared" si="30"/>
        <v>850.04005809445835</v>
      </c>
      <c r="L48" s="225">
        <f t="shared" si="30"/>
        <v>858.64698733295586</v>
      </c>
      <c r="M48" s="225">
        <f t="shared" si="30"/>
        <v>858.38505548999569</v>
      </c>
      <c r="N48" s="225">
        <f t="shared" si="30"/>
        <v>845.84259591544492</v>
      </c>
      <c r="O48" s="150">
        <f t="shared" si="30"/>
        <v>846.79218391518066</v>
      </c>
      <c r="P48" s="225">
        <f t="shared" si="30"/>
        <v>848.25444289166103</v>
      </c>
      <c r="Q48" s="225">
        <f t="shared" si="30"/>
        <v>850.06731710176859</v>
      </c>
      <c r="R48" s="225">
        <f t="shared" si="30"/>
        <v>852.88477510766552</v>
      </c>
      <c r="S48" s="150">
        <f t="shared" si="30"/>
        <v>861.50572629627095</v>
      </c>
      <c r="T48" s="225">
        <f t="shared" si="30"/>
        <v>869.78940994020809</v>
      </c>
      <c r="U48" s="225">
        <f t="shared" si="30"/>
        <v>876.50054554939038</v>
      </c>
      <c r="V48" s="225">
        <f t="shared" si="30"/>
        <v>882.24775744790236</v>
      </c>
      <c r="W48" s="150">
        <f t="shared" si="30"/>
        <v>902.60982095533109</v>
      </c>
      <c r="X48" s="225">
        <f t="shared" si="30"/>
        <v>919.79903559883928</v>
      </c>
      <c r="Y48" s="225">
        <f t="shared" si="30"/>
        <v>934.17753410578689</v>
      </c>
      <c r="Z48" s="225">
        <f t="shared" si="30"/>
        <v>945.44284276820849</v>
      </c>
      <c r="AA48" s="150">
        <f t="shared" si="30"/>
        <v>951.51196828767593</v>
      </c>
      <c r="AB48" s="254"/>
    </row>
    <row r="49" spans="2:28" s="97" customFormat="1" x14ac:dyDescent="0.35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35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F47" sqref="F47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35">
      <c r="A2" s="271">
        <v>44104</v>
      </c>
      <c r="B2" s="272">
        <f t="array" ref="B2:B23">TRANSPOSE('add-ons calculations nipas'!F27:AA27)</f>
        <v>-7.7329999999999472</v>
      </c>
      <c r="C2" s="270">
        <f t="array" ref="C2:C23">TRANSPOSE('add-ons calculations nipas'!F34:AA34)</f>
        <v>691.399</v>
      </c>
      <c r="D2" s="270">
        <f t="array" ref="D2:D23">TRANSPOSE('add-ons calculations'!F40:AA40)</f>
        <v>4.5999999999821739E-2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817.02500000000009</v>
      </c>
      <c r="H2" s="270">
        <f t="array" ref="H2:H23">TRANSPOSE('add-ons calculations'!F67:AA67)</f>
        <v>0.60799999999994725</v>
      </c>
      <c r="I2" s="270">
        <f t="array" ref="I2:I23">TRANSPOSE('add-ons calculations'!F74:AA74)</f>
        <v>44.822614367357801</v>
      </c>
    </row>
    <row r="3" spans="1:9" x14ac:dyDescent="0.35">
      <c r="A3" s="271">
        <v>44196</v>
      </c>
      <c r="B3" s="270">
        <v>-21.942068749787381</v>
      </c>
      <c r="C3" s="270">
        <v>726.6220967502511</v>
      </c>
      <c r="D3" s="270">
        <v>9.1220108456809612E-2</v>
      </c>
      <c r="E3" s="270">
        <v>1.9071502101439819E-3</v>
      </c>
      <c r="F3" s="270">
        <v>23.142985628403267</v>
      </c>
      <c r="G3" s="270">
        <v>513.85424509879022</v>
      </c>
      <c r="H3" s="270">
        <v>-833.73947605477315</v>
      </c>
      <c r="I3" s="270">
        <v>69.242163837897039</v>
      </c>
    </row>
    <row r="4" spans="1:9" x14ac:dyDescent="0.35">
      <c r="A4" s="271">
        <v>44286</v>
      </c>
      <c r="B4" s="270">
        <v>-35.926328019357129</v>
      </c>
      <c r="C4" s="270">
        <v>764.23118760572027</v>
      </c>
      <c r="D4" s="270">
        <v>9.2732986063538192E-2</v>
      </c>
      <c r="E4" s="270">
        <v>1.9387801313541786E-3</v>
      </c>
      <c r="F4" s="270">
        <v>46.379353230327069</v>
      </c>
      <c r="G4" s="270">
        <v>1403.501858301976</v>
      </c>
      <c r="H4" s="270">
        <v>-720.54377367693087</v>
      </c>
      <c r="I4" s="270">
        <v>259.27464764872968</v>
      </c>
    </row>
    <row r="5" spans="1:9" x14ac:dyDescent="0.35">
      <c r="A5" s="271">
        <v>44377</v>
      </c>
      <c r="B5" s="270">
        <v>-55.452357423799299</v>
      </c>
      <c r="C5" s="270">
        <v>796.29411591287919</v>
      </c>
      <c r="D5" s="270">
        <v>9.4207574237998415E-2</v>
      </c>
      <c r="E5" s="270">
        <v>1.969609530561911E-3</v>
      </c>
      <c r="F5" s="270">
        <v>69.743650491218432</v>
      </c>
      <c r="G5" s="270">
        <v>803.5651155471096</v>
      </c>
      <c r="H5" s="270">
        <v>-724.95583479475999</v>
      </c>
      <c r="I5" s="270">
        <v>247.32594358351176</v>
      </c>
    </row>
    <row r="6" spans="1:9" x14ac:dyDescent="0.35">
      <c r="A6" s="271">
        <v>44469</v>
      </c>
      <c r="B6" s="270">
        <v>-82.127515173818438</v>
      </c>
      <c r="C6" s="270">
        <v>819.43775129708126</v>
      </c>
      <c r="D6" s="270">
        <v>9.5783673922369417E-2</v>
      </c>
      <c r="E6" s="270">
        <v>2.0025612436285201E-3</v>
      </c>
      <c r="F6" s="270">
        <v>93.23744404962531</v>
      </c>
      <c r="G6" s="270">
        <v>843.28782539808162</v>
      </c>
      <c r="H6" s="270">
        <v>-729.72035728576793</v>
      </c>
      <c r="I6" s="270">
        <v>262.94898901689669</v>
      </c>
    </row>
    <row r="7" spans="1:9" x14ac:dyDescent="0.35">
      <c r="A7" s="271">
        <v>44561</v>
      </c>
      <c r="B7" s="270">
        <v>-74.107839317399907</v>
      </c>
      <c r="C7" s="270">
        <v>806.09430547419333</v>
      </c>
      <c r="D7" s="270">
        <v>9.6839304535023984E-2</v>
      </c>
      <c r="E7" s="270">
        <v>2.024631444953684E-3</v>
      </c>
      <c r="F7" s="270">
        <v>97.945155839323775</v>
      </c>
      <c r="G7" s="270">
        <v>850.04005809445835</v>
      </c>
      <c r="H7" s="270">
        <v>-1134.856223009233</v>
      </c>
      <c r="I7" s="270">
        <v>56.491059459541219</v>
      </c>
    </row>
    <row r="8" spans="1:9" x14ac:dyDescent="0.35">
      <c r="A8" s="271">
        <v>44651</v>
      </c>
      <c r="B8" s="270">
        <v>-66.088163460981491</v>
      </c>
      <c r="C8" s="270">
        <v>790.92303196281762</v>
      </c>
      <c r="D8" s="270">
        <v>0</v>
      </c>
      <c r="E8" s="270">
        <v>0</v>
      </c>
      <c r="F8" s="270">
        <v>102.65286762902224</v>
      </c>
      <c r="G8" s="270">
        <v>858.64698733295586</v>
      </c>
      <c r="H8" s="270">
        <v>-1165.6072012785651</v>
      </c>
      <c r="I8" s="270">
        <v>40.106394189216502</v>
      </c>
    </row>
    <row r="9" spans="1:9" x14ac:dyDescent="0.35">
      <c r="A9" s="271">
        <v>44742</v>
      </c>
      <c r="B9" s="270">
        <v>-58.068487604563074</v>
      </c>
      <c r="C9" s="270">
        <v>961.70512289327155</v>
      </c>
      <c r="D9" s="270">
        <v>0</v>
      </c>
      <c r="E9" s="270">
        <v>0</v>
      </c>
      <c r="F9" s="270">
        <v>107.3605794187207</v>
      </c>
      <c r="G9" s="270">
        <v>858.38505548999569</v>
      </c>
      <c r="H9" s="270">
        <v>-1170.6993843086477</v>
      </c>
      <c r="I9" s="270">
        <v>29.661254484149993</v>
      </c>
    </row>
    <row r="10" spans="1:9" x14ac:dyDescent="0.35">
      <c r="A10" s="271">
        <v>44834</v>
      </c>
      <c r="B10" s="270">
        <v>-57.472702469768592</v>
      </c>
      <c r="C10" s="270">
        <v>1123.4911234396754</v>
      </c>
      <c r="D10" s="270">
        <v>0</v>
      </c>
      <c r="E10" s="270">
        <v>0</v>
      </c>
      <c r="F10" s="270">
        <v>112.06829120841905</v>
      </c>
      <c r="G10" s="270">
        <v>845.84259591544492</v>
      </c>
      <c r="H10" s="270">
        <v>-1175.8566242647828</v>
      </c>
      <c r="I10" s="270">
        <v>18.676309913851043</v>
      </c>
    </row>
    <row r="11" spans="1:9" x14ac:dyDescent="0.35">
      <c r="A11" s="271">
        <v>44926</v>
      </c>
      <c r="B11" s="270">
        <v>-56.882764644330791</v>
      </c>
      <c r="C11" s="270">
        <v>1274.778725078075</v>
      </c>
      <c r="D11" s="270">
        <v>0</v>
      </c>
      <c r="E11" s="270">
        <v>0</v>
      </c>
      <c r="F11" s="270">
        <v>113.21479904544935</v>
      </c>
      <c r="G11" s="270">
        <v>846.79218391518066</v>
      </c>
      <c r="H11" s="270">
        <v>-1181.0789211469692</v>
      </c>
      <c r="I11" s="270">
        <v>8.1784586186428498</v>
      </c>
    </row>
    <row r="12" spans="1:9" x14ac:dyDescent="0.35">
      <c r="A12" s="271">
        <v>45016</v>
      </c>
      <c r="B12" s="270">
        <v>-56.292826818892991</v>
      </c>
      <c r="C12" s="270">
        <v>1423.5474214089395</v>
      </c>
      <c r="D12" s="270">
        <v>0</v>
      </c>
      <c r="E12" s="270">
        <v>0</v>
      </c>
      <c r="F12" s="270">
        <v>114.36130688247965</v>
      </c>
      <c r="G12" s="270">
        <v>848.25444289166103</v>
      </c>
      <c r="H12" s="270">
        <v>-1186.3781034872188</v>
      </c>
      <c r="I12" s="270">
        <v>-2.8700840526758213</v>
      </c>
    </row>
    <row r="13" spans="1:9" x14ac:dyDescent="0.35">
      <c r="A13" s="271">
        <v>45107</v>
      </c>
      <c r="B13" s="270">
        <v>-55.70288899345519</v>
      </c>
      <c r="C13" s="270">
        <v>1580.2326772777706</v>
      </c>
      <c r="D13" s="270">
        <v>0</v>
      </c>
      <c r="E13" s="270">
        <v>0</v>
      </c>
      <c r="F13" s="270">
        <v>115.50781471950995</v>
      </c>
      <c r="G13" s="270">
        <v>850.06731710176859</v>
      </c>
      <c r="H13" s="270">
        <v>-1191.7009428914864</v>
      </c>
      <c r="I13" s="270">
        <v>-3.0081206958325879</v>
      </c>
    </row>
    <row r="14" spans="1:9" x14ac:dyDescent="0.35">
      <c r="A14" s="271">
        <v>45199</v>
      </c>
      <c r="B14" s="270">
        <v>-55.112951168017389</v>
      </c>
      <c r="C14" s="270">
        <v>1736.1982459158774</v>
      </c>
      <c r="D14" s="270">
        <v>0</v>
      </c>
      <c r="E14" s="270">
        <v>0</v>
      </c>
      <c r="F14" s="270">
        <v>116.65432255654025</v>
      </c>
      <c r="G14" s="270">
        <v>852.88477510766552</v>
      </c>
      <c r="H14" s="270">
        <v>-1197.1006677538157</v>
      </c>
      <c r="I14" s="270">
        <v>-3.1545408316389967</v>
      </c>
    </row>
    <row r="15" spans="1:9" x14ac:dyDescent="0.35">
      <c r="A15" s="271">
        <v>45291</v>
      </c>
      <c r="B15" s="270">
        <v>-55.733991110367128</v>
      </c>
      <c r="C15" s="270">
        <v>1730.8026319571122</v>
      </c>
      <c r="D15" s="270">
        <v>0</v>
      </c>
      <c r="E15" s="270">
        <v>0</v>
      </c>
      <c r="F15" s="270">
        <v>117.32067194419665</v>
      </c>
      <c r="G15" s="270">
        <v>861.50572629627095</v>
      </c>
      <c r="H15" s="270">
        <v>-1202.5772780742061</v>
      </c>
      <c r="I15" s="270">
        <v>-3.1755686603398772</v>
      </c>
    </row>
    <row r="16" spans="1:9" x14ac:dyDescent="0.35">
      <c r="A16" s="271">
        <v>45382</v>
      </c>
      <c r="B16" s="270">
        <v>-56.355031052716868</v>
      </c>
      <c r="C16" s="270">
        <v>1729.7251413826953</v>
      </c>
      <c r="D16" s="270">
        <v>0</v>
      </c>
      <c r="E16" s="270">
        <v>0</v>
      </c>
      <c r="F16" s="270">
        <v>117.98702133185293</v>
      </c>
      <c r="G16" s="270">
        <v>869.78940994020809</v>
      </c>
      <c r="H16" s="270">
        <v>-1208.113031054645</v>
      </c>
      <c r="I16" s="270">
        <v>-3.1974493010895912</v>
      </c>
    </row>
    <row r="17" spans="1:9" x14ac:dyDescent="0.35">
      <c r="A17" s="271">
        <v>45473</v>
      </c>
      <c r="B17" s="270">
        <v>-56.976070995066607</v>
      </c>
      <c r="C17" s="270">
        <v>1732.6059305772574</v>
      </c>
      <c r="D17" s="270">
        <v>0</v>
      </c>
      <c r="E17" s="270">
        <v>0</v>
      </c>
      <c r="F17" s="270">
        <v>118.65337071950921</v>
      </c>
      <c r="G17" s="270">
        <v>876.50054554939038</v>
      </c>
      <c r="H17" s="270">
        <v>-1213.6606125670928</v>
      </c>
      <c r="I17" s="270">
        <v>-3.2198338574140166</v>
      </c>
    </row>
    <row r="18" spans="1:9" x14ac:dyDescent="0.35">
      <c r="A18" s="271">
        <v>45565</v>
      </c>
      <c r="B18" s="270">
        <v>-57.597110937416346</v>
      </c>
      <c r="C18" s="270">
        <v>1741.244217617616</v>
      </c>
      <c r="D18" s="270">
        <v>0</v>
      </c>
      <c r="E18" s="270">
        <v>0</v>
      </c>
      <c r="F18" s="270">
        <v>119.31972010716561</v>
      </c>
      <c r="G18" s="270">
        <v>882.24775744790236</v>
      </c>
      <c r="H18" s="270">
        <v>-1219.2377654095646</v>
      </c>
      <c r="I18" s="270">
        <v>-3.2428576496751589</v>
      </c>
    </row>
    <row r="19" spans="1:9" x14ac:dyDescent="0.35">
      <c r="A19" s="271">
        <v>45657</v>
      </c>
      <c r="B19" s="270">
        <v>-58.383824644874608</v>
      </c>
      <c r="C19" s="270">
        <v>1728.7877655292568</v>
      </c>
      <c r="D19" s="270">
        <v>0</v>
      </c>
      <c r="E19" s="270">
        <v>0</v>
      </c>
      <c r="F19" s="270">
        <v>122.81863012191729</v>
      </c>
      <c r="G19" s="270">
        <v>902.60982095533109</v>
      </c>
      <c r="H19" s="270">
        <v>-1224.8444895820596</v>
      </c>
      <c r="I19" s="270">
        <v>-3.2492354464859545</v>
      </c>
    </row>
    <row r="20" spans="1:9" x14ac:dyDescent="0.35">
      <c r="A20" s="271">
        <v>45747</v>
      </c>
      <c r="B20" s="270">
        <v>-59.170538352332983</v>
      </c>
      <c r="C20" s="270">
        <v>1715.6116262101732</v>
      </c>
      <c r="D20" s="270">
        <v>0</v>
      </c>
      <c r="E20" s="270">
        <v>0</v>
      </c>
      <c r="F20" s="270">
        <v>126.31754013666887</v>
      </c>
      <c r="G20" s="270">
        <v>919.79903559883928</v>
      </c>
      <c r="H20" s="270">
        <v>-1230.4630422865646</v>
      </c>
      <c r="I20" s="270">
        <v>-3.2638124910435522</v>
      </c>
    </row>
    <row r="21" spans="1:9" x14ac:dyDescent="0.35">
      <c r="A21" s="271">
        <v>45838</v>
      </c>
      <c r="B21" s="270">
        <v>-59.957252059791244</v>
      </c>
      <c r="C21" s="270">
        <v>1705.3142358139858</v>
      </c>
      <c r="D21" s="270">
        <v>0</v>
      </c>
      <c r="E21" s="270">
        <v>0</v>
      </c>
      <c r="F21" s="270">
        <v>129.81645015142067</v>
      </c>
      <c r="G21" s="270">
        <v>934.17753410578689</v>
      </c>
      <c r="H21" s="270">
        <v>-1236.052023661046</v>
      </c>
      <c r="I21" s="270">
        <v>-3.2709301722717896</v>
      </c>
    </row>
    <row r="22" spans="1:9" x14ac:dyDescent="0.35">
      <c r="A22" s="271">
        <v>45930</v>
      </c>
      <c r="B22" s="270">
        <v>-60.74396576724962</v>
      </c>
      <c r="C22" s="270">
        <v>1698.2554379560565</v>
      </c>
      <c r="D22" s="270">
        <v>0</v>
      </c>
      <c r="E22" s="270">
        <v>0</v>
      </c>
      <c r="F22" s="270">
        <v>133.31536016617247</v>
      </c>
      <c r="G22" s="270">
        <v>945.44284276820849</v>
      </c>
      <c r="H22" s="270">
        <v>-1241.6469193015316</v>
      </c>
      <c r="I22" s="270">
        <v>-3.2785124534150327</v>
      </c>
    </row>
    <row r="23" spans="1:9" x14ac:dyDescent="0.35">
      <c r="A23" s="271">
        <v>46022</v>
      </c>
      <c r="B23" s="270">
        <v>-61.562616921527933</v>
      </c>
      <c r="C23" s="270">
        <v>1689.8007860527734</v>
      </c>
      <c r="D23" s="270">
        <v>0</v>
      </c>
      <c r="E23" s="270">
        <v>0</v>
      </c>
      <c r="F23" s="270">
        <v>135.67395143661656</v>
      </c>
      <c r="G23" s="270">
        <v>951.51196828767593</v>
      </c>
      <c r="H23" s="270">
        <v>-1247.2418149420184</v>
      </c>
      <c r="I23" s="270">
        <v>-3.2831814210312018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activeCell="I16" sqref="I16"/>
    </sheetView>
  </sheetViews>
  <sheetFormatPr defaultColWidth="8.81640625" defaultRowHeight="14.5" x14ac:dyDescent="0.35"/>
  <cols>
    <col min="1" max="1" width="7.36328125" bestFit="1" customWidth="1"/>
    <col min="2" max="9" width="10.1796875" bestFit="1" customWidth="1"/>
  </cols>
  <sheetData>
    <row r="1" spans="1:9" s="279" customFormat="1" x14ac:dyDescent="0.35">
      <c r="A1" s="279" t="s">
        <v>324</v>
      </c>
      <c r="B1" s="279" t="s">
        <v>325</v>
      </c>
      <c r="C1" s="279" t="s">
        <v>326</v>
      </c>
      <c r="D1" s="279" t="s">
        <v>327</v>
      </c>
      <c r="E1" s="279" t="s">
        <v>328</v>
      </c>
      <c r="F1" s="279" t="s">
        <v>329</v>
      </c>
      <c r="G1" s="279" t="s">
        <v>330</v>
      </c>
      <c r="H1" s="279" t="s">
        <v>331</v>
      </c>
      <c r="I1" s="279" t="s">
        <v>332</v>
      </c>
    </row>
    <row r="2" spans="1:9" x14ac:dyDescent="0.35">
      <c r="A2" t="s">
        <v>294</v>
      </c>
      <c r="B2" s="283">
        <v>20909.900000000001</v>
      </c>
      <c r="C2" s="283">
        <v>21115.3</v>
      </c>
      <c r="D2" s="283">
        <v>21329.9</v>
      </c>
      <c r="E2" s="283">
        <v>21540.3</v>
      </c>
      <c r="F2" s="283">
        <v>21747.4</v>
      </c>
      <c r="G2" s="283">
        <v>21561.1</v>
      </c>
      <c r="H2" s="283">
        <v>19520.099999999999</v>
      </c>
      <c r="I2" s="283">
        <v>21157.1</v>
      </c>
    </row>
    <row r="3" spans="1:9" x14ac:dyDescent="0.35">
      <c r="A3" t="s">
        <v>295</v>
      </c>
      <c r="B3" s="283">
        <v>18813.900000000001</v>
      </c>
      <c r="C3" s="283">
        <v>18950.3</v>
      </c>
      <c r="D3" s="283">
        <v>19020.599999999999</v>
      </c>
      <c r="E3" s="283">
        <v>19141.7</v>
      </c>
      <c r="F3" s="283">
        <v>19254</v>
      </c>
      <c r="G3" s="283">
        <v>19010.8</v>
      </c>
      <c r="H3" s="283">
        <v>17302.5</v>
      </c>
      <c r="I3" s="283">
        <v>18583.5</v>
      </c>
    </row>
    <row r="4" spans="1:9" x14ac:dyDescent="0.35">
      <c r="A4" t="s">
        <v>296</v>
      </c>
      <c r="B4" s="283">
        <v>1634.2</v>
      </c>
      <c r="C4" s="283">
        <v>1695.5</v>
      </c>
      <c r="D4" s="283">
        <v>1703.1</v>
      </c>
      <c r="E4" s="283">
        <v>1713.2</v>
      </c>
      <c r="F4" s="283">
        <v>1740.2</v>
      </c>
      <c r="G4" s="283">
        <v>1756.6</v>
      </c>
      <c r="H4" s="283">
        <v>1600.1</v>
      </c>
      <c r="I4" s="283">
        <v>1687.2</v>
      </c>
    </row>
    <row r="5" spans="1:9" x14ac:dyDescent="0.35">
      <c r="A5" t="s">
        <v>297</v>
      </c>
      <c r="B5" s="283">
        <v>183.5</v>
      </c>
      <c r="C5" s="283">
        <v>172.1</v>
      </c>
      <c r="D5" s="283">
        <v>168.3</v>
      </c>
      <c r="E5" s="283">
        <v>175.1</v>
      </c>
      <c r="F5" s="283">
        <v>179.2</v>
      </c>
      <c r="G5" s="283">
        <v>183.8</v>
      </c>
      <c r="H5" s="283">
        <v>131.4</v>
      </c>
      <c r="I5" s="283">
        <v>144.69999999999999</v>
      </c>
    </row>
    <row r="6" spans="1:9" x14ac:dyDescent="0.35">
      <c r="A6" t="s">
        <v>298</v>
      </c>
      <c r="B6" s="283">
        <v>1355.2</v>
      </c>
      <c r="C6" s="283">
        <v>1386.7</v>
      </c>
      <c r="D6" s="283">
        <v>1392.6</v>
      </c>
      <c r="E6" s="283">
        <v>1397.2</v>
      </c>
      <c r="F6" s="283">
        <v>1411.7</v>
      </c>
      <c r="G6" s="283">
        <v>1431.2</v>
      </c>
      <c r="H6" s="283">
        <v>1369.2</v>
      </c>
      <c r="I6" s="283">
        <v>1429.6</v>
      </c>
    </row>
    <row r="7" spans="1:9" x14ac:dyDescent="0.35">
      <c r="A7" t="s">
        <v>299</v>
      </c>
      <c r="B7" s="283">
        <v>234.7</v>
      </c>
      <c r="C7" s="283">
        <v>213.8</v>
      </c>
      <c r="D7" s="283">
        <v>224.2</v>
      </c>
      <c r="E7" s="283">
        <v>201.6</v>
      </c>
      <c r="F7" s="283">
        <v>229.7</v>
      </c>
      <c r="G7" s="283">
        <v>180.5</v>
      </c>
      <c r="H7" s="283">
        <v>171.5</v>
      </c>
      <c r="I7" s="283">
        <v>205.3</v>
      </c>
    </row>
    <row r="8" spans="1:9" x14ac:dyDescent="0.35">
      <c r="A8" t="s">
        <v>300</v>
      </c>
      <c r="B8" s="283">
        <v>456.5</v>
      </c>
      <c r="C8" s="283">
        <v>475.2</v>
      </c>
      <c r="D8" s="283">
        <v>519.4</v>
      </c>
      <c r="E8" s="283">
        <v>483.9</v>
      </c>
      <c r="F8" s="283">
        <v>480.9</v>
      </c>
      <c r="G8" s="283">
        <v>495.8</v>
      </c>
      <c r="H8" s="283">
        <v>496.4</v>
      </c>
      <c r="I8" s="283">
        <v>499.4</v>
      </c>
    </row>
    <row r="9" spans="1:9" x14ac:dyDescent="0.35">
      <c r="A9" t="s">
        <v>301</v>
      </c>
      <c r="B9" s="283">
        <v>1295.5</v>
      </c>
      <c r="C9" s="283">
        <v>1301.5999999999999</v>
      </c>
      <c r="D9" s="283">
        <v>1312.4</v>
      </c>
      <c r="E9" s="283">
        <v>1326.5</v>
      </c>
      <c r="F9" s="283">
        <v>1330.4</v>
      </c>
      <c r="G9" s="283">
        <v>1346.2</v>
      </c>
      <c r="H9" s="283">
        <v>1264.3</v>
      </c>
      <c r="I9" s="283">
        <v>1317.3</v>
      </c>
    </row>
    <row r="10" spans="1:9" x14ac:dyDescent="0.35">
      <c r="A10" t="s">
        <v>333</v>
      </c>
      <c r="B10" s="283">
        <v>8600</v>
      </c>
      <c r="C10" s="283">
        <v>8932</v>
      </c>
      <c r="D10" s="283">
        <v>8944</v>
      </c>
      <c r="E10" s="283">
        <v>8604</v>
      </c>
      <c r="F10" s="283">
        <v>7908</v>
      </c>
      <c r="G10" s="283">
        <v>7020</v>
      </c>
      <c r="H10" s="283">
        <v>6744</v>
      </c>
      <c r="I10" s="283">
        <v>7248</v>
      </c>
    </row>
    <row r="11" spans="1:9" x14ac:dyDescent="0.35">
      <c r="A11" t="s">
        <v>334</v>
      </c>
      <c r="B11" s="283">
        <v>12969</v>
      </c>
      <c r="C11" s="283">
        <v>13054</v>
      </c>
      <c r="D11" s="283">
        <v>13132</v>
      </c>
      <c r="E11" s="283">
        <v>13183</v>
      </c>
      <c r="F11" s="283">
        <v>13235</v>
      </c>
      <c r="G11" s="283">
        <v>13345</v>
      </c>
      <c r="H11" s="283">
        <v>12362</v>
      </c>
      <c r="I11" s="283">
        <v>12998</v>
      </c>
    </row>
    <row r="12" spans="1:9" x14ac:dyDescent="0.35">
      <c r="A12" t="s">
        <v>303</v>
      </c>
      <c r="B12" s="283">
        <v>63.5</v>
      </c>
      <c r="C12" s="283">
        <v>68.5</v>
      </c>
      <c r="D12" s="283">
        <v>68.7</v>
      </c>
      <c r="E12" s="283">
        <v>69.8</v>
      </c>
      <c r="F12" s="283">
        <v>71</v>
      </c>
      <c r="G12" s="283">
        <v>62.7</v>
      </c>
      <c r="H12" s="283">
        <v>54.2</v>
      </c>
      <c r="I12" s="283">
        <v>79.099999999999994</v>
      </c>
    </row>
    <row r="13" spans="1:9" x14ac:dyDescent="0.35">
      <c r="A13" t="s">
        <v>304</v>
      </c>
      <c r="B13" s="283">
        <v>2220523</v>
      </c>
      <c r="C13" s="283">
        <v>2298792</v>
      </c>
      <c r="D13" s="283">
        <v>2315842</v>
      </c>
      <c r="E13" s="283">
        <v>2331428</v>
      </c>
      <c r="F13" s="283">
        <v>2347737</v>
      </c>
      <c r="G13" s="283">
        <v>2422546</v>
      </c>
      <c r="H13" s="283">
        <v>4815254</v>
      </c>
      <c r="I13" s="283">
        <v>3488125</v>
      </c>
    </row>
    <row r="14" spans="1:9" x14ac:dyDescent="0.35">
      <c r="A14" t="s">
        <v>305</v>
      </c>
      <c r="B14" s="283">
        <v>753311</v>
      </c>
      <c r="C14" s="283">
        <v>767353</v>
      </c>
      <c r="D14" s="283">
        <v>779707</v>
      </c>
      <c r="E14" s="283">
        <v>789893</v>
      </c>
      <c r="F14" s="283">
        <v>797912</v>
      </c>
      <c r="G14" s="283">
        <v>804655</v>
      </c>
      <c r="H14" s="283">
        <v>824058</v>
      </c>
      <c r="I14" s="283">
        <v>842733</v>
      </c>
    </row>
    <row r="15" spans="1:9" x14ac:dyDescent="0.35">
      <c r="A15" t="s">
        <v>306</v>
      </c>
      <c r="H15" s="283">
        <v>1078100</v>
      </c>
      <c r="I15" s="283">
        <v>15600</v>
      </c>
    </row>
    <row r="16" spans="1:9" x14ac:dyDescent="0.35">
      <c r="A16" t="s">
        <v>307</v>
      </c>
      <c r="B16" s="283">
        <v>27025</v>
      </c>
      <c r="C16" s="283">
        <v>28029</v>
      </c>
      <c r="D16" s="283">
        <v>27483</v>
      </c>
      <c r="E16" s="283">
        <v>27578</v>
      </c>
      <c r="F16" s="283">
        <v>27884</v>
      </c>
      <c r="G16" s="283">
        <v>43429</v>
      </c>
      <c r="H16" s="283">
        <v>1084572</v>
      </c>
      <c r="I16" s="283">
        <v>768678</v>
      </c>
    </row>
    <row r="17" spans="1:9" x14ac:dyDescent="0.35">
      <c r="A17" t="s">
        <v>308</v>
      </c>
      <c r="H17" s="283">
        <v>19100</v>
      </c>
      <c r="I17" s="283">
        <v>27000</v>
      </c>
    </row>
    <row r="18" spans="1:9" x14ac:dyDescent="0.35">
      <c r="A18" t="s">
        <v>309</v>
      </c>
      <c r="H18" s="283">
        <v>160900</v>
      </c>
      <c r="I18" s="283">
        <v>58400</v>
      </c>
    </row>
    <row r="19" spans="1:9" x14ac:dyDescent="0.35">
      <c r="A19" t="s">
        <v>310</v>
      </c>
      <c r="B19" s="283">
        <v>79458</v>
      </c>
      <c r="C19" s="283">
        <v>71318</v>
      </c>
      <c r="D19" s="283">
        <v>61083</v>
      </c>
      <c r="E19" s="283">
        <v>81998</v>
      </c>
      <c r="F19" s="283">
        <v>81147</v>
      </c>
      <c r="G19" s="283">
        <v>75093</v>
      </c>
      <c r="H19" s="283">
        <v>1086548</v>
      </c>
      <c r="I19" s="283">
        <v>1213308</v>
      </c>
    </row>
    <row r="20" spans="1:9" x14ac:dyDescent="0.35">
      <c r="A20" t="s">
        <v>311</v>
      </c>
      <c r="H20" s="283">
        <v>609300</v>
      </c>
      <c r="I20" s="283">
        <v>865600</v>
      </c>
    </row>
    <row r="21" spans="1:9" x14ac:dyDescent="0.35">
      <c r="A21" t="s">
        <v>312</v>
      </c>
      <c r="H21" s="283">
        <v>63800</v>
      </c>
      <c r="I21" s="283">
        <v>15000</v>
      </c>
    </row>
    <row r="22" spans="1:9" x14ac:dyDescent="0.35">
      <c r="A22" t="s">
        <v>313</v>
      </c>
      <c r="H22" s="283">
        <v>73300</v>
      </c>
      <c r="I22" s="283">
        <v>73300</v>
      </c>
    </row>
    <row r="23" spans="1:9" x14ac:dyDescent="0.35">
      <c r="A23" t="s">
        <v>314</v>
      </c>
      <c r="H23" s="283">
        <v>140000</v>
      </c>
      <c r="I23" s="283">
        <v>140000</v>
      </c>
    </row>
    <row r="24" spans="1:9" x14ac:dyDescent="0.35">
      <c r="A24" t="s">
        <v>315</v>
      </c>
      <c r="B24" s="283">
        <v>586475</v>
      </c>
      <c r="C24" s="283">
        <v>594213</v>
      </c>
      <c r="D24" s="283">
        <v>612547</v>
      </c>
      <c r="E24" s="283">
        <v>610331</v>
      </c>
      <c r="F24" s="283">
        <v>615406</v>
      </c>
      <c r="G24" s="283">
        <v>627805</v>
      </c>
      <c r="H24" s="283">
        <v>1396890</v>
      </c>
      <c r="I24" s="283">
        <v>728172</v>
      </c>
    </row>
    <row r="25" spans="1:9" x14ac:dyDescent="0.35">
      <c r="A25" t="s">
        <v>318</v>
      </c>
      <c r="B25" s="283">
        <v>1368395</v>
      </c>
      <c r="C25" s="283">
        <v>1388750</v>
      </c>
      <c r="D25" s="283">
        <v>1410626</v>
      </c>
      <c r="E25" s="283">
        <v>1429281</v>
      </c>
      <c r="F25" s="283">
        <v>1447946</v>
      </c>
      <c r="G25" s="283">
        <v>1452551</v>
      </c>
      <c r="H25" s="283">
        <v>1504782</v>
      </c>
      <c r="I25" s="283">
        <v>1486802</v>
      </c>
    </row>
    <row r="26" spans="1:9" x14ac:dyDescent="0.35">
      <c r="A26" t="s">
        <v>317</v>
      </c>
      <c r="B26" s="283">
        <v>1241599</v>
      </c>
      <c r="C26" s="283">
        <v>1245767</v>
      </c>
      <c r="D26" s="283">
        <v>1273567</v>
      </c>
      <c r="E26" s="283">
        <v>1288518</v>
      </c>
      <c r="F26" s="283">
        <v>1301120</v>
      </c>
      <c r="G26" s="283">
        <v>1306142</v>
      </c>
      <c r="H26" s="283">
        <v>1356816</v>
      </c>
      <c r="I26" s="283">
        <v>1335322</v>
      </c>
    </row>
    <row r="27" spans="1:9" x14ac:dyDescent="0.35">
      <c r="A27" t="s">
        <v>319</v>
      </c>
      <c r="B27" s="283">
        <v>389624</v>
      </c>
      <c r="C27" s="283">
        <v>404529</v>
      </c>
      <c r="D27" s="283">
        <v>419672</v>
      </c>
      <c r="E27" s="283">
        <v>418824</v>
      </c>
      <c r="F27" s="283">
        <v>411409</v>
      </c>
      <c r="G27" s="283">
        <v>423429</v>
      </c>
      <c r="H27" s="283">
        <v>512640</v>
      </c>
      <c r="I27" s="283">
        <v>486072</v>
      </c>
    </row>
    <row r="28" spans="1:9" x14ac:dyDescent="0.35">
      <c r="A28" t="s">
        <v>320</v>
      </c>
      <c r="B28" s="283">
        <v>728844</v>
      </c>
      <c r="C28" s="283">
        <v>738714</v>
      </c>
      <c r="D28" s="283">
        <v>755204</v>
      </c>
      <c r="E28" s="283">
        <v>763370</v>
      </c>
      <c r="F28" s="283">
        <v>760967</v>
      </c>
      <c r="G28" s="283">
        <v>767087</v>
      </c>
      <c r="H28" s="283">
        <v>812158</v>
      </c>
      <c r="I28" s="283">
        <v>835999</v>
      </c>
    </row>
    <row r="29" spans="1:9" x14ac:dyDescent="0.35">
      <c r="A29" t="s">
        <v>321</v>
      </c>
      <c r="B29" s="283">
        <v>589819</v>
      </c>
      <c r="C29" s="283">
        <v>599372</v>
      </c>
      <c r="D29" s="283">
        <v>614976</v>
      </c>
      <c r="E29" s="283">
        <v>622265</v>
      </c>
      <c r="F29" s="283">
        <v>619362</v>
      </c>
      <c r="G29" s="283">
        <v>624096</v>
      </c>
      <c r="H29" s="283">
        <v>668823</v>
      </c>
      <c r="I29" s="283">
        <v>691267</v>
      </c>
    </row>
    <row r="30" spans="1:9" x14ac:dyDescent="0.35">
      <c r="A30" t="s">
        <v>322</v>
      </c>
      <c r="B30" s="283">
        <v>1997129</v>
      </c>
      <c r="C30" s="283">
        <v>2012720</v>
      </c>
      <c r="D30" s="283">
        <v>2025477</v>
      </c>
      <c r="E30" s="283">
        <v>2028275</v>
      </c>
      <c r="F30" s="283">
        <v>2035602</v>
      </c>
      <c r="G30" s="283">
        <v>2041017</v>
      </c>
      <c r="H30" s="283">
        <v>2013139</v>
      </c>
      <c r="I30" s="283">
        <v>1992677</v>
      </c>
    </row>
    <row r="31" spans="1:9" x14ac:dyDescent="0.35">
      <c r="A31" t="s">
        <v>323</v>
      </c>
      <c r="B31" s="283">
        <v>2279638</v>
      </c>
      <c r="C31" s="283">
        <v>2292717</v>
      </c>
      <c r="D31" s="283">
        <v>2327018</v>
      </c>
      <c r="E31" s="283">
        <v>2337774</v>
      </c>
      <c r="F31" s="283">
        <v>2357385</v>
      </c>
      <c r="G31" s="283">
        <v>2381563</v>
      </c>
      <c r="H31" s="283">
        <v>2334544</v>
      </c>
      <c r="I31" s="283">
        <v>2329677</v>
      </c>
    </row>
    <row r="32" spans="1:9" x14ac:dyDescent="0.35">
      <c r="A32" t="s">
        <v>302</v>
      </c>
      <c r="B32" s="283">
        <v>21.568999999999999</v>
      </c>
      <c r="C32" s="283">
        <v>21.986000000000001</v>
      </c>
      <c r="D32" s="283">
        <v>22.076000000000001</v>
      </c>
      <c r="E32" s="283">
        <v>21.786999999999999</v>
      </c>
      <c r="F32" s="283">
        <v>21.143000000000001</v>
      </c>
      <c r="G32" s="283">
        <v>20.364999999999998</v>
      </c>
      <c r="H32" s="283">
        <v>19.106000000000002</v>
      </c>
      <c r="I32" s="283">
        <v>20.245999999999999</v>
      </c>
    </row>
    <row r="33" spans="1:9" x14ac:dyDescent="0.35">
      <c r="A33" t="s">
        <v>336</v>
      </c>
      <c r="H33" s="283">
        <v>277100</v>
      </c>
      <c r="I33" s="283">
        <v>228300</v>
      </c>
    </row>
    <row r="34" spans="1:9" x14ac:dyDescent="0.35">
      <c r="A34" t="s">
        <v>316</v>
      </c>
      <c r="H34" s="283">
        <v>690700</v>
      </c>
      <c r="I34" s="283">
        <v>39200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257</v>
      </c>
      <c r="B1" t="s">
        <v>290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B25" sqref="B25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239</v>
      </c>
      <c r="C8" s="161"/>
      <c r="D8" s="162">
        <f>SUMPRODUCT(B5:B6,C5:C6)</f>
        <v>0.45</v>
      </c>
    </row>
    <row r="9" spans="1:16" x14ac:dyDescent="0.35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299" t="s">
        <v>32</v>
      </c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</row>
    <row r="6" spans="1:19" s="6" customFormat="1" ht="15" customHeight="1" x14ac:dyDescent="0.3">
      <c r="A6" s="301" t="s">
        <v>33</v>
      </c>
      <c r="B6" s="301"/>
      <c r="C6" s="301"/>
      <c r="D6" s="301"/>
      <c r="E6" s="301"/>
      <c r="F6" s="301"/>
      <c r="G6" s="301"/>
      <c r="H6" s="301"/>
      <c r="I6" s="301"/>
      <c r="J6" s="301"/>
      <c r="K6" s="301"/>
      <c r="L6" s="301"/>
      <c r="M6" s="301"/>
      <c r="N6" s="301"/>
      <c r="O6" s="301"/>
      <c r="P6" s="301"/>
      <c r="Q6" s="301"/>
      <c r="R6" s="301"/>
      <c r="S6" s="301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02"/>
      <c r="S8" s="303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35">
      <c r="A15" t="s">
        <v>224</v>
      </c>
      <c r="F15" s="94">
        <f>main!K86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286" t="s">
        <v>208</v>
      </c>
      <c r="B1" s="286"/>
      <c r="C1" s="35"/>
      <c r="H1"/>
      <c r="I1"/>
      <c r="J1"/>
      <c r="X1" t="s">
        <v>28</v>
      </c>
      <c r="Z1" s="304" t="s">
        <v>84</v>
      </c>
      <c r="AA1" s="304"/>
      <c r="AB1" s="304"/>
      <c r="AC1" s="285"/>
      <c r="AD1" s="285"/>
      <c r="AE1" s="285"/>
      <c r="AF1" s="285"/>
    </row>
    <row r="2" spans="1:32" x14ac:dyDescent="0.35">
      <c r="A2" s="305" t="s">
        <v>192</v>
      </c>
      <c r="B2" s="107"/>
      <c r="C2" t="s">
        <v>193</v>
      </c>
    </row>
    <row r="3" spans="1:32" x14ac:dyDescent="0.35">
      <c r="A3" s="305"/>
      <c r="B3" s="108"/>
      <c r="C3" t="s">
        <v>194</v>
      </c>
    </row>
    <row r="4" spans="1:32" x14ac:dyDescent="0.35">
      <c r="A4" s="305"/>
      <c r="B4" s="109"/>
      <c r="C4" t="s">
        <v>195</v>
      </c>
    </row>
    <row r="5" spans="1:32" x14ac:dyDescent="0.35">
      <c r="A5" s="305"/>
      <c r="B5" s="98"/>
      <c r="C5" t="s">
        <v>182</v>
      </c>
    </row>
    <row r="7" spans="1:32" x14ac:dyDescent="0.35">
      <c r="C7" s="295" t="s">
        <v>160</v>
      </c>
      <c r="D7" s="296"/>
      <c r="E7" s="296"/>
      <c r="F7" s="297"/>
      <c r="G7" s="295" t="s">
        <v>166</v>
      </c>
      <c r="H7" s="296"/>
      <c r="I7" s="296"/>
      <c r="J7" s="297"/>
      <c r="K7" s="295" t="s">
        <v>177</v>
      </c>
      <c r="L7" s="296"/>
      <c r="M7" s="296"/>
      <c r="N7" s="297"/>
    </row>
    <row r="8" spans="1:32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185</v>
      </c>
      <c r="B23" s="110"/>
    </row>
    <row r="24" spans="1:12" x14ac:dyDescent="0.35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188</v>
      </c>
      <c r="B31" s="110"/>
    </row>
    <row r="32" spans="1:12" x14ac:dyDescent="0.35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189</v>
      </c>
      <c r="B53" s="105"/>
    </row>
    <row r="54" spans="1:12" x14ac:dyDescent="0.35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190</v>
      </c>
      <c r="B61" s="105"/>
    </row>
    <row r="62" spans="1:12" x14ac:dyDescent="0.35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main!L48/1000</f>
        <v>1086.548</v>
      </c>
      <c r="F70" s="102">
        <f>main!M48/1000</f>
        <v>1213.308</v>
      </c>
      <c r="G70" s="102">
        <f>main!N48/1000</f>
        <v>382.93200834658188</v>
      </c>
      <c r="H70" s="102">
        <f>main!O48/1000</f>
        <v>500.25024999999999</v>
      </c>
      <c r="I70" s="102">
        <f>main!P48/1000</f>
        <v>500.25024999999999</v>
      </c>
      <c r="J70" s="102">
        <f>main!Q48/1000</f>
        <v>500.25024999999999</v>
      </c>
      <c r="K70" s="102">
        <f>main!R48/1000</f>
        <v>100.25024999999999</v>
      </c>
    </row>
    <row r="71" spans="1:11" x14ac:dyDescent="0.35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179</v>
      </c>
      <c r="D72" s="103"/>
      <c r="E72" s="103"/>
      <c r="F72" s="103">
        <f>F70-F71</f>
        <v>123.49370595403002</v>
      </c>
      <c r="G72" s="103">
        <f t="shared" ref="G72:K72" si="23">G70-G71</f>
        <v>-710.45133036762809</v>
      </c>
      <c r="H72" s="103">
        <f t="shared" si="23"/>
        <v>-596.83788151563999</v>
      </c>
      <c r="I72" s="103">
        <f t="shared" si="23"/>
        <v>-600.80285823898998</v>
      </c>
      <c r="J72" s="103">
        <f t="shared" si="23"/>
        <v>-605.08458060643989</v>
      </c>
      <c r="K72" s="103">
        <f t="shared" si="23"/>
        <v>-1009.7000171346299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C1" zoomScale="110" zoomScaleNormal="110" workbookViewId="0">
      <selection activeCell="G22" sqref="F22:G22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311" t="s">
        <v>104</v>
      </c>
      <c r="B2" s="311"/>
      <c r="C2" s="311"/>
      <c r="D2" s="311"/>
      <c r="E2" s="311"/>
      <c r="F2" s="311"/>
      <c r="G2" s="311"/>
      <c r="H2" s="311"/>
      <c r="I2" s="311"/>
      <c r="J2" s="311"/>
      <c r="K2" s="77"/>
    </row>
    <row r="3" spans="1:24" x14ac:dyDescent="0.35">
      <c r="A3" s="311" t="s">
        <v>105</v>
      </c>
      <c r="B3" s="311"/>
      <c r="C3" s="311"/>
      <c r="D3" s="311"/>
      <c r="E3" s="311"/>
      <c r="F3" s="311"/>
      <c r="G3" s="311"/>
      <c r="H3" s="311"/>
      <c r="I3" s="311"/>
      <c r="J3" s="311"/>
      <c r="K3" s="77"/>
    </row>
    <row r="4" spans="1:24" ht="15" thickBot="1" x14ac:dyDescent="0.4">
      <c r="A4" s="312"/>
      <c r="B4" s="312"/>
      <c r="C4" s="312"/>
      <c r="D4" s="312"/>
      <c r="E4" s="312"/>
      <c r="F4" s="312"/>
      <c r="G4" s="312"/>
      <c r="H4" s="312"/>
      <c r="I4" s="312"/>
      <c r="J4" s="312"/>
      <c r="K4" s="317" t="s">
        <v>160</v>
      </c>
      <c r="L4" s="317"/>
      <c r="M4" s="317"/>
      <c r="N4" s="317"/>
    </row>
    <row r="5" spans="1:24" x14ac:dyDescent="0.35">
      <c r="A5" s="47"/>
      <c r="B5" s="48"/>
      <c r="C5" s="313" t="s">
        <v>106</v>
      </c>
      <c r="D5" s="314"/>
      <c r="E5" s="314"/>
      <c r="F5" s="314"/>
      <c r="G5" s="314"/>
      <c r="H5" s="314"/>
      <c r="I5" s="314"/>
      <c r="J5" s="315"/>
      <c r="K5" s="78"/>
      <c r="L5" s="316" t="s">
        <v>107</v>
      </c>
      <c r="M5" s="285"/>
      <c r="N5" s="285"/>
    </row>
    <row r="6" spans="1:24" x14ac:dyDescent="0.35">
      <c r="A6" s="1" t="s">
        <v>109</v>
      </c>
      <c r="B6" s="49"/>
      <c r="C6" s="307">
        <v>2020</v>
      </c>
      <c r="D6" s="308"/>
      <c r="E6" s="308"/>
      <c r="F6" s="308"/>
      <c r="G6" s="308"/>
      <c r="H6" s="308"/>
      <c r="I6" s="308"/>
      <c r="J6" s="309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285" t="s">
        <v>9</v>
      </c>
      <c r="L22" s="285"/>
      <c r="M22" s="285"/>
      <c r="N22" s="285"/>
      <c r="O22" s="285" t="s">
        <v>10</v>
      </c>
      <c r="P22" s="285"/>
      <c r="Q22" s="285"/>
      <c r="R22" s="285"/>
      <c r="S22" s="285" t="s">
        <v>11</v>
      </c>
      <c r="T22" s="285"/>
      <c r="U22" s="285"/>
      <c r="V22" s="285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10" t="s">
        <v>108</v>
      </c>
      <c r="L23" s="310"/>
      <c r="M23" s="310"/>
      <c r="N23" s="310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06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06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06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06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06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06"/>
      <c r="J34" t="s">
        <v>260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119.04333333333334</v>
      </c>
      <c r="R35" s="72"/>
    </row>
    <row r="36" spans="3:23" x14ac:dyDescent="0.35">
      <c r="C36" t="s">
        <v>269</v>
      </c>
    </row>
    <row r="37" spans="3:23" x14ac:dyDescent="0.35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19" t="s">
        <v>87</v>
      </c>
      <c r="F6" s="319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</row>
    <row r="7" spans="1:18" x14ac:dyDescent="0.35">
      <c r="A7" s="318" t="s">
        <v>88</v>
      </c>
      <c r="B7" s="318"/>
      <c r="C7" s="318"/>
      <c r="D7" s="31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18" t="s">
        <v>89</v>
      </c>
      <c r="C8" s="318"/>
      <c r="D8" s="31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18" t="s">
        <v>90</v>
      </c>
      <c r="C9" s="318"/>
      <c r="D9" s="31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18" t="s">
        <v>91</v>
      </c>
      <c r="C10" s="318"/>
      <c r="D10" s="31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18" t="s">
        <v>58</v>
      </c>
      <c r="C11" s="318"/>
      <c r="D11" s="31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18" t="s">
        <v>34</v>
      </c>
      <c r="D13" s="31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18" t="s">
        <v>89</v>
      </c>
      <c r="C19" s="318"/>
      <c r="D19" s="31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18" t="s">
        <v>90</v>
      </c>
      <c r="C20" s="318"/>
      <c r="D20" s="31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18" t="s">
        <v>91</v>
      </c>
      <c r="C21" s="318"/>
      <c r="D21" s="31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18" t="s">
        <v>58</v>
      </c>
      <c r="C22" s="318"/>
      <c r="D22" s="31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20" t="s">
        <v>95</v>
      </c>
      <c r="I27" s="320"/>
      <c r="J27" s="320"/>
      <c r="K27" s="320"/>
      <c r="L27" s="320"/>
      <c r="M27" s="320"/>
      <c r="N27" s="320"/>
      <c r="O27" s="320"/>
      <c r="P27" s="320"/>
      <c r="Q27" s="320"/>
      <c r="R27" s="320"/>
      <c r="S27" s="320"/>
      <c r="T27" s="320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21" t="s">
        <v>99</v>
      </c>
      <c r="G37" s="321"/>
      <c r="H37" s="321"/>
      <c r="I37" s="321"/>
      <c r="J37" s="321"/>
      <c r="K37" s="321"/>
      <c r="L37" s="321"/>
      <c r="M37" s="321"/>
      <c r="N37" s="321"/>
      <c r="O37" s="321"/>
      <c r="P37" s="321"/>
      <c r="Q37" s="321"/>
      <c r="R37" s="321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20" t="s">
        <v>101</v>
      </c>
      <c r="G48" s="320"/>
      <c r="H48" s="320"/>
      <c r="I48" s="320"/>
      <c r="J48" s="320"/>
      <c r="K48" s="320"/>
      <c r="L48" s="320"/>
      <c r="M48" s="320"/>
      <c r="N48" s="320"/>
      <c r="O48" s="320"/>
      <c r="P48" s="320"/>
      <c r="Q48" s="320"/>
      <c r="R48" s="320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299" t="s">
        <v>32</v>
      </c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</row>
    <row r="6" spans="1:19" s="6" customFormat="1" ht="15" customHeight="1" x14ac:dyDescent="0.3">
      <c r="A6" s="301" t="s">
        <v>33</v>
      </c>
      <c r="B6" s="301"/>
      <c r="C6" s="301"/>
      <c r="D6" s="301"/>
      <c r="E6" s="301"/>
      <c r="F6" s="301"/>
      <c r="G6" s="301"/>
      <c r="H6" s="301"/>
      <c r="I6" s="301"/>
      <c r="J6" s="301"/>
      <c r="K6" s="301"/>
      <c r="L6" s="301"/>
      <c r="M6" s="301"/>
      <c r="N6" s="301"/>
      <c r="O6" s="301"/>
      <c r="P6" s="301"/>
      <c r="Q6" s="301"/>
      <c r="R6" s="301"/>
      <c r="S6" s="301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02" t="s">
        <v>34</v>
      </c>
      <c r="S8" s="303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22" t="s">
        <v>42</v>
      </c>
      <c r="E75" s="32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66951ee6-cd93-49c7-9437-e871b2a117d6"/>
    <ds:schemaRef ds:uri="cac5d118-ba7b-4807-b700-df6f95cfff5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2020-12-17T16:40:43Z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