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C29192E4-CF7D-4AEE-A36A-16C1474A059F}" xr6:coauthVersionLast="44" xr6:coauthVersionMax="45" xr10:uidLastSave="{00000000-0000-0000-0000-000000000000}"/>
  <bookViews>
    <workbookView xWindow="-28920" yWindow="855" windowWidth="29040" windowHeight="15840" xr2:uid="{BAFE3F49-3B7E-4387-938E-5F3D7AC6DAFE}"/>
  </bookViews>
  <sheets>
    <sheet name="main" sheetId="1" r:id="rId1"/>
    <sheet name="Haver NA" sheetId="14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3" i="1" l="1"/>
  <c r="L33" i="1" l="1"/>
  <c r="M7" i="1"/>
  <c r="M12" i="1"/>
  <c r="M14" i="1"/>
  <c r="M16" i="1"/>
  <c r="M18" i="1"/>
  <c r="M23" i="1"/>
  <c r="M24" i="1"/>
  <c r="M25" i="1"/>
  <c r="M26" i="1"/>
  <c r="M30" i="1"/>
  <c r="M31" i="1"/>
  <c r="M32" i="1"/>
  <c r="M34" i="1"/>
  <c r="M40" i="1"/>
  <c r="M41" i="1"/>
  <c r="M47" i="1"/>
  <c r="M49" i="1"/>
  <c r="M50" i="1"/>
  <c r="M51" i="1"/>
  <c r="M52" i="1"/>
  <c r="M53" i="1"/>
  <c r="M55" i="1"/>
  <c r="M65" i="1"/>
  <c r="M66" i="1"/>
  <c r="M68" i="1"/>
  <c r="M72" i="1"/>
  <c r="M75" i="1"/>
  <c r="M78" i="1"/>
  <c r="M81" i="1"/>
  <c r="M5" i="1"/>
  <c r="M56" i="1" l="1"/>
  <c r="M39" i="1"/>
  <c r="M42" i="1" s="1"/>
  <c r="M48" i="1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K70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7" i="1"/>
  <c r="X87" i="1"/>
  <c r="W87" i="1"/>
  <c r="Y86" i="1"/>
  <c r="Y88" i="1" s="1"/>
  <c r="X86" i="1"/>
  <c r="X88" i="1" s="1"/>
  <c r="W86" i="1"/>
  <c r="W88" i="1" s="1"/>
  <c r="N82" i="1"/>
  <c r="O82" i="1" s="1"/>
  <c r="P82" i="1" s="1"/>
  <c r="Q82" i="1" s="1"/>
  <c r="R82" i="1" s="1"/>
  <c r="S82" i="1" s="1"/>
  <c r="L83" i="1"/>
  <c r="L79" i="1"/>
  <c r="F79" i="1"/>
  <c r="G79" i="1"/>
  <c r="H79" i="1"/>
  <c r="I79" i="1"/>
  <c r="J79" i="1"/>
  <c r="K79" i="1"/>
  <c r="K83" i="1"/>
  <c r="J83" i="1"/>
  <c r="N37" i="1" l="1"/>
  <c r="L50" i="1" l="1"/>
  <c r="K50" i="1"/>
  <c r="L73" i="1"/>
  <c r="L56" i="1"/>
  <c r="N16" i="1"/>
  <c r="N6" i="1"/>
  <c r="N12" i="1"/>
  <c r="N14" i="1"/>
  <c r="N11" i="1" l="1"/>
  <c r="AA25" i="5"/>
  <c r="AA26" i="5" s="1"/>
  <c r="Z25" i="5"/>
  <c r="Y25" i="5"/>
  <c r="X25" i="5"/>
  <c r="W25" i="5"/>
  <c r="V25" i="5"/>
  <c r="U25" i="5"/>
  <c r="T25" i="5"/>
  <c r="T26" i="5" s="1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2" i="5"/>
  <c r="S72" i="5"/>
  <c r="T72" i="5"/>
  <c r="T73" i="5" s="1"/>
  <c r="U72" i="5"/>
  <c r="U73" i="5" s="1"/>
  <c r="V72" i="5"/>
  <c r="V73" i="5" s="1"/>
  <c r="W72" i="5"/>
  <c r="W73" i="5" s="1"/>
  <c r="X72" i="5"/>
  <c r="Y72" i="5"/>
  <c r="Z72" i="5"/>
  <c r="Z73" i="5" s="1"/>
  <c r="AA72" i="5"/>
  <c r="AA73" i="5" s="1"/>
  <c r="N65" i="5"/>
  <c r="O65" i="5"/>
  <c r="P65" i="5"/>
  <c r="P66" i="5" s="1"/>
  <c r="Q65" i="5"/>
  <c r="Q66" i="5" s="1"/>
  <c r="R65" i="5"/>
  <c r="S65" i="5"/>
  <c r="T65" i="5"/>
  <c r="U65" i="5"/>
  <c r="V65" i="5"/>
  <c r="W65" i="5"/>
  <c r="X65" i="5"/>
  <c r="X66" i="5" s="1"/>
  <c r="Y65" i="5"/>
  <c r="Z65" i="5"/>
  <c r="AA65" i="5"/>
  <c r="M65" i="5"/>
  <c r="G42" i="1"/>
  <c r="L58" i="5"/>
  <c r="M58" i="5"/>
  <c r="M59" i="5" s="1"/>
  <c r="N58" i="5"/>
  <c r="O58" i="5"/>
  <c r="P58" i="5"/>
  <c r="P59" i="5" s="1"/>
  <c r="Q58" i="5"/>
  <c r="Q59" i="5" s="1"/>
  <c r="R58" i="5"/>
  <c r="R59" i="5" s="1"/>
  <c r="S58" i="5"/>
  <c r="T58" i="5"/>
  <c r="T59" i="5" s="1"/>
  <c r="U58" i="5"/>
  <c r="V58" i="5"/>
  <c r="V59" i="5" s="1"/>
  <c r="W58" i="5"/>
  <c r="W59" i="5" s="1"/>
  <c r="X58" i="5"/>
  <c r="X59" i="5" s="1"/>
  <c r="Y58" i="5"/>
  <c r="Y59" i="5" s="1"/>
  <c r="Z58" i="5"/>
  <c r="AA58" i="5"/>
  <c r="Q33" i="5" l="1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7" i="1"/>
  <c r="Y67" i="1"/>
  <c r="X67" i="1"/>
  <c r="W67" i="1"/>
  <c r="P72" i="5"/>
  <c r="Q72" i="5"/>
  <c r="L4" i="10" l="1"/>
  <c r="G38" i="11" s="1"/>
  <c r="G41" i="11" s="1"/>
  <c r="O31" i="1"/>
  <c r="Q73" i="5"/>
  <c r="R73" i="5"/>
  <c r="O72" i="5"/>
  <c r="S48" i="1"/>
  <c r="N49" i="1"/>
  <c r="P49" i="1"/>
  <c r="Q49" i="1"/>
  <c r="R49" i="1"/>
  <c r="T49" i="1"/>
  <c r="U49" i="1"/>
  <c r="V49" i="1"/>
  <c r="T50" i="1"/>
  <c r="U50" i="1"/>
  <c r="V50" i="1"/>
  <c r="P31" i="1" l="1"/>
  <c r="M4" i="10"/>
  <c r="H38" i="11" s="1"/>
  <c r="H41" i="11" s="1"/>
  <c r="O48" i="1"/>
  <c r="P48" i="1"/>
  <c r="U48" i="1"/>
  <c r="T48" i="1"/>
  <c r="N48" i="1"/>
  <c r="V48" i="1"/>
  <c r="R48" i="1"/>
  <c r="Q48" i="1"/>
  <c r="L48" i="1"/>
  <c r="E44" i="5"/>
  <c r="L32" i="5"/>
  <c r="M32" i="5"/>
  <c r="L65" i="5"/>
  <c r="M66" i="5" s="1"/>
  <c r="L72" i="5"/>
  <c r="M72" i="5"/>
  <c r="N72" i="5"/>
  <c r="S59" i="1"/>
  <c r="T59" i="1"/>
  <c r="U59" i="1"/>
  <c r="V59" i="1"/>
  <c r="W59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4" i="1"/>
  <c r="V47" i="1"/>
  <c r="U47" i="1"/>
  <c r="T47" i="1"/>
  <c r="S47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K22" i="1"/>
  <c r="E38" i="5" s="1"/>
  <c r="J22" i="1"/>
  <c r="I22" i="1"/>
  <c r="H22" i="1"/>
  <c r="G22" i="1"/>
  <c r="F22" i="1"/>
  <c r="E22" i="1"/>
  <c r="V6" i="1"/>
  <c r="U6" i="1"/>
  <c r="T6" i="1"/>
  <c r="S6" i="1"/>
  <c r="R6" i="1"/>
  <c r="Q6" i="1"/>
  <c r="P6" i="1"/>
  <c r="O6" i="1"/>
  <c r="L6" i="1"/>
  <c r="K6" i="1"/>
  <c r="J6" i="1"/>
  <c r="I6" i="1"/>
  <c r="H6" i="1"/>
  <c r="G6" i="1"/>
  <c r="F6" i="1"/>
  <c r="K27" i="1"/>
  <c r="J27" i="1"/>
  <c r="I27" i="1"/>
  <c r="H27" i="1"/>
  <c r="G27" i="1"/>
  <c r="F27" i="1"/>
  <c r="E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L26" i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L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K11" i="1"/>
  <c r="J11" i="1"/>
  <c r="I11" i="1"/>
  <c r="H11" i="1"/>
  <c r="G11" i="1"/>
  <c r="F11" i="1"/>
  <c r="E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K73" i="1" l="1"/>
  <c r="J73" i="1"/>
  <c r="I73" i="1"/>
  <c r="H73" i="1"/>
  <c r="G73" i="1"/>
  <c r="F73" i="1"/>
  <c r="E73" i="1"/>
  <c r="K59" i="1"/>
  <c r="F56" i="1"/>
  <c r="G56" i="1"/>
  <c r="H56" i="1"/>
  <c r="I56" i="1"/>
  <c r="J56" i="1"/>
  <c r="K56" i="1"/>
  <c r="K57" i="1" s="1"/>
  <c r="E56" i="1"/>
  <c r="AJ68" i="1"/>
  <c r="AI68" i="1"/>
  <c r="AH68" i="1"/>
  <c r="I77" i="1"/>
  <c r="J77" i="1"/>
  <c r="F15" i="7" s="1"/>
  <c r="J15" i="7" s="1"/>
  <c r="J13" i="7" s="1"/>
  <c r="F77" i="1"/>
  <c r="G77" i="1"/>
  <c r="H77" i="1"/>
  <c r="E77" i="1"/>
  <c r="K63" i="1" l="1"/>
  <c r="E71" i="5" s="1"/>
  <c r="J2" i="9" s="1"/>
  <c r="H15" i="7"/>
  <c r="H13" i="7" s="1"/>
  <c r="AI75" i="1" s="1"/>
  <c r="K15" i="7"/>
  <c r="K13" i="7" s="1"/>
  <c r="F13" i="7"/>
  <c r="G15" i="7"/>
  <c r="G13" i="7" s="1"/>
  <c r="AH75" i="1" s="1"/>
  <c r="I15" i="7"/>
  <c r="I13" i="7" s="1"/>
  <c r="AJ75" i="1" s="1"/>
  <c r="J63" i="1"/>
  <c r="N78" i="1"/>
  <c r="O78" i="1" s="1"/>
  <c r="P78" i="1" s="1"/>
  <c r="Q78" i="1" s="1"/>
  <c r="R78" i="1" s="1"/>
  <c r="S78" i="1" s="1"/>
  <c r="T78" i="1" s="1"/>
  <c r="U78" i="1" s="1"/>
  <c r="V78" i="1" s="1"/>
  <c r="T84" i="1"/>
  <c r="T82" i="1" s="1"/>
  <c r="U84" i="1"/>
  <c r="U82" i="1" l="1"/>
  <c r="V82" i="1" s="1"/>
  <c r="N75" i="1"/>
  <c r="L6" i="10" s="1"/>
  <c r="G24" i="11" s="1"/>
  <c r="G27" i="11" s="1"/>
  <c r="L15" i="7"/>
  <c r="L13" i="7" s="1"/>
  <c r="AC75" i="1"/>
  <c r="D25" i="5"/>
  <c r="E50" i="5"/>
  <c r="L87" i="1"/>
  <c r="E86" i="1"/>
  <c r="E88" i="1" s="1"/>
  <c r="K87" i="1"/>
  <c r="D24" i="5" s="1"/>
  <c r="L39" i="1"/>
  <c r="K39" i="1"/>
  <c r="O75" i="1" l="1"/>
  <c r="M6" i="10" s="1"/>
  <c r="H24" i="11" s="1"/>
  <c r="H27" i="11" s="1"/>
  <c r="L42" i="1"/>
  <c r="N68" i="1"/>
  <c r="E24" i="5"/>
  <c r="L59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7" i="1"/>
  <c r="O67" i="1"/>
  <c r="P67" i="1"/>
  <c r="Q67" i="1"/>
  <c r="R67" i="1"/>
  <c r="S67" i="1"/>
  <c r="T67" i="1"/>
  <c r="U67" i="1"/>
  <c r="V67" i="1"/>
  <c r="L67" i="1"/>
  <c r="L57" i="1" s="1"/>
  <c r="O39" i="1"/>
  <c r="P39" i="1"/>
  <c r="Q39" i="1"/>
  <c r="R39" i="1"/>
  <c r="N39" i="1"/>
  <c r="P75" i="1" l="1"/>
  <c r="N6" i="10" s="1"/>
  <c r="I24" i="11" s="1"/>
  <c r="I27" i="11" s="1"/>
  <c r="O68" i="1"/>
  <c r="N57" i="1"/>
  <c r="O57" i="1" s="1"/>
  <c r="E54" i="6"/>
  <c r="E56" i="6" s="1"/>
  <c r="L63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8" i="1" l="1"/>
  <c r="F54" i="6"/>
  <c r="Q75" i="1"/>
  <c r="O6" i="10" s="1"/>
  <c r="J24" i="11" s="1"/>
  <c r="J27" i="11" s="1"/>
  <c r="F71" i="5"/>
  <c r="J3" i="9" s="1"/>
  <c r="P57" i="1"/>
  <c r="Q68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G54" i="6" l="1"/>
  <c r="F56" i="6"/>
  <c r="F58" i="6" s="1"/>
  <c r="R75" i="1"/>
  <c r="P6" i="10" s="1"/>
  <c r="K24" i="11" s="1"/>
  <c r="K27" i="11" s="1"/>
  <c r="AD75" i="1"/>
  <c r="Q5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8" i="1" l="1"/>
  <c r="G56" i="6"/>
  <c r="G58" i="6" s="1"/>
  <c r="H54" i="6"/>
  <c r="S75" i="1"/>
  <c r="Q6" i="10" s="1"/>
  <c r="L24" i="11" s="1"/>
  <c r="L27" i="11" s="1"/>
  <c r="R57" i="1"/>
  <c r="S57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8" i="1" l="1"/>
  <c r="H56" i="6"/>
  <c r="H58" i="6" s="1"/>
  <c r="I54" i="6"/>
  <c r="T75" i="1"/>
  <c r="R6" i="10" s="1"/>
  <c r="M24" i="11" s="1"/>
  <c r="T57" i="1"/>
  <c r="S63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8" i="1"/>
  <c r="M27" i="11"/>
  <c r="N24" i="11"/>
  <c r="U75" i="1"/>
  <c r="S6" i="10" s="1"/>
  <c r="U57" i="1"/>
  <c r="T63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5" i="1"/>
  <c r="T6" i="10" s="1"/>
  <c r="U68" i="1"/>
  <c r="AE75" i="1"/>
  <c r="V57" i="1"/>
  <c r="U63" i="1"/>
  <c r="N71" i="5" s="1"/>
  <c r="N74" i="5" s="1"/>
  <c r="N59" i="1"/>
  <c r="N63" i="1" s="1"/>
  <c r="O59" i="1"/>
  <c r="O63" i="1" s="1"/>
  <c r="P59" i="1"/>
  <c r="P63" i="1" s="1"/>
  <c r="Q59" i="1"/>
  <c r="Q63" i="1" s="1"/>
  <c r="R59" i="1"/>
  <c r="R63" i="1" s="1"/>
  <c r="N47" i="1"/>
  <c r="O47" i="1"/>
  <c r="P47" i="1"/>
  <c r="Q47" i="1"/>
  <c r="R47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8" i="1"/>
  <c r="V87" i="1" s="1"/>
  <c r="D2" i="9" a="1"/>
  <c r="D18" i="9" s="1"/>
  <c r="K52" i="5"/>
  <c r="L52" i="5"/>
  <c r="V63" i="1"/>
  <c r="O71" i="5" s="1"/>
  <c r="O74" i="5" s="1"/>
  <c r="W57" i="1"/>
  <c r="W63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5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5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5" i="1"/>
  <c r="S24" i="11" l="1"/>
  <c r="R27" i="11"/>
  <c r="S71" i="5"/>
  <c r="R74" i="5"/>
  <c r="R55" i="1"/>
  <c r="Q55" i="1"/>
  <c r="T24" i="11" l="1"/>
  <c r="S27" i="11"/>
  <c r="T71" i="5"/>
  <c r="S74" i="5"/>
  <c r="F86" i="1"/>
  <c r="F88" i="1" s="1"/>
  <c r="G86" i="1"/>
  <c r="G88" i="1" s="1"/>
  <c r="H86" i="1"/>
  <c r="H88" i="1" s="1"/>
  <c r="I86" i="1"/>
  <c r="I88" i="1" s="1"/>
  <c r="J86" i="1"/>
  <c r="J88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K42" i="1"/>
  <c r="J42" i="1"/>
  <c r="I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K43" i="1"/>
  <c r="I69" i="1"/>
  <c r="J69" i="1"/>
  <c r="D57" i="5" s="1"/>
  <c r="J43" i="1"/>
  <c r="V71" i="5"/>
  <c r="U74" i="5"/>
  <c r="G47" i="2"/>
  <c r="J45" i="1"/>
  <c r="I45" i="1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L3" i="9" s="1" a="1"/>
  <c r="L3" i="9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K36" i="1" s="1"/>
  <c r="K35" i="1" s="1"/>
  <c r="AE36" i="1"/>
  <c r="L34" i="4"/>
  <c r="L38" i="4"/>
  <c r="L18" i="4" s="1"/>
  <c r="P18" i="4"/>
  <c r="O38" i="1" s="1"/>
  <c r="O18" i="4"/>
  <c r="N38" i="1" s="1"/>
  <c r="R18" i="4"/>
  <c r="Q38" i="1" s="1"/>
  <c r="Q33" i="1" l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K69" i="1"/>
  <c r="E57" i="5" s="1"/>
  <c r="K45" i="1"/>
  <c r="N33" i="4"/>
  <c r="N17" i="4" s="1"/>
  <c r="L36" i="1" s="1"/>
  <c r="N10" i="4"/>
  <c r="AD38" i="1"/>
  <c r="M38" i="4"/>
  <c r="M18" i="4" s="1"/>
  <c r="K38" i="1" s="1"/>
  <c r="N8" i="4"/>
  <c r="N18" i="4"/>
  <c r="L38" i="1" s="1"/>
  <c r="L86" i="1" s="1"/>
  <c r="L88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L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F42" i="1"/>
  <c r="G69" i="1"/>
  <c r="H42" i="1"/>
  <c r="E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E69" i="1"/>
  <c r="F69" i="1"/>
  <c r="F43" i="1"/>
  <c r="G43" i="1"/>
  <c r="H69" i="1"/>
  <c r="H43" i="1"/>
  <c r="I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L35" i="1"/>
  <c r="E45" i="1"/>
  <c r="F45" i="1"/>
  <c r="G45" i="1"/>
  <c r="H45" i="1"/>
  <c r="AC38" i="1"/>
  <c r="K86" i="1"/>
  <c r="AD33" i="1"/>
  <c r="H49" i="2"/>
  <c r="H50" i="2" s="1"/>
  <c r="AC36" i="1"/>
  <c r="I49" i="2"/>
  <c r="I50" i="2" s="1"/>
  <c r="Z24" i="11" l="1"/>
  <c r="Y27" i="11"/>
  <c r="AC33" i="1"/>
  <c r="Z71" i="5"/>
  <c r="Y74" i="5"/>
  <c r="K88" i="1"/>
  <c r="E31" i="5" s="1"/>
  <c r="AD14" i="1"/>
  <c r="AE16" i="1"/>
  <c r="AD16" i="1"/>
  <c r="AB55" i="1"/>
  <c r="AB68" i="1"/>
  <c r="AB47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8" i="1"/>
  <c r="L70" i="1"/>
  <c r="B2" i="12" l="1" a="1"/>
  <c r="B2" i="12" s="1"/>
  <c r="F50" i="5"/>
  <c r="F53" i="5" s="1"/>
  <c r="N18" i="1"/>
  <c r="AC18" i="1"/>
  <c r="AH42" i="1"/>
  <c r="L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70" i="1"/>
  <c r="AB42" i="1"/>
  <c r="AI45" i="1"/>
  <c r="O18" i="1"/>
  <c r="L69" i="1"/>
  <c r="L45" i="1"/>
  <c r="AC42" i="1"/>
  <c r="AN42" i="1" s="1"/>
  <c r="AD31" i="1"/>
  <c r="F57" i="5" l="1"/>
  <c r="F60" i="5" s="1"/>
  <c r="AM42" i="1"/>
  <c r="N45" i="1"/>
  <c r="N69" i="1"/>
  <c r="G57" i="5" s="1"/>
  <c r="G60" i="5" s="1"/>
  <c r="P18" i="1"/>
  <c r="O12" i="1"/>
  <c r="AE31" i="1"/>
  <c r="Q18" i="1" l="1"/>
  <c r="AD18" i="1" s="1"/>
  <c r="P12" i="1"/>
  <c r="O11" i="1"/>
  <c r="O69" i="1"/>
  <c r="H57" i="5" s="1"/>
  <c r="H60" i="5" s="1"/>
  <c r="O45" i="1"/>
  <c r="P45" i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9" i="1"/>
  <c r="I57" i="5" s="1"/>
  <c r="I60" i="5" s="1"/>
  <c r="Q45" i="1" l="1"/>
  <c r="R45" i="1"/>
  <c r="S18" i="1"/>
  <c r="R12" i="1"/>
  <c r="Q11" i="1"/>
  <c r="Q30" i="1"/>
  <c r="O3" i="10" s="1"/>
  <c r="J45" i="11" s="1"/>
  <c r="J48" i="11" s="1"/>
  <c r="Q69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9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S45" i="1"/>
  <c r="K48" i="11" l="1"/>
  <c r="K60" i="5"/>
  <c r="U18" i="1"/>
  <c r="T12" i="1"/>
  <c r="S11" i="1"/>
  <c r="S69" i="1"/>
  <c r="S30" i="1"/>
  <c r="Q3" i="10" s="1"/>
  <c r="T45" i="1"/>
  <c r="L48" i="11" l="1"/>
  <c r="M60" i="5"/>
  <c r="V18" i="1"/>
  <c r="AE18" i="1"/>
  <c r="U12" i="1"/>
  <c r="T11" i="1"/>
  <c r="T69" i="1"/>
  <c r="T30" i="1"/>
  <c r="R3" i="10" s="1"/>
  <c r="M48" i="11" l="1"/>
  <c r="N60" i="5"/>
  <c r="U45" i="1"/>
  <c r="U11" i="1"/>
  <c r="V12" i="1"/>
  <c r="V11" i="1" s="1"/>
  <c r="AE12" i="1"/>
  <c r="U69" i="1"/>
  <c r="AE42" i="1"/>
  <c r="U30" i="1"/>
  <c r="S3" i="10" s="1"/>
  <c r="N48" i="11" l="1"/>
  <c r="O60" i="5"/>
  <c r="V69" i="1"/>
  <c r="V45" i="1"/>
  <c r="G71" i="5"/>
  <c r="G74" i="5" s="1"/>
  <c r="N70" i="1"/>
  <c r="G50" i="5" s="1"/>
  <c r="G53" i="5" s="1"/>
  <c r="N87" i="1"/>
  <c r="F24" i="5" s="1"/>
  <c r="F27" i="5" s="1"/>
  <c r="O48" i="11" l="1"/>
  <c r="P60" i="5"/>
  <c r="O87" i="1"/>
  <c r="G24" i="5" s="1"/>
  <c r="G27" i="5" s="1"/>
  <c r="H71" i="5"/>
  <c r="H74" i="5" s="1"/>
  <c r="O70" i="1"/>
  <c r="H50" i="5" s="1"/>
  <c r="H53" i="5" s="1"/>
  <c r="P48" i="11" l="1"/>
  <c r="Q60" i="5"/>
  <c r="I71" i="5"/>
  <c r="I74" i="5" s="1"/>
  <c r="P87" i="1"/>
  <c r="H24" i="5" s="1"/>
  <c r="H27" i="5" s="1"/>
  <c r="P70" i="1"/>
  <c r="I50" i="5" s="1"/>
  <c r="I53" i="5" s="1"/>
  <c r="Q48" i="11" l="1"/>
  <c r="R60" i="5"/>
  <c r="J71" i="5"/>
  <c r="J74" i="5" s="1"/>
  <c r="AD68" i="1"/>
  <c r="Q87" i="1"/>
  <c r="I24" i="5" s="1"/>
  <c r="I27" i="5" s="1"/>
  <c r="Q70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70" i="1"/>
  <c r="R87" i="1"/>
  <c r="J24" i="5" s="1"/>
  <c r="J27" i="5" s="1"/>
  <c r="I2" i="9" l="1" a="1"/>
  <c r="I4" i="9" s="1"/>
  <c r="I2" i="12" a="1"/>
  <c r="S48" i="11"/>
  <c r="K53" i="5"/>
  <c r="P50" i="5"/>
  <c r="O53" i="5"/>
  <c r="T60" i="5"/>
  <c r="S87" i="1"/>
  <c r="K24" i="5" s="1"/>
  <c r="K27" i="5" s="1"/>
  <c r="S70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7" i="1"/>
  <c r="L24" i="5" s="1"/>
  <c r="L27" i="5" s="1"/>
  <c r="T70" i="1"/>
  <c r="M53" i="5" s="1"/>
  <c r="U48" i="11" l="1"/>
  <c r="R50" i="5"/>
  <c r="Q53" i="5"/>
  <c r="V60" i="5"/>
  <c r="U70" i="1"/>
  <c r="N53" i="5" s="1"/>
  <c r="U87" i="1"/>
  <c r="M24" i="5" s="1"/>
  <c r="AE68" i="1"/>
  <c r="V48" i="11" l="1"/>
  <c r="M27" i="5"/>
  <c r="N24" i="5"/>
  <c r="S50" i="5"/>
  <c r="R53" i="5"/>
  <c r="W60" i="5"/>
  <c r="N73" i="1"/>
  <c r="O73" i="1" s="1"/>
  <c r="W48" i="11" l="1"/>
  <c r="O24" i="5"/>
  <c r="N27" i="5"/>
  <c r="S53" i="5"/>
  <c r="T50" i="5"/>
  <c r="X60" i="5"/>
  <c r="N72" i="1"/>
  <c r="O72" i="1"/>
  <c r="P73" i="1"/>
  <c r="X48" i="11" l="1"/>
  <c r="O86" i="1"/>
  <c r="O88" i="1" s="1"/>
  <c r="H31" i="5" s="1"/>
  <c r="H34" i="5" s="1"/>
  <c r="M5" i="10"/>
  <c r="H31" i="11" s="1"/>
  <c r="H34" i="11" s="1"/>
  <c r="N86" i="1"/>
  <c r="N88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3" i="1"/>
  <c r="P72" i="1"/>
  <c r="Y48" i="11" l="1"/>
  <c r="P86" i="1"/>
  <c r="P88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3" i="1"/>
  <c r="Q72" i="1"/>
  <c r="AA48" i="11" l="1"/>
  <c r="Z48" i="11"/>
  <c r="Q86" i="1"/>
  <c r="Q88" i="1" s="1"/>
  <c r="J31" i="5" s="1"/>
  <c r="J34" i="5" s="1"/>
  <c r="O5" i="10"/>
  <c r="J31" i="11" s="1"/>
  <c r="J34" i="11" s="1"/>
  <c r="R24" i="5"/>
  <c r="Q27" i="5"/>
  <c r="W50" i="5"/>
  <c r="V53" i="5"/>
  <c r="S73" i="1"/>
  <c r="R72" i="1"/>
  <c r="G2" i="12" l="1" a="1"/>
  <c r="G2" i="12" s="1"/>
  <c r="R86" i="1"/>
  <c r="R88" i="1" s="1"/>
  <c r="K31" i="5" s="1"/>
  <c r="K34" i="5" s="1"/>
  <c r="P5" i="10"/>
  <c r="K31" i="11" s="1"/>
  <c r="K34" i="11" s="1"/>
  <c r="R27" i="5"/>
  <c r="S24" i="5"/>
  <c r="X50" i="5"/>
  <c r="W53" i="5"/>
  <c r="S72" i="1"/>
  <c r="T73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6" i="1"/>
  <c r="S88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2" i="1"/>
  <c r="U73" i="1"/>
  <c r="L34" i="11" l="1"/>
  <c r="M31" i="11"/>
  <c r="T86" i="1"/>
  <c r="R5" i="10"/>
  <c r="U72" i="1"/>
  <c r="V73" i="1"/>
  <c r="V72" i="1" s="1"/>
  <c r="T27" i="5"/>
  <c r="U24" i="5"/>
  <c r="L34" i="5"/>
  <c r="Z50" i="5"/>
  <c r="Y53" i="5"/>
  <c r="T88" i="1"/>
  <c r="N31" i="11" l="1"/>
  <c r="M34" i="11"/>
  <c r="V86" i="1"/>
  <c r="V88" i="1" s="1"/>
  <c r="T5" i="10"/>
  <c r="U86" i="1"/>
  <c r="U88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tc={E09211C7-D54A-419D-82CE-C4BD25648B45}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L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L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M33" authorId="2" shapeId="0" xr:uid="{E09211C7-D54A-419D-82CE-C4BD25648B45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7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K57" authorId="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K62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8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3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5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80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L84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4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4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4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<sst xmlns="http://schemas.openxmlformats.org/spreadsheetml/2006/main" count="929" uniqueCount="340">
  <si>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</si>
  <si>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</si>
  <si>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</si>
  <si>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</si>
  <si>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</si>
  <si>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</si>
  <si>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</si>
  <si>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</si>
  <si>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</si>
  <si>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</si>
  <si>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</si>
  <si>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</si>
  <si>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</si>
  <si>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</si>
  <si>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</si>
  <si>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</si>
  <si>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</si>
  <si>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</si>
  <si>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</si>
  <si>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</si>
  <si>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</si>
  <si>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</si>
  <si>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</si>
  <si>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</si>
  <si>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</si>
  <si>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</si>
  <si>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</si>
  <si>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</si>
  <si>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</si>
  <si>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</si>
  <si>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</si>
  <si>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</si>
  <si>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</si>
  <si>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</si>
  <si>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</si>
  <si>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</si>
  <si>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</si>
  <si>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</si>
  <si>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</si>
  <si>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</si>
  <si>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</si>
  <si>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</si>
  <si>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</si>
  <si>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</si>
  <si>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</si>
  <si>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</si>
  <si>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</si>
  <si>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</si>
  <si>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</si>
  <si>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</si>
  <si>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</si>
  <si>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</si>
  <si>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</si>
  <si>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</si>
  <si>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</si>
  <si>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</si>
  <si>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</si>
  <si>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</si>
  <si>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</si>
  <si>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</si>
  <si>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</si>
  <si>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</si>
  <si>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</si>
  <si>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</si>
  <si>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</si>
  <si>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</si>
  <si>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</si>
  <si>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</si>
  <si>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</si>
  <si>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</si>
  <si>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</si>
  <si>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</si>
  <si>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</si>
  <si>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</si>
  <si>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</si>
  <si>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</si>
  <si>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</si>
  <si>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</si>
  <si>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</si>
  <si>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</si>
  <si>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</si>
  <si>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</si>
  <si>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</si>
  <si>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</si>
  <si>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</si>
  <si>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</si>
  <si>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</si>
  <si>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</si>
  <si>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</si>
  <si>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</si>
  <si>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</si>
  <si>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</si>
  <si>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</si>
  <si>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</si>
  <si>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</si>
  <si>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</si>
  <si>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</si>
  <si>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</si>
  <si>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</si>
  <si>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</si>
  <si>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</si>
  <si>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</si>
  <si>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</si>
  <si>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</si>
  <si>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</si>
  <si>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</si>
  <si>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</si>
  <si>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</si>
  <si>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</si>
  <si>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</si>
  <si>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</si>
  <si>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</si>
  <si>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</si>
  <si>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</si>
  <si>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</si>
  <si>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</si>
  <si>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</si>
  <si>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</si>
  <si>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</si>
  <si>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</si>
  <si>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</si>
  <si>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</si>
  <si>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</si>
  <si>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</si>
  <si>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</si>
  <si>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</si>
  <si>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</si>
  <si>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</si>
  <si>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</si>
  <si>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</si>
  <si>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</si>
  <si>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</si>
  <si>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</si>
  <si>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</si>
  <si>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</si>
  <si>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</si>
  <si>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</si>
  <si>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</si>
  <si>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</si>
  <si>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</si>
  <si>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</si>
  <si>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</si>
  <si>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</si>
  <si>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</si>
  <si>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</si>
  <si>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</si>
  <si>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</si>
  <si>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</si>
  <si>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</si>
  <si>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</si>
  <si>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</si>
  <si>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</si>
  <si>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</si>
  <si>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</si>
  <si>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</si>
  <si>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</si>
  <si>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</si>
  <si>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</si>
  <si>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</si>
  <si>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</si>
  <si>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</si>
  <si>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</si>
  <si>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</si>
  <si>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</si>
  <si>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</si>
  <si>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</si>
  <si>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</si>
  <si>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</si>
  <si>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</si>
  <si>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</si>
  <si>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</si>
  <si>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</si>
  <si>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</si>
  <si>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</si>
  <si>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</si>
  <si>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</si>
  <si>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</si>
  <si>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</si>
  <si>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</si>
  <si>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</si>
  <si>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</si>
  <si>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</si>
  <si>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</si>
  <si>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</si>
  <si>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</si>
  <si>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</si>
  <si>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</si>
  <si>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</si>
  <si>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</si>
  <si>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</si>
  <si>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</si>
  <si>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</si>
  <si>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</si>
  <si>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</si>
  <si>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</si>
  <si>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</si>
  <si>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</si>
  <si>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</si>
  <si>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</si>
  <si>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</si>
  <si>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</si>
  <si>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</si>
  <si>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</si>
  <si>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</si>
  <si>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</si>
  <si>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</si>
  <si>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</si>
  <si>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</si>
  <si>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</si>
  <si>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</si>
  <si>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</si>
  <si>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</si>
  <si>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</si>
  <si>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</si>
  <si>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</si>
  <si>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</si>
  <si>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</si>
  <si>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</si>
  <si>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</si>
  <si>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</si>
  <si>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</si>
  <si>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</si>
  <si>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</si>
  <si>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</si>
  <si>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</si>
  <si>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</si>
  <si>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</si>
  <si>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</si>
  <si>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</si>
  <si>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</si>
  <si>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</si>
  <si>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</si>
  <si>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</si>
  <si>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</si>
  <si>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</si>
  <si>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</si>
  <si>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</si>
  <si>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</si>
  <si>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</si>
  <si>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</si>
  <si>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</si>
  <si>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</si>
  <si>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</si>
  <si>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</si>
  <si>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</si>
  <si>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</si>
  <si>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</si>
  <si>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</si>
  <si>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</si>
  <si>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</si>
  <si>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</si>
  <si>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</si>
  <si>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</si>
  <si>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</si>
  <si>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</si>
  <si>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</si>
  <si>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</si>
  <si>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</si>
  <si>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</si>
  <si>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</si>
  <si>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</si>
  <si>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</si>
  <si>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</si>
  <si>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</si>
  <si>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</si>
  <si>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</si>
  <si>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</si>
  <si>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</si>
  <si>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</si>
  <si>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</si>
  <si>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</si>
  <si>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</si>
  <si>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</si>
  <si>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</si>
  <si>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</si>
  <si>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</si>
  <si>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</si>
  <si>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</si>
  <si>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</si>
  <si>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</si>
  <si>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</si>
  <si>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</si>
  <si>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</si>
  <si>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</si>
  <si>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</si>
  <si>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</si>
  <si>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</si>
  <si>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</si>
  <si>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</si>
  <si>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</si>
  <si>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</si>
  <si>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</si>
  <si>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</si>
  <si>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</si>
  <si>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</si>
  <si>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</si>
  <si>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</si>
  <si>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</si>
  <si>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</si>
  <si>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</si>
  <si>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</si>
  <si>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</si>
  <si>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</si>
  <si>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</si>
  <si>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</si>
  <si>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</si>
  <si>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</si>
  <si>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</si>
  <si>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</si>
  <si>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</si>
  <si>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</si>
  <si>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</si>
  <si>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</si>
  <si>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</si>
  <si>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</si>
  <si>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</si>
  <si>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</si>
  <si>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</si>
  <si>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</si>
  <si>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</si>
  <si>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</si>
  <si>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</si>
  <si>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</si>
  <si>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</si>
  <si>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</si>
  <si>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</si>
  <si>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</si>
  <si>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</si>
  <si>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</si>
  <si>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</si>
  <si>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</si>
  <si>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</si>
  <si>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</si>
  <si>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</si>
  <si>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</si>
  <si>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</si>
  <si>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</si>
  <si>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>REVISION</t>
  </si>
  <si>
    <t xml:space="preserve">BEA UI </t>
  </si>
  <si>
    <t>gsubl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</si>
</sst>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left" wrapText="1" indent="3"/>
    </xf>
    <xf numFmtId="169" fontId="0" fillId="17" borderId="33" xfId="1" applyNumberFormat="1" applyFont="1" applyFill="1" applyBorder="1"/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3" dT="2020-10-29T15:30:32.00" personId="{2D35AFA9-F227-4AE7-B9A7-D673D9D18C70}" id="{7314685E-335E-47AA-B478-1BA6ABF2BDA3}">
    <text>BEA has 771k for total UI but not including Trump UI. Add trump UI for the real total</text>
  </threadedComment>
  <threadedComment ref="M33" dT="2020-10-29T15:30:32.00" personId="{2D35AFA9-F227-4AE7-B9A7-D673D9D18C70}" id="{E09211C7-D54A-419D-82CE-C4BD25648B45}">
    <text>BEA has 771k for total UI but not including Trump UI. Add trump UI for the real total</text>
  </threadedComment>
  <threadedComment ref="K57" dT="2020-09-10T19:09:05.64" personId="{2D35AFA9-F227-4AE7-B9A7-D673D9D18C70}" id="{2D81BDF9-A0D8-4A1A-915B-91D32E8E61FF}">
    <text>grow with nom purchases</text>
  </threadedComment>
  <threadedComment ref="K62" dT="2020-10-27T15:26:37.39" personId="{2D35AFA9-F227-4AE7-B9A7-D673D9D18C70}" id="{33EF6DF5-9556-47EC-86E1-A12FDBDC0AA8}">
    <text>CBO indicated 17 for q2? why do we split the quarter 3 payments into q2?</text>
  </threadedComment>
  <threadedComment ref="K62" dT="2020-10-28T16:31:53.35" personId="{2D35AFA9-F227-4AE7-B9A7-D673D9D18C70}" id="{1079BF34-6E2F-4888-8715-72B28B28D9AA}" parentId="{33EF6DF5-9556-47EC-86E1-A12FDBDC0AA8}">
    <text>we're comfortable leaving this as is</text>
  </threadedComment>
  <threadedComment ref="N73" dT="2020-09-11T20:43:00.49" personId="{2D35AFA9-F227-4AE7-B9A7-D673D9D18C70}" id="{11731043-8530-4DAC-9476-3C98D0D836BB}">
    <text>grow with S&amp;L nom purchases</text>
  </threadedComment>
  <threadedComment ref="N80" dT="2020-10-29T17:11:18.12" personId="{2D35AFA9-F227-4AE7-B9A7-D673D9D18C70}" id="{DF0EC25E-9AE4-45F2-BCE9-95D46AA2D480}">
    <text>CBO projected is 1.96%</text>
  </threadedComment>
  <threadedComment ref="L84" dT="2020-09-30T15:34:05.87" personId="{2D35AFA9-F227-4AE7-B9A7-D673D9D18C70}" id="{55BAE892-7CB3-4E1D-8C31-C7FA6DC5B9F4}">
    <text>OVERRIDE IN THE FIM WITH -5%</text>
  </threadedComment>
  <threadedComment ref="N84" dT="2020-09-30T15:34:25.90" personId="{2D35AFA9-F227-4AE7-B9A7-D673D9D18C70}" id="{5A5A9177-799E-4FBA-A407-831B591270CB}">
    <text>overide in the fim with 4%</text>
  </threadedComment>
  <threadedComment ref="N84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4" dT="2020-09-30T15:34:25.90" personId="{2D35AFA9-F227-4AE7-B9A7-D673D9D18C70}" id="{6E4225DC-7AF1-4149-8AFD-DF5FEAFAE0CE}">
    <text>overide in the fim with 4%</text>
  </threadedComment>
  <threadedComment ref="O84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4" dT="2020-09-30T15:34:25.90" personId="{2D35AFA9-F227-4AE7-B9A7-D673D9D18C70}" id="{E0AA59A4-D972-4354-844E-3B08443F6713}">
    <text>overide in the fim with 4%</text>
  </threadedComment>
  <threadedComment ref="P84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6"/>
  <sheetViews>
    <sheetView tabSelected="1" zoomScale="110" zoomScaleNormal="110" workbookViewId="0">
      <pane xSplit="2" ySplit="3" topLeftCell="K64" activePane="bottomRight" state="frozen"/>
      <selection pane="topRight" activeCell="C1" sqref="C1"/>
      <selection pane="bottomLeft" activeCell="A4" sqref="A4"/>
      <selection pane="bottomRight" activeCell="L57" sqref="L57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3" width="10.81640625" style="35" customWidth="1"/>
    <col min="5" max="12" width="16.1796875" bestFit="1" customWidth="1"/>
    <col min="13" max="13" width="16.1796875" style="35" customWidth="1"/>
    <col min="14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90" t="s">
        <v>164</v>
      </c>
      <c r="B1" s="290"/>
      <c r="C1" s="281"/>
      <c r="D1" s="35"/>
      <c r="M1" s="35" t="s">
        <v>337</v>
      </c>
      <c r="AB1" s="179" t="s">
        <v>250</v>
      </c>
      <c r="AC1" s="292" t="s">
        <v>248</v>
      </c>
      <c r="AD1" s="292"/>
      <c r="AE1" s="292"/>
      <c r="AF1" t="s">
        <v>28</v>
      </c>
      <c r="AH1" s="293" t="s">
        <v>283</v>
      </c>
      <c r="AI1" s="293"/>
      <c r="AJ1" s="293"/>
      <c r="AK1" s="293"/>
      <c r="AL1" s="291" t="s">
        <v>281</v>
      </c>
      <c r="AM1" s="291"/>
      <c r="AN1" s="291"/>
      <c r="AO1" s="291"/>
    </row>
    <row r="2" spans="1:42" x14ac:dyDescent="0.35">
      <c r="E2" s="289" t="s">
        <v>21</v>
      </c>
      <c r="F2" s="289"/>
      <c r="G2" s="289"/>
      <c r="H2" s="289"/>
      <c r="I2" s="289" t="s">
        <v>9</v>
      </c>
      <c r="J2" s="289"/>
      <c r="K2" s="289"/>
      <c r="L2" s="289"/>
      <c r="M2" s="284"/>
      <c r="N2" s="289" t="s">
        <v>10</v>
      </c>
      <c r="O2" s="289"/>
      <c r="P2" s="289"/>
      <c r="Q2" s="289"/>
      <c r="R2" s="289" t="s">
        <v>11</v>
      </c>
      <c r="S2" s="289"/>
      <c r="T2" s="289"/>
      <c r="U2" s="289"/>
      <c r="V2" s="289" t="s">
        <v>269</v>
      </c>
      <c r="W2" s="289"/>
      <c r="X2" s="289"/>
      <c r="Y2" s="289"/>
      <c r="Z2" s="229"/>
      <c r="AA2" s="229"/>
      <c r="AB2" s="156"/>
      <c r="AC2" s="289" t="s">
        <v>102</v>
      </c>
      <c r="AD2" s="289"/>
      <c r="AE2" s="289"/>
      <c r="AF2" s="156"/>
      <c r="AG2" s="156" t="s">
        <v>21</v>
      </c>
      <c r="AH2" s="289" t="s">
        <v>102</v>
      </c>
      <c r="AI2" s="289"/>
      <c r="AJ2" s="289"/>
      <c r="AK2" s="230"/>
    </row>
    <row r="3" spans="1:42" x14ac:dyDescent="0.35">
      <c r="E3" s="199" t="s">
        <v>5</v>
      </c>
      <c r="F3" s="199" t="s">
        <v>6</v>
      </c>
      <c r="G3" s="199" t="s">
        <v>7</v>
      </c>
      <c r="H3" s="199" t="s">
        <v>8</v>
      </c>
      <c r="I3" s="199" t="s">
        <v>5</v>
      </c>
      <c r="J3" s="199" t="s">
        <v>6</v>
      </c>
      <c r="K3" s="199" t="s">
        <v>7</v>
      </c>
      <c r="L3" s="199" t="s">
        <v>8</v>
      </c>
      <c r="M3" s="283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249</v>
      </c>
      <c r="AG3" s="2" t="s">
        <v>160</v>
      </c>
      <c r="AH3" s="183" t="s">
        <v>9</v>
      </c>
      <c r="AI3" s="97" t="s">
        <v>12</v>
      </c>
      <c r="AJ3" s="97" t="s">
        <v>11</v>
      </c>
      <c r="AK3" s="97" t="s">
        <v>269</v>
      </c>
      <c r="AM3" s="97" t="s">
        <v>12</v>
      </c>
      <c r="AN3" s="97" t="s">
        <v>11</v>
      </c>
      <c r="AO3" s="97" t="s">
        <v>269</v>
      </c>
    </row>
    <row r="4" spans="1:42" ht="18.5" x14ac:dyDescent="0.45">
      <c r="A4" s="288" t="s">
        <v>265</v>
      </c>
      <c r="B4" s="288"/>
      <c r="C4" s="281"/>
      <c r="E4" s="199"/>
      <c r="F4" s="199"/>
      <c r="G4" s="199"/>
      <c r="H4" s="199"/>
      <c r="I4" s="199"/>
      <c r="J4" s="199"/>
      <c r="K4" s="199"/>
      <c r="L4" s="199"/>
      <c r="M4" s="283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262</v>
      </c>
      <c r="B5" t="s">
        <v>285</v>
      </c>
      <c r="C5" s="35" t="s">
        <v>296</v>
      </c>
      <c r="E5" s="200">
        <v>20909.900000000001</v>
      </c>
      <c r="F5" s="200">
        <v>21115.3</v>
      </c>
      <c r="G5" s="200">
        <v>21329.9</v>
      </c>
      <c r="H5" s="200">
        <v>21540.3</v>
      </c>
      <c r="I5" s="200">
        <v>21747.4</v>
      </c>
      <c r="J5" s="200">
        <v>21561.1</v>
      </c>
      <c r="K5" s="200">
        <v>19520.099999999999</v>
      </c>
      <c r="L5" s="199">
        <v>21157.599999999999</v>
      </c>
      <c r="M5" s="283">
        <f>VLOOKUP(C5,'Haver NA'!$A$1:$I$33,9,0)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x14ac:dyDescent="0.35">
      <c r="A6" s="170" t="s">
        <v>217</v>
      </c>
      <c r="C6" s="282"/>
      <c r="E6" s="201"/>
      <c r="F6" s="202">
        <f>F5/E5-1</f>
        <v>9.8230981496802983E-3</v>
      </c>
      <c r="G6" s="202">
        <f t="shared" ref="G6:V6" si="0">G5/F5-1</f>
        <v>1.016324655581502E-2</v>
      </c>
      <c r="H6" s="202">
        <f t="shared" si="0"/>
        <v>9.864087501582075E-3</v>
      </c>
      <c r="I6" s="202">
        <f t="shared" si="0"/>
        <v>9.6145364734938621E-3</v>
      </c>
      <c r="J6" s="202">
        <f t="shared" si="0"/>
        <v>-8.5665412876942959E-3</v>
      </c>
      <c r="K6" s="202">
        <f t="shared" si="0"/>
        <v>-9.4661218583467432E-2</v>
      </c>
      <c r="L6" s="202">
        <f t="shared" si="0"/>
        <v>8.3887889918596636E-2</v>
      </c>
      <c r="M6" s="283"/>
      <c r="N6" s="198">
        <f>N5/L5-1</f>
        <v>2.0221686651000326E-2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263</v>
      </c>
      <c r="B7" t="s">
        <v>285</v>
      </c>
      <c r="C7" s="35" t="s">
        <v>297</v>
      </c>
      <c r="E7" s="200">
        <v>18813.900000000001</v>
      </c>
      <c r="F7" s="200">
        <v>18950.3</v>
      </c>
      <c r="G7" s="200">
        <v>19020.599999999999</v>
      </c>
      <c r="H7" s="200">
        <v>19141.7</v>
      </c>
      <c r="I7" s="200">
        <v>19254</v>
      </c>
      <c r="J7" s="200">
        <v>19010.8</v>
      </c>
      <c r="K7" s="200">
        <v>17302.5</v>
      </c>
      <c r="L7" s="199">
        <v>18584</v>
      </c>
      <c r="M7" s="283">
        <f>VLOOKUP(C7,'Haver NA'!$A$1:$I$33,9,0)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264</v>
      </c>
      <c r="C8" s="170"/>
      <c r="E8" s="217"/>
      <c r="F8" s="217"/>
      <c r="G8" s="217"/>
      <c r="H8" s="217"/>
      <c r="I8" s="217"/>
      <c r="J8" s="217"/>
      <c r="K8" s="217"/>
      <c r="L8" s="199"/>
      <c r="M8" s="283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E9" s="199"/>
      <c r="F9" s="199"/>
      <c r="G9" s="199"/>
      <c r="H9" s="199"/>
      <c r="I9" s="199"/>
      <c r="J9" s="199"/>
      <c r="K9" s="199"/>
      <c r="L9" s="199"/>
      <c r="M9" s="283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E10" s="199"/>
      <c r="F10" s="199"/>
      <c r="G10" s="199"/>
      <c r="H10" s="199"/>
      <c r="I10" s="199"/>
      <c r="J10" s="199"/>
      <c r="K10" s="199"/>
      <c r="L10" s="199"/>
      <c r="M10" s="283"/>
      <c r="AC10" s="146"/>
      <c r="AH10" s="146"/>
    </row>
    <row r="11" spans="1:42" x14ac:dyDescent="0.35">
      <c r="A11" s="177" t="s">
        <v>259</v>
      </c>
      <c r="E11" s="200">
        <f>E12+E14+E16</f>
        <v>3178</v>
      </c>
      <c r="F11" s="200">
        <f t="shared" ref="F11:V11" si="1">F12+F14+F16</f>
        <v>3259.5</v>
      </c>
      <c r="G11" s="200">
        <f t="shared" si="1"/>
        <v>3269.2</v>
      </c>
      <c r="H11" s="200">
        <f t="shared" si="1"/>
        <v>3290.6</v>
      </c>
      <c r="I11" s="200">
        <f t="shared" si="1"/>
        <v>3336.3</v>
      </c>
      <c r="J11" s="200">
        <f t="shared" si="1"/>
        <v>3376.8</v>
      </c>
      <c r="K11" s="200">
        <f t="shared" si="1"/>
        <v>3091.4840000000004</v>
      </c>
      <c r="L11" s="199">
        <f t="shared" si="1"/>
        <v>3245.1670000000004</v>
      </c>
      <c r="M11" s="283"/>
      <c r="N11" s="168">
        <f t="shared" si="1"/>
        <v>3370.5186359999998</v>
      </c>
      <c r="O11" s="168">
        <f t="shared" si="1"/>
        <v>3504.7666971280005</v>
      </c>
      <c r="P11" s="168">
        <f t="shared" si="1"/>
        <v>3538.0019229981444</v>
      </c>
      <c r="Q11" s="168">
        <f t="shared" si="1"/>
        <v>3571.7109143669741</v>
      </c>
      <c r="R11" s="168">
        <f t="shared" si="1"/>
        <v>3634.7057643927146</v>
      </c>
      <c r="S11" s="168">
        <f t="shared" si="1"/>
        <v>3676.5334676852744</v>
      </c>
      <c r="T11" s="168">
        <f t="shared" si="1"/>
        <v>3718.9986738367047</v>
      </c>
      <c r="U11" s="168">
        <f t="shared" si="1"/>
        <v>3762.1165269086332</v>
      </c>
      <c r="V11" s="168">
        <f t="shared" si="1"/>
        <v>3837.3588574468058</v>
      </c>
      <c r="W11" s="169"/>
      <c r="AC11" s="146"/>
      <c r="AH11" s="146"/>
    </row>
    <row r="12" spans="1:42" x14ac:dyDescent="0.35">
      <c r="A12" s="218" t="s">
        <v>25</v>
      </c>
      <c r="B12" t="s">
        <v>285</v>
      </c>
      <c r="C12" t="s">
        <v>298</v>
      </c>
      <c r="E12" s="200">
        <v>1634.2</v>
      </c>
      <c r="F12" s="200">
        <v>1695.5</v>
      </c>
      <c r="G12" s="200">
        <v>1703.1</v>
      </c>
      <c r="H12" s="200">
        <v>1713.2</v>
      </c>
      <c r="I12" s="200">
        <v>1740.2</v>
      </c>
      <c r="J12" s="200">
        <v>1756.6</v>
      </c>
      <c r="K12" s="200">
        <v>1599.3</v>
      </c>
      <c r="L12" s="199">
        <v>1686.3530000000001</v>
      </c>
      <c r="M12" s="283">
        <f>VLOOKUP(C12,'Haver NA'!$A$1:$I$33,9,0)</f>
        <v>1687.2</v>
      </c>
      <c r="N12" s="169">
        <f>L12*(1+N13)</f>
        <v>1787.5341800000001</v>
      </c>
      <c r="O12" s="169">
        <f t="shared" ref="O12:U12" si="2">N12*(1+O13)</f>
        <v>1898.3612991600003</v>
      </c>
      <c r="P12" s="169">
        <f t="shared" si="2"/>
        <v>1913.5481895532803</v>
      </c>
      <c r="Q12" s="169">
        <f t="shared" si="2"/>
        <v>1928.8565750697064</v>
      </c>
      <c r="R12" s="169">
        <f t="shared" si="2"/>
        <v>1948.1451408204034</v>
      </c>
      <c r="S12" s="169">
        <f t="shared" si="2"/>
        <v>1967.6265922286075</v>
      </c>
      <c r="T12" s="169">
        <f t="shared" si="2"/>
        <v>1987.3028581508936</v>
      </c>
      <c r="U12" s="169">
        <f t="shared" si="2"/>
        <v>2007.1758867324027</v>
      </c>
      <c r="V12" s="169">
        <f t="shared" ref="O12:V14" si="3">U12*(1+V13)</f>
        <v>2047.3194044670508</v>
      </c>
      <c r="W12" s="169"/>
      <c r="X12" s="44"/>
      <c r="Y12" s="44"/>
      <c r="Z12" s="44"/>
      <c r="AA12" s="44"/>
      <c r="AB12" s="44">
        <f>AVERAGE(E12:H12)</f>
        <v>1686.4999999999998</v>
      </c>
      <c r="AC12" s="181">
        <f>AVERAGE(I12,J12,K12,L12)</f>
        <v>1695.6132500000001</v>
      </c>
      <c r="AD12" s="45">
        <f>AVERAGE(N12:Q12)</f>
        <v>1882.0750609457466</v>
      </c>
      <c r="AE12" s="45">
        <f>AVERAGE(R12:U12)</f>
        <v>1977.5626194830768</v>
      </c>
      <c r="AF12" s="3">
        <f>AVERAGE(E12:H12)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217</v>
      </c>
      <c r="C13" s="282"/>
      <c r="E13" s="201"/>
      <c r="F13" s="201"/>
      <c r="G13" s="201"/>
      <c r="H13" s="201"/>
      <c r="I13" s="201"/>
      <c r="J13" s="201"/>
      <c r="K13" s="201"/>
      <c r="L13" s="199"/>
      <c r="M13" s="283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285</v>
      </c>
      <c r="C14" t="s">
        <v>299</v>
      </c>
      <c r="E14" s="200">
        <v>183.5</v>
      </c>
      <c r="F14" s="200">
        <v>172.1</v>
      </c>
      <c r="G14" s="200">
        <v>168.3</v>
      </c>
      <c r="H14" s="200">
        <v>175.1</v>
      </c>
      <c r="I14" s="200">
        <v>179.2</v>
      </c>
      <c r="J14" s="200">
        <v>183.8</v>
      </c>
      <c r="K14" s="200">
        <v>131.4</v>
      </c>
      <c r="L14" s="199">
        <v>144.66200000000001</v>
      </c>
      <c r="M14" s="283">
        <f>VLOOKUP(C14,'Haver NA'!$A$1:$I$33,9,0)</f>
        <v>144.69999999999999</v>
      </c>
      <c r="N14" s="169">
        <f>L14*(1+N15)</f>
        <v>150.44848000000002</v>
      </c>
      <c r="O14" s="169">
        <f t="shared" si="3"/>
        <v>162.40913416000001</v>
      </c>
      <c r="P14" s="169">
        <f t="shared" si="3"/>
        <v>168.90549952640001</v>
      </c>
      <c r="Q14" s="169">
        <f t="shared" si="3"/>
        <v>175.66171950745601</v>
      </c>
      <c r="R14" s="169">
        <f t="shared" si="3"/>
        <v>182.68818828775426</v>
      </c>
      <c r="S14" s="169">
        <f t="shared" si="3"/>
        <v>189.99571581926443</v>
      </c>
      <c r="T14" s="169">
        <f t="shared" si="3"/>
        <v>197.59554445203503</v>
      </c>
      <c r="U14" s="169">
        <f t="shared" si="3"/>
        <v>205.49936623011644</v>
      </c>
      <c r="V14" s="169">
        <f t="shared" si="3"/>
        <v>209.60935355471878</v>
      </c>
      <c r="W14" s="169"/>
      <c r="X14" s="44"/>
      <c r="Y14" s="44"/>
      <c r="Z14" s="44"/>
      <c r="AA14" s="44"/>
      <c r="AB14" s="44">
        <f>AVERAGE(E14:H14)</f>
        <v>174.75000000000003</v>
      </c>
      <c r="AC14" s="181">
        <f>AVERAGE(I14,J14,K14,L14)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AVERAGE(E14:H14)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217</v>
      </c>
      <c r="C15" s="282"/>
      <c r="E15" s="201"/>
      <c r="F15" s="201"/>
      <c r="G15" s="201"/>
      <c r="H15" s="201"/>
      <c r="I15" s="201"/>
      <c r="J15" s="201"/>
      <c r="K15" s="201"/>
      <c r="L15" s="199"/>
      <c r="M15" s="283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285</v>
      </c>
      <c r="C16" t="s">
        <v>300</v>
      </c>
      <c r="E16" s="200">
        <v>1360.3</v>
      </c>
      <c r="F16" s="200">
        <v>1391.9</v>
      </c>
      <c r="G16" s="200">
        <v>1397.8</v>
      </c>
      <c r="H16" s="200">
        <v>1402.3</v>
      </c>
      <c r="I16" s="200">
        <v>1416.9</v>
      </c>
      <c r="J16" s="200">
        <v>1436.4</v>
      </c>
      <c r="K16" s="200">
        <v>1360.7840000000001</v>
      </c>
      <c r="L16" s="199">
        <v>1414.152</v>
      </c>
      <c r="M16" s="283">
        <f>VLOOKUP(C16,'Haver NA'!$A$1:$I$33,9,0)</f>
        <v>1429.6</v>
      </c>
      <c r="N16" s="169">
        <f>L16*(1+N17)</f>
        <v>1432.5359759999999</v>
      </c>
      <c r="O16" s="169">
        <f t="shared" ref="O16:V16" si="4">N16*(1+O17)</f>
        <v>1443.9962638079999</v>
      </c>
      <c r="P16" s="169">
        <f t="shared" si="4"/>
        <v>1455.5482339184639</v>
      </c>
      <c r="Q16" s="169">
        <f t="shared" si="4"/>
        <v>1467.1926197898117</v>
      </c>
      <c r="R16" s="169">
        <f t="shared" si="4"/>
        <v>1503.8724352845568</v>
      </c>
      <c r="S16" s="169">
        <f t="shared" si="4"/>
        <v>1518.9111596374023</v>
      </c>
      <c r="T16" s="169">
        <f t="shared" si="4"/>
        <v>1534.1002712337763</v>
      </c>
      <c r="U16" s="169">
        <f t="shared" si="4"/>
        <v>1549.4412739461141</v>
      </c>
      <c r="V16" s="169">
        <f t="shared" si="4"/>
        <v>1580.4300994250364</v>
      </c>
      <c r="W16" s="169"/>
      <c r="X16" s="44"/>
      <c r="Y16" s="44"/>
      <c r="Z16" s="44"/>
      <c r="AA16" s="44"/>
      <c r="AB16" s="44">
        <f>AVERAGE(E16:H16)</f>
        <v>1388.075</v>
      </c>
      <c r="AC16" s="181">
        <f>AVERAGE(I16,J16,K16,L16)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AVERAGE(E16:H16)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217</v>
      </c>
      <c r="C17" s="282"/>
      <c r="E17" s="201"/>
      <c r="F17" s="201"/>
      <c r="G17" s="201"/>
      <c r="H17" s="201"/>
      <c r="I17" s="201"/>
      <c r="J17" s="201"/>
      <c r="K17" s="201"/>
      <c r="L17" s="199"/>
      <c r="M17" s="283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285</v>
      </c>
      <c r="C18" t="s">
        <v>301</v>
      </c>
      <c r="E18" s="200">
        <v>234.7</v>
      </c>
      <c r="F18" s="200">
        <v>213.8</v>
      </c>
      <c r="G18" s="200">
        <v>224.2</v>
      </c>
      <c r="H18" s="200">
        <v>201.6</v>
      </c>
      <c r="I18" s="200">
        <v>229.7</v>
      </c>
      <c r="J18" s="200">
        <v>180.5</v>
      </c>
      <c r="K18" s="200">
        <v>171.5</v>
      </c>
      <c r="L18" s="199">
        <f>(4*AH18-SUM(I18:K18))</f>
        <v>191.99161110990462</v>
      </c>
      <c r="M18" s="283">
        <f>VLOOKUP(C18,'Haver NA'!$A$1:$I$33,9,0)</f>
        <v>205.3</v>
      </c>
      <c r="N18" s="169">
        <f>L18*(1+N19)</f>
        <v>196.79140138765223</v>
      </c>
      <c r="O18" s="169">
        <f t="shared" ref="O18" si="5">N18*(1+O19)</f>
        <v>199.74327240846699</v>
      </c>
      <c r="P18" s="169">
        <f t="shared" ref="P18" si="6">O18*(1+P19)</f>
        <v>202.73942149459398</v>
      </c>
      <c r="Q18" s="169">
        <f t="shared" ref="Q18" si="7">P18*(1+Q19)</f>
        <v>205.78051281701286</v>
      </c>
      <c r="R18" s="169">
        <f t="shared" ref="R18" si="8">Q18*(1+R19)</f>
        <v>218.12734358603365</v>
      </c>
      <c r="S18" s="169">
        <f t="shared" ref="S18" si="9">R18*(1+S19)</f>
        <v>231.21498420119568</v>
      </c>
      <c r="T18" s="169">
        <f t="shared" ref="T18" si="10">S18*(1+T19)</f>
        <v>245.08788325326742</v>
      </c>
      <c r="U18" s="169">
        <f t="shared" ref="U18:V18" si="11">T18*(1+U19)</f>
        <v>259.7931562484635</v>
      </c>
      <c r="V18" s="169">
        <f t="shared" si="11"/>
        <v>275.38074562337135</v>
      </c>
      <c r="W18" s="169"/>
      <c r="X18" s="44"/>
      <c r="Y18" s="44"/>
      <c r="Z18" s="44"/>
      <c r="AA18" s="44"/>
      <c r="AB18" s="44">
        <f>AVERAGE(E18:H18)</f>
        <v>218.57500000000002</v>
      </c>
      <c r="AC18" s="181">
        <f>AVERAGE(I18,J18,K18,L18)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AVERAGE(E18:H18)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217</v>
      </c>
      <c r="C19" s="282"/>
      <c r="E19" s="201"/>
      <c r="F19" s="201"/>
      <c r="G19" s="201"/>
      <c r="H19" s="201"/>
      <c r="I19" s="201"/>
      <c r="J19" s="201"/>
      <c r="K19" s="201"/>
      <c r="L19" s="199"/>
      <c r="M19" s="283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2"/>
      <c r="E20" s="201"/>
      <c r="F20" s="201"/>
      <c r="G20" s="201"/>
      <c r="H20" s="201"/>
      <c r="I20" s="201"/>
      <c r="J20" s="201"/>
      <c r="K20" s="201"/>
      <c r="L20" s="199"/>
      <c r="M20" s="283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266</v>
      </c>
      <c r="C21" s="282"/>
      <c r="E21" s="201"/>
      <c r="F21" s="201"/>
      <c r="G21" s="201"/>
      <c r="H21" s="201"/>
      <c r="I21" s="201"/>
      <c r="J21" s="201"/>
      <c r="K21" s="201"/>
      <c r="L21" s="199"/>
      <c r="M21" s="283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267</v>
      </c>
      <c r="E22" s="205">
        <f>SUM(E23:E25)</f>
        <v>1773.6</v>
      </c>
      <c r="F22" s="205">
        <f t="shared" ref="F22:U22" si="12">SUM(F23:F25)</f>
        <v>1798.8</v>
      </c>
      <c r="G22" s="205">
        <f t="shared" si="12"/>
        <v>1853.9</v>
      </c>
      <c r="H22" s="205">
        <f t="shared" si="12"/>
        <v>1832.2</v>
      </c>
      <c r="I22" s="205">
        <f t="shared" si="12"/>
        <v>1832.4</v>
      </c>
      <c r="J22" s="205">
        <f t="shared" si="12"/>
        <v>1862.4</v>
      </c>
      <c r="K22" s="205">
        <f t="shared" si="12"/>
        <v>1779.8019999999999</v>
      </c>
      <c r="L22" s="199">
        <f t="shared" si="12"/>
        <v>1840.777</v>
      </c>
      <c r="M22" s="283"/>
      <c r="N22" s="102">
        <f t="shared" si="12"/>
        <v>1878.0006156883685</v>
      </c>
      <c r="O22" s="102">
        <f t="shared" si="12"/>
        <v>1909.1470934300717</v>
      </c>
      <c r="P22" s="102">
        <f t="shared" si="12"/>
        <v>1939.5052848016164</v>
      </c>
      <c r="Q22" s="102">
        <f t="shared" si="12"/>
        <v>1971.9533516661329</v>
      </c>
      <c r="R22" s="102">
        <f t="shared" si="12"/>
        <v>1993.6862235688991</v>
      </c>
      <c r="S22" s="102">
        <f t="shared" si="12"/>
        <v>2013.5767052344379</v>
      </c>
      <c r="T22" s="102">
        <f t="shared" si="12"/>
        <v>2033.2655322471396</v>
      </c>
      <c r="U22" s="102">
        <f t="shared" si="12"/>
        <v>2053.8526390770057</v>
      </c>
      <c r="V22" s="102">
        <f t="shared" ref="V22" si="13">SUM(V23:V25)</f>
        <v>2074.74222788611</v>
      </c>
    </row>
    <row r="23" spans="1:38" x14ac:dyDescent="0.35">
      <c r="A23" s="218" t="s">
        <v>22</v>
      </c>
      <c r="C23" t="s">
        <v>302</v>
      </c>
      <c r="E23" s="199">
        <v>456.5</v>
      </c>
      <c r="F23" s="199">
        <v>475.2</v>
      </c>
      <c r="G23" s="199">
        <v>519.4</v>
      </c>
      <c r="H23" s="199">
        <v>483.9</v>
      </c>
      <c r="I23" s="199">
        <v>480.9</v>
      </c>
      <c r="J23" s="199">
        <v>495.8</v>
      </c>
      <c r="K23" s="200">
        <v>496.37400000000002</v>
      </c>
      <c r="L23" s="199">
        <v>505.42700000000002</v>
      </c>
      <c r="M23" s="283">
        <f>VLOOKUP(C23,'Haver NA'!$A$1:$I$33,9,0)</f>
        <v>499.4</v>
      </c>
      <c r="N23" s="102">
        <f>L23*(1+N$6)</f>
        <v>515.64758641895514</v>
      </c>
      <c r="O23" s="102">
        <f t="shared" ref="O23:V23" si="14">N23*(1+O$6)</f>
        <v>524.19955703003723</v>
      </c>
      <c r="P23" s="102">
        <f t="shared" si="14"/>
        <v>532.53508577162063</v>
      </c>
      <c r="Q23" s="102">
        <f t="shared" si="14"/>
        <v>541.44443714396607</v>
      </c>
      <c r="R23" s="102">
        <f t="shared" si="14"/>
        <v>547.41168915069977</v>
      </c>
      <c r="S23" s="102">
        <f t="shared" si="14"/>
        <v>552.87307120662956</v>
      </c>
      <c r="T23" s="102">
        <f t="shared" si="14"/>
        <v>558.27908441222087</v>
      </c>
      <c r="U23" s="102">
        <f t="shared" si="14"/>
        <v>563.93174067840562</v>
      </c>
      <c r="V23" s="102">
        <f t="shared" si="14"/>
        <v>569.66745022009331</v>
      </c>
    </row>
    <row r="24" spans="1:38" x14ac:dyDescent="0.35">
      <c r="A24" s="218" t="s">
        <v>23</v>
      </c>
      <c r="C24" t="s">
        <v>303</v>
      </c>
      <c r="E24" s="199">
        <v>1295.5</v>
      </c>
      <c r="F24" s="199">
        <v>1301.5999999999999</v>
      </c>
      <c r="G24" s="199">
        <v>1312.4</v>
      </c>
      <c r="H24" s="199">
        <v>1326.5</v>
      </c>
      <c r="I24" s="199">
        <v>1330.4</v>
      </c>
      <c r="J24" s="199">
        <v>1346.2</v>
      </c>
      <c r="K24" s="200">
        <v>1264.3219999999999</v>
      </c>
      <c r="L24" s="199">
        <v>1315.133</v>
      </c>
      <c r="M24" s="283">
        <f>VLOOKUP(C24,'Haver NA'!$A$1:$I$33,9,0)</f>
        <v>1317.3</v>
      </c>
      <c r="N24" s="102">
        <f>L24*(1+N$6)</f>
        <v>1341.7272074303901</v>
      </c>
      <c r="O24" s="102">
        <f t="shared" ref="O24:V24" si="15">N24*(1+O$6)</f>
        <v>1363.9796370901911</v>
      </c>
      <c r="P24" s="102">
        <f t="shared" si="15"/>
        <v>1385.6688798898533</v>
      </c>
      <c r="Q24" s="102">
        <f t="shared" si="15"/>
        <v>1408.8512227373205</v>
      </c>
      <c r="R24" s="102">
        <f t="shared" si="15"/>
        <v>1424.3781534975922</v>
      </c>
      <c r="S24" s="102">
        <f t="shared" si="15"/>
        <v>1438.5887986894024</v>
      </c>
      <c r="T24" s="102">
        <f t="shared" si="15"/>
        <v>1452.6553728239637</v>
      </c>
      <c r="U24" s="102">
        <f t="shared" si="15"/>
        <v>1467.3637180317114</v>
      </c>
      <c r="V24" s="102">
        <f t="shared" si="15"/>
        <v>1482.2881698253204</v>
      </c>
    </row>
    <row r="25" spans="1:38" x14ac:dyDescent="0.35">
      <c r="A25" s="218" t="s">
        <v>24</v>
      </c>
      <c r="C25" t="s">
        <v>304</v>
      </c>
      <c r="E25" s="199">
        <v>21.6</v>
      </c>
      <c r="F25" s="199">
        <v>22</v>
      </c>
      <c r="G25" s="199">
        <v>22.1</v>
      </c>
      <c r="H25" s="199">
        <v>21.8</v>
      </c>
      <c r="I25" s="199">
        <v>21.1</v>
      </c>
      <c r="J25" s="199">
        <v>20.399999999999999</v>
      </c>
      <c r="K25" s="200">
        <v>19.106000000000002</v>
      </c>
      <c r="L25" s="199">
        <v>20.216999999999999</v>
      </c>
      <c r="M25" s="283">
        <f>VLOOKUP(C25,'Haver NA'!$A$1:$I$33,9,0)</f>
        <v>20.245999999999999</v>
      </c>
      <c r="N25" s="102">
        <f>L25*(1+N$6)</f>
        <v>20.625821839023271</v>
      </c>
      <c r="O25" s="102">
        <f t="shared" ref="O25:V25" si="16">N25*(1+O$6)</f>
        <v>20.967899309843482</v>
      </c>
      <c r="P25" s="102">
        <f t="shared" si="16"/>
        <v>21.301319140142599</v>
      </c>
      <c r="Q25" s="102">
        <f t="shared" si="16"/>
        <v>21.657691784846399</v>
      </c>
      <c r="R25" s="102">
        <f t="shared" si="16"/>
        <v>21.896380920607125</v>
      </c>
      <c r="S25" s="102">
        <f t="shared" si="16"/>
        <v>22.114835338405804</v>
      </c>
      <c r="T25" s="102">
        <f t="shared" si="16"/>
        <v>22.331075010954837</v>
      </c>
      <c r="U25" s="102">
        <f t="shared" si="16"/>
        <v>22.557180366888446</v>
      </c>
      <c r="V25" s="102">
        <f t="shared" si="16"/>
        <v>22.786607840696337</v>
      </c>
    </row>
    <row r="26" spans="1:38" x14ac:dyDescent="0.35">
      <c r="A26" s="177" t="s">
        <v>0</v>
      </c>
      <c r="C26" t="s">
        <v>305</v>
      </c>
      <c r="E26" s="199">
        <v>63.5</v>
      </c>
      <c r="F26" s="199">
        <v>68.5</v>
      </c>
      <c r="G26" s="199">
        <v>68.7</v>
      </c>
      <c r="H26" s="199">
        <v>69.8</v>
      </c>
      <c r="I26" s="199">
        <v>71</v>
      </c>
      <c r="J26" s="199">
        <v>62.7</v>
      </c>
      <c r="K26" s="199">
        <v>54.2</v>
      </c>
      <c r="L26" s="199">
        <f>K26*(1+L6)</f>
        <v>58.746723633587941</v>
      </c>
      <c r="M26" s="283">
        <f>VLOOKUP(C26,'Haver NA'!$A$1:$I$33,9,0)</f>
        <v>79.099999999999994</v>
      </c>
      <c r="N26" s="102">
        <f>L26*(1+N6)</f>
        <v>59.934681470679273</v>
      </c>
      <c r="O26" s="102">
        <f t="shared" ref="O26:V26" si="17">N26*(1+O6)</f>
        <v>60.928692977804552</v>
      </c>
      <c r="P26" s="102">
        <f t="shared" si="17"/>
        <v>61.897547042430361</v>
      </c>
      <c r="Q26" s="102">
        <f t="shared" si="17"/>
        <v>62.933097582519643</v>
      </c>
      <c r="R26" s="102">
        <f t="shared" si="17"/>
        <v>63.626682421658749</v>
      </c>
      <c r="S26" s="102">
        <f t="shared" si="17"/>
        <v>64.261469052165509</v>
      </c>
      <c r="T26" s="102">
        <f t="shared" si="17"/>
        <v>64.889820057846649</v>
      </c>
      <c r="U26" s="102">
        <f t="shared" si="17"/>
        <v>65.546838846841339</v>
      </c>
      <c r="V26" s="102">
        <f t="shared" si="17"/>
        <v>66.213511073073931</v>
      </c>
    </row>
    <row r="27" spans="1:38" s="187" customFormat="1" x14ac:dyDescent="0.35">
      <c r="A27" s="178" t="s">
        <v>268</v>
      </c>
      <c r="E27" s="212">
        <f t="shared" ref="E27:K27" si="18">E26/E18</f>
        <v>0.27055815935236471</v>
      </c>
      <c r="F27" s="212">
        <f t="shared" si="18"/>
        <v>0.32039289055191766</v>
      </c>
      <c r="G27" s="212">
        <f t="shared" si="18"/>
        <v>0.30642283675289922</v>
      </c>
      <c r="H27" s="212">
        <f t="shared" si="18"/>
        <v>0.34623015873015872</v>
      </c>
      <c r="I27" s="212">
        <f t="shared" si="18"/>
        <v>0.30909882455376581</v>
      </c>
      <c r="J27" s="212">
        <f t="shared" si="18"/>
        <v>0.3473684210526316</v>
      </c>
      <c r="K27" s="212">
        <f t="shared" si="18"/>
        <v>0.31603498542274056</v>
      </c>
      <c r="L27" s="199"/>
      <c r="M27" s="283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2"/>
      <c r="E28" s="201"/>
      <c r="F28" s="201"/>
      <c r="G28" s="201"/>
      <c r="H28" s="201"/>
      <c r="I28" s="201"/>
      <c r="J28" s="201"/>
      <c r="K28" s="201"/>
      <c r="L28" s="199"/>
      <c r="M28" s="283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E29" s="199"/>
      <c r="F29" s="199"/>
      <c r="G29" s="199"/>
      <c r="H29" s="199"/>
      <c r="I29" s="199"/>
      <c r="J29" s="199"/>
      <c r="K29" s="203"/>
      <c r="L29" s="199"/>
      <c r="M29" s="283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285</v>
      </c>
      <c r="C30" t="s">
        <v>306</v>
      </c>
      <c r="E30" s="204">
        <v>2220523</v>
      </c>
      <c r="F30" s="204">
        <v>2298792</v>
      </c>
      <c r="G30" s="204">
        <v>2315842</v>
      </c>
      <c r="H30" s="204">
        <v>2331428</v>
      </c>
      <c r="I30" s="204">
        <v>2347737</v>
      </c>
      <c r="J30" s="204">
        <v>2422546</v>
      </c>
      <c r="K30" s="204">
        <v>4815254</v>
      </c>
      <c r="L30" s="199">
        <v>3513776</v>
      </c>
      <c r="M30" s="283">
        <f>VLOOKUP(C30,'Haver NA'!$A$1:$I$33,9,0)</f>
        <v>3488125</v>
      </c>
      <c r="N30" s="44">
        <f>N31+N33+N42</f>
        <v>2872187.886998829</v>
      </c>
      <c r="O30" s="44">
        <f t="shared" ref="O30:U30" si="19">O31+O33+O42</f>
        <v>2776224.4457211783</v>
      </c>
      <c r="P30" s="44">
        <f t="shared" si="19"/>
        <v>2682283.5091793705</v>
      </c>
      <c r="Q30" s="44">
        <f t="shared" si="19"/>
        <v>2572565.934698876</v>
      </c>
      <c r="R30" s="44">
        <f t="shared" si="19"/>
        <v>2626154.5995660136</v>
      </c>
      <c r="S30" s="44">
        <f t="shared" si="19"/>
        <v>2681059.175091214</v>
      </c>
      <c r="T30" s="44">
        <f t="shared" si="19"/>
        <v>2737316.1447417233</v>
      </c>
      <c r="U30" s="44">
        <f t="shared" si="19"/>
        <v>2794963.086784442</v>
      </c>
      <c r="V30" s="3"/>
      <c r="W30" s="44"/>
      <c r="X30" s="3"/>
      <c r="Y30" s="3"/>
      <c r="Z30" s="3"/>
      <c r="AA30" s="3"/>
      <c r="AB30" s="3">
        <f>AVERAGE(E30:H30)/1000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285</v>
      </c>
      <c r="C31" t="s">
        <v>307</v>
      </c>
      <c r="E31" s="204">
        <v>753311</v>
      </c>
      <c r="F31" s="204">
        <v>767353</v>
      </c>
      <c r="G31" s="204">
        <v>779707</v>
      </c>
      <c r="H31" s="204">
        <v>789893</v>
      </c>
      <c r="I31" s="204">
        <v>797912</v>
      </c>
      <c r="J31" s="204">
        <v>804655</v>
      </c>
      <c r="K31" s="204">
        <v>824058</v>
      </c>
      <c r="L31" s="199">
        <v>842733</v>
      </c>
      <c r="M31" s="283">
        <f>VLOOKUP(C31,'Haver NA'!$A$1:$I$33,9,0)</f>
        <v>842733</v>
      </c>
      <c r="N31" s="87">
        <f>L31*((($AI$31/$AH$31)^0.25))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AVERAGE(E31:H31)/1000</f>
        <v>772.56600000000003</v>
      </c>
      <c r="AC31" s="45">
        <f>AVERAGE(I31:L31)/1000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285</v>
      </c>
      <c r="C32" t="s">
        <v>308</v>
      </c>
      <c r="E32" s="204"/>
      <c r="F32" s="204"/>
      <c r="G32" s="204"/>
      <c r="H32" s="204"/>
      <c r="I32" s="204">
        <v>0</v>
      </c>
      <c r="J32" s="204">
        <v>0</v>
      </c>
      <c r="K32" s="204">
        <v>1078000</v>
      </c>
      <c r="L32" s="199">
        <v>15600</v>
      </c>
      <c r="M32" s="283">
        <f>VLOOKUP(C32,'Haver NA'!$A$1:$I$33,9,0)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AVERAGE(I32:L32)/1000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E33" s="204">
        <v>27025</v>
      </c>
      <c r="F33" s="204">
        <v>28029</v>
      </c>
      <c r="G33" s="204">
        <v>27483</v>
      </c>
      <c r="H33" s="204">
        <v>27578</v>
      </c>
      <c r="I33" s="204">
        <v>27884</v>
      </c>
      <c r="J33" s="204">
        <v>43429</v>
      </c>
      <c r="K33" s="204">
        <v>1112564</v>
      </c>
      <c r="L33" s="199">
        <f>L34+L37</f>
        <v>877703</v>
      </c>
      <c r="M33" s="283">
        <v>877703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AVERAGE(E33:H33)/1000</f>
        <v>27.528749999999999</v>
      </c>
      <c r="AC33" s="45">
        <f>AVERAGE(I33:L33)/1000</f>
        <v>515.39499999999998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338</v>
      </c>
      <c r="B34" t="s">
        <v>285</v>
      </c>
      <c r="C34" t="s">
        <v>309</v>
      </c>
      <c r="E34" s="204"/>
      <c r="F34" s="204"/>
      <c r="G34" s="204"/>
      <c r="H34" s="204"/>
      <c r="I34" s="204"/>
      <c r="J34" s="204"/>
      <c r="K34" s="204"/>
      <c r="L34" s="199">
        <v>771503</v>
      </c>
      <c r="M34" s="283">
        <f>VLOOKUP(C34,'Haver NA'!$A$1:$I$33,9,0)</f>
        <v>768678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214</v>
      </c>
      <c r="E35" s="204"/>
      <c r="F35" s="204"/>
      <c r="G35" s="204"/>
      <c r="H35" s="204"/>
      <c r="I35" s="204"/>
      <c r="J35" s="204"/>
      <c r="K35" s="204">
        <f>K36+K37</f>
        <v>834933.33333333326</v>
      </c>
      <c r="L35" s="199">
        <f t="shared" ref="L35:R35" si="26">L36+L37</f>
        <v>738200</v>
      </c>
      <c r="M35" s="283"/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285" t="s">
        <v>138</v>
      </c>
      <c r="E36" s="204"/>
      <c r="F36" s="204"/>
      <c r="G36" s="204"/>
      <c r="H36" s="204"/>
      <c r="I36" s="204">
        <v>0</v>
      </c>
      <c r="J36" s="204">
        <v>0</v>
      </c>
      <c r="K36" s="204">
        <f>'figuring out UI'!M17*1000</f>
        <v>834933.33333333326</v>
      </c>
      <c r="L36" s="199">
        <f>1000*'figuring out UI'!N17</f>
        <v>632000</v>
      </c>
      <c r="M36" s="283"/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AVERAGE(I36:L36)/1000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285" t="s">
        <v>163</v>
      </c>
      <c r="E37" s="204"/>
      <c r="F37" s="204"/>
      <c r="G37" s="204"/>
      <c r="H37" s="204"/>
      <c r="I37" s="204"/>
      <c r="J37" s="204"/>
      <c r="K37" s="204"/>
      <c r="L37" s="199">
        <v>106200</v>
      </c>
      <c r="M37" s="283"/>
      <c r="N37" s="87">
        <f>(44000*4)-L37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E38" s="204"/>
      <c r="F38" s="204"/>
      <c r="G38" s="204"/>
      <c r="H38" s="204"/>
      <c r="I38" s="204">
        <v>0</v>
      </c>
      <c r="J38" s="204">
        <v>0</v>
      </c>
      <c r="K38" s="204">
        <f>'figuring out UI'!M18*1000</f>
        <v>277600</v>
      </c>
      <c r="L38" s="199">
        <f>1000*'figuring out UI'!N18</f>
        <v>140000</v>
      </c>
      <c r="M38" s="283"/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AVERAGE(I38:L38)/1000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E39" s="204"/>
      <c r="F39" s="204"/>
      <c r="G39" s="204"/>
      <c r="H39" s="204"/>
      <c r="I39" s="204">
        <v>0</v>
      </c>
      <c r="J39" s="204">
        <v>0</v>
      </c>
      <c r="K39" s="204">
        <f>SUM(K40:K41)</f>
        <v>179900</v>
      </c>
      <c r="L39" s="199">
        <f>SUM(L40:L41)</f>
        <v>83700</v>
      </c>
      <c r="M39" s="283">
        <f>SUM(M40:M41)</f>
        <v>85400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AVERAGE(I39:L39)/1000</f>
        <v>65.900000000000006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207</v>
      </c>
      <c r="B40" t="s">
        <v>285</v>
      </c>
      <c r="C40" t="s">
        <v>310</v>
      </c>
      <c r="E40" s="204"/>
      <c r="F40" s="204"/>
      <c r="G40" s="204"/>
      <c r="H40" s="204"/>
      <c r="I40" s="204"/>
      <c r="J40" s="204"/>
      <c r="K40" s="204">
        <v>19000</v>
      </c>
      <c r="L40" s="199">
        <v>27000</v>
      </c>
      <c r="M40" s="283">
        <f>VLOOKUP(C40,'Haver NA'!$A$1:$I$33,9,0)</f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208</v>
      </c>
      <c r="B41" t="s">
        <v>285</v>
      </c>
      <c r="C41" t="s">
        <v>311</v>
      </c>
      <c r="E41" s="204"/>
      <c r="F41" s="204"/>
      <c r="G41" s="204"/>
      <c r="H41" s="204"/>
      <c r="I41" s="204"/>
      <c r="J41" s="204"/>
      <c r="K41" s="204">
        <v>160900</v>
      </c>
      <c r="L41" s="199">
        <v>56700</v>
      </c>
      <c r="M41" s="283">
        <f>VLOOKUP(C41,'Haver NA'!$A$1:$I$33,9,0)</f>
        <v>58400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E42" s="199">
        <f>E30-E32-E33-E31</f>
        <v>1440187</v>
      </c>
      <c r="F42" s="199">
        <f>F30-F32-F33-F31</f>
        <v>1503410</v>
      </c>
      <c r="G42" s="203">
        <f>G30-G32-G33-G31</f>
        <v>1508652</v>
      </c>
      <c r="H42" s="199">
        <f>H30-H32-H33-H31</f>
        <v>1513957</v>
      </c>
      <c r="I42" s="203">
        <f>I30-I32-I33-I31-I39</f>
        <v>1521941</v>
      </c>
      <c r="J42" s="203">
        <f>J30-J32-J33-J31-J39</f>
        <v>1574462</v>
      </c>
      <c r="K42" s="203">
        <f>K30-K32-K33-K31-K39</f>
        <v>1620732</v>
      </c>
      <c r="L42" s="204">
        <f>L30-L32-L33-L31-L39</f>
        <v>1694040</v>
      </c>
      <c r="M42" s="286">
        <f>M30-M32-M33-M31-M39</f>
        <v>1666689</v>
      </c>
      <c r="N42" s="88">
        <f>L42*(1+N44)</f>
        <v>1681334.7000000002</v>
      </c>
      <c r="O42" s="88">
        <f t="shared" ref="O42:Q42" si="29">N42*(1+O44)</f>
        <v>1668724.6897500004</v>
      </c>
      <c r="P42" s="88">
        <f t="shared" si="29"/>
        <v>1656209.2545768754</v>
      </c>
      <c r="Q42" s="88">
        <f t="shared" si="29"/>
        <v>1643787.6851675489</v>
      </c>
      <c r="R42" s="88">
        <f>Q42*(1+R44)</f>
        <v>1668444.5004450621</v>
      </c>
      <c r="S42" s="88">
        <f t="shared" ref="S42:U42" si="30">R42*(1+S44)</f>
        <v>1693471.1679517378</v>
      </c>
      <c r="T42" s="88">
        <f t="shared" si="30"/>
        <v>1718873.2354710137</v>
      </c>
      <c r="U42" s="88">
        <f t="shared" si="30"/>
        <v>1744656.3340030788</v>
      </c>
      <c r="V42" s="88">
        <f>U42*(1+V44)</f>
        <v>1762102.8973431096</v>
      </c>
      <c r="W42" s="44"/>
      <c r="X42" s="3"/>
      <c r="Y42" s="3"/>
      <c r="Z42" s="3"/>
      <c r="AA42" s="3"/>
      <c r="AB42" s="3">
        <f>AC30-AC32-AC33-AC31-AC39</f>
        <v>-1672.0345000000002</v>
      </c>
      <c r="AC42" s="45">
        <f>AVERAGE(I42:L42)/1000</f>
        <v>1602.79375</v>
      </c>
      <c r="AD42" s="45">
        <f t="shared" si="24"/>
        <v>1662.5140823736062</v>
      </c>
      <c r="AE42" s="45">
        <f t="shared" si="25"/>
        <v>1706.3613094677232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1677.4854796419443</v>
      </c>
      <c r="AN42">
        <f>AJ42/AH42*AC42</f>
        <v>1718.2255606122285</v>
      </c>
    </row>
    <row r="43" spans="1:40" s="171" customFormat="1" x14ac:dyDescent="0.35">
      <c r="A43" s="170" t="s">
        <v>217</v>
      </c>
      <c r="C43" s="282"/>
      <c r="E43" s="234"/>
      <c r="F43" s="236">
        <f>F42/E42-1</f>
        <v>4.3899160317375507E-2</v>
      </c>
      <c r="G43" s="236">
        <f t="shared" ref="G43:K43" si="31">G42/F42-1</f>
        <v>3.4867401440725754E-3</v>
      </c>
      <c r="H43" s="236">
        <f t="shared" si="31"/>
        <v>3.5163841628156334E-3</v>
      </c>
      <c r="I43" s="236">
        <f t="shared" si="31"/>
        <v>5.2735975988749129E-3</v>
      </c>
      <c r="J43" s="236">
        <f t="shared" si="31"/>
        <v>3.4509222105193249E-2</v>
      </c>
      <c r="K43" s="236">
        <f t="shared" si="31"/>
        <v>2.938781628264131E-2</v>
      </c>
      <c r="L43" s="199"/>
      <c r="M43" s="283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272</v>
      </c>
      <c r="E44" s="209"/>
      <c r="F44" s="209"/>
      <c r="G44" s="209"/>
      <c r="H44" s="209"/>
      <c r="I44" s="202"/>
      <c r="J44" s="202"/>
      <c r="K44" s="202"/>
      <c r="L44" s="199"/>
      <c r="M44" s="283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1672.0345000000002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43.5" x14ac:dyDescent="0.35">
      <c r="A45" s="86" t="s">
        <v>158</v>
      </c>
      <c r="B45"/>
      <c r="D45"/>
      <c r="E45" s="203">
        <f t="shared" ref="E45:J45" si="32">E42+E32+E36</f>
        <v>1440187</v>
      </c>
      <c r="F45" s="203">
        <f t="shared" si="32"/>
        <v>1503410</v>
      </c>
      <c r="G45" s="203">
        <f t="shared" si="32"/>
        <v>1508652</v>
      </c>
      <c r="H45" s="203">
        <f t="shared" si="32"/>
        <v>1513957</v>
      </c>
      <c r="I45" s="203">
        <f t="shared" si="32"/>
        <v>1521941</v>
      </c>
      <c r="J45" s="203">
        <f t="shared" si="32"/>
        <v>1574462</v>
      </c>
      <c r="K45" s="203">
        <f>K42+K32+K35</f>
        <v>3533665.333333333</v>
      </c>
      <c r="L45" s="199">
        <f t="shared" ref="L45:U45" si="33">L42+L32+L35</f>
        <v>2447840</v>
      </c>
      <c r="M45" s="283"/>
      <c r="N45" s="88">
        <f t="shared" si="33"/>
        <v>1939134.7000000002</v>
      </c>
      <c r="O45" s="88">
        <f t="shared" si="33"/>
        <v>1868724.6897500004</v>
      </c>
      <c r="P45" s="88">
        <f t="shared" si="33"/>
        <v>1780209.2545768754</v>
      </c>
      <c r="Q45" s="88">
        <f t="shared" si="33"/>
        <v>1643787.6851675489</v>
      </c>
      <c r="R45" s="88">
        <f t="shared" si="33"/>
        <v>1668444.5004450621</v>
      </c>
      <c r="S45" s="88">
        <f t="shared" si="33"/>
        <v>1693471.1679517378</v>
      </c>
      <c r="T45" s="88">
        <f t="shared" si="33"/>
        <v>1718873.2354710137</v>
      </c>
      <c r="U45" s="88">
        <f t="shared" si="33"/>
        <v>1744656.3340030788</v>
      </c>
      <c r="V45" s="88">
        <f>V42+V32+V36</f>
        <v>1762102.8973431096</v>
      </c>
      <c r="W45" s="223"/>
      <c r="X45" s="223"/>
      <c r="Y45" s="223"/>
      <c r="Z45" s="223"/>
      <c r="AA45" s="223"/>
      <c r="AB45" s="223"/>
      <c r="AI45" s="35">
        <f>AI42/AH42</f>
        <v>1.0466009613788076</v>
      </c>
      <c r="AL45" s="243"/>
    </row>
    <row r="46" spans="1:40" s="35" customFormat="1" ht="14" customHeight="1" x14ac:dyDescent="0.35">
      <c r="A46"/>
      <c r="B46"/>
      <c r="D46"/>
      <c r="E46" s="199"/>
      <c r="F46" s="199"/>
      <c r="G46" s="199"/>
      <c r="H46" s="199"/>
      <c r="I46" s="199"/>
      <c r="J46" s="199"/>
      <c r="K46" s="199"/>
      <c r="L46" s="199"/>
      <c r="M46" s="283"/>
      <c r="N46" s="3"/>
      <c r="O46" s="3"/>
      <c r="P46" s="3"/>
      <c r="Q46" s="3"/>
      <c r="R46" s="3"/>
      <c r="S46" s="3"/>
      <c r="T46" s="3"/>
      <c r="U46" s="3"/>
      <c r="V46" s="3"/>
      <c r="W46" s="44"/>
      <c r="X46" s="44"/>
      <c r="Y46" s="44"/>
      <c r="Z46" s="44"/>
      <c r="AA46" s="44"/>
      <c r="AB46" s="44"/>
      <c r="AC46" s="45"/>
      <c r="AD46" s="45"/>
      <c r="AE46" s="45"/>
      <c r="AF46" s="44"/>
      <c r="AH46" s="44"/>
      <c r="AI46" s="44"/>
      <c r="AJ46" s="44"/>
      <c r="AK46" s="44"/>
      <c r="AL46" s="245"/>
    </row>
    <row r="47" spans="1:40" s="35" customFormat="1" x14ac:dyDescent="0.35">
      <c r="A47" s="141" t="s">
        <v>4</v>
      </c>
      <c r="B47" s="141" t="s">
        <v>285</v>
      </c>
      <c r="C47" t="s">
        <v>312</v>
      </c>
      <c r="D47" s="141"/>
      <c r="E47" s="199">
        <v>79458</v>
      </c>
      <c r="F47" s="199">
        <v>71318</v>
      </c>
      <c r="G47" s="199">
        <v>61083</v>
      </c>
      <c r="H47" s="204">
        <v>81998</v>
      </c>
      <c r="I47" s="204">
        <v>81147</v>
      </c>
      <c r="J47" s="204">
        <v>75093</v>
      </c>
      <c r="K47" s="204">
        <v>1086548</v>
      </c>
      <c r="L47" s="199">
        <v>1212346</v>
      </c>
      <c r="M47" s="283">
        <f>VLOOKUP(C47,'Haver NA'!$A$1:$I$33,9,0)</f>
        <v>1213308</v>
      </c>
      <c r="N47" s="144">
        <f t="shared" ref="N47:V47" si="34">N48+AVERAGE($G$47:$J$47)</f>
        <v>382932.00834658189</v>
      </c>
      <c r="O47" s="144">
        <f t="shared" si="34"/>
        <v>100250.25</v>
      </c>
      <c r="P47" s="144">
        <f t="shared" si="34"/>
        <v>100250.25</v>
      </c>
      <c r="Q47" s="144">
        <f t="shared" si="34"/>
        <v>100250.25</v>
      </c>
      <c r="R47" s="144">
        <f t="shared" si="34"/>
        <v>100250.25</v>
      </c>
      <c r="S47" s="144">
        <f t="shared" si="34"/>
        <v>74830.25</v>
      </c>
      <c r="T47" s="144">
        <f t="shared" si="34"/>
        <v>74830.25</v>
      </c>
      <c r="U47" s="144">
        <f t="shared" si="34"/>
        <v>74830.25</v>
      </c>
      <c r="V47" s="144">
        <f t="shared" si="34"/>
        <v>74830.25</v>
      </c>
      <c r="W47" s="44"/>
      <c r="X47" s="44"/>
      <c r="Y47" s="44"/>
      <c r="Z47" s="44"/>
      <c r="AA47" s="44"/>
      <c r="AB47" s="44">
        <f>AVERAGE(E47:H47)/1000</f>
        <v>73.464250000000007</v>
      </c>
      <c r="AC47" s="44"/>
      <c r="AD47" s="44"/>
      <c r="AE47" s="44"/>
      <c r="AL47" s="243"/>
    </row>
    <row r="48" spans="1:40" s="35" customFormat="1" x14ac:dyDescent="0.35">
      <c r="A48" s="134" t="s">
        <v>202</v>
      </c>
      <c r="E48" s="199"/>
      <c r="F48" s="199"/>
      <c r="G48" s="199"/>
      <c r="H48" s="204"/>
      <c r="I48" s="204"/>
      <c r="J48" s="204"/>
      <c r="K48" s="204"/>
      <c r="L48" s="204">
        <f>L49+L50</f>
        <v>1093900</v>
      </c>
      <c r="M48" s="283">
        <f>M49+M50</f>
        <v>1093900</v>
      </c>
      <c r="N48" s="116">
        <f t="shared" ref="N48:V48" si="35">N49+N50</f>
        <v>308101.75834658189</v>
      </c>
      <c r="O48" s="116">
        <f t="shared" si="35"/>
        <v>25420</v>
      </c>
      <c r="P48" s="116">
        <f t="shared" si="35"/>
        <v>25420</v>
      </c>
      <c r="Q48" s="116">
        <f t="shared" si="35"/>
        <v>25420</v>
      </c>
      <c r="R48" s="116">
        <f t="shared" si="35"/>
        <v>25420</v>
      </c>
      <c r="S48" s="116">
        <f t="shared" si="35"/>
        <v>0</v>
      </c>
      <c r="T48" s="116">
        <f t="shared" si="35"/>
        <v>0</v>
      </c>
      <c r="U48" s="116">
        <f t="shared" si="35"/>
        <v>0</v>
      </c>
      <c r="V48" s="116">
        <f t="shared" si="35"/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x14ac:dyDescent="0.35">
      <c r="A49" s="227" t="s">
        <v>275</v>
      </c>
      <c r="C49" t="s">
        <v>313</v>
      </c>
      <c r="E49" s="199"/>
      <c r="F49" s="199"/>
      <c r="G49" s="199"/>
      <c r="H49" s="204"/>
      <c r="I49" s="204"/>
      <c r="J49" s="204"/>
      <c r="K49" s="204">
        <v>609300</v>
      </c>
      <c r="L49" s="199">
        <v>865600</v>
      </c>
      <c r="M49" s="283">
        <f>VLOOKUP(C49,'Haver NA'!$A$1:$I$33,9,0)</f>
        <v>865600</v>
      </c>
      <c r="N49" s="116">
        <f>'[1]Revised Add Factors'!D$13*1000</f>
        <v>282681.75834658189</v>
      </c>
      <c r="O49" s="116"/>
      <c r="P49" s="116">
        <f>'[1]Revised Add Factors'!F$13*1000</f>
        <v>0</v>
      </c>
      <c r="Q49" s="116">
        <f>'[1]Revised Add Factors'!G$13*1000</f>
        <v>0</v>
      </c>
      <c r="R49" s="116">
        <f>'[1]Revised Add Factors'!H$13*1000</f>
        <v>0</v>
      </c>
      <c r="S49" s="116"/>
      <c r="T49" s="116">
        <f>'[1]Revised Add Factors'!J$13*1000</f>
        <v>0</v>
      </c>
      <c r="U49" s="116">
        <f>'[1]Revised Add Factors'!K$13*1000</f>
        <v>0</v>
      </c>
      <c r="V49" s="116">
        <f>'[1]Revised Add Factors'!L$13*1000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35" customFormat="1" ht="27.5" customHeight="1" x14ac:dyDescent="0.35">
      <c r="A50" s="228" t="s">
        <v>276</v>
      </c>
      <c r="C50" t="s">
        <v>339</v>
      </c>
      <c r="E50" s="199"/>
      <c r="F50" s="199"/>
      <c r="G50" s="199"/>
      <c r="H50" s="204"/>
      <c r="I50" s="204"/>
      <c r="J50" s="204"/>
      <c r="K50" s="204">
        <f>SUM(K51:K53)</f>
        <v>277100</v>
      </c>
      <c r="L50" s="199">
        <f>SUM(L51:L53)</f>
        <v>228300</v>
      </c>
      <c r="M50" s="283">
        <f>VLOOKUP(C50,'Haver NA'!$A$1:$I$33,9,0)</f>
        <v>228300</v>
      </c>
      <c r="N50" s="116">
        <v>25420</v>
      </c>
      <c r="O50" s="116">
        <v>25420</v>
      </c>
      <c r="P50" s="116">
        <v>25420</v>
      </c>
      <c r="Q50" s="116">
        <v>25420</v>
      </c>
      <c r="R50" s="116">
        <v>25420</v>
      </c>
      <c r="S50" s="116"/>
      <c r="T50" s="116">
        <f>'[1]Revised Add Factors'!J$14*1000</f>
        <v>0</v>
      </c>
      <c r="U50" s="116">
        <f>'[1]Revised Add Factors'!K$14*1000</f>
        <v>0</v>
      </c>
      <c r="V50" s="116">
        <f>'[1]Revised Add Factors'!L$14*1000</f>
        <v>0</v>
      </c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L50" s="243"/>
    </row>
    <row r="51" spans="1:38" s="187" customFormat="1" x14ac:dyDescent="0.35">
      <c r="A51" s="263" t="s">
        <v>286</v>
      </c>
      <c r="B51" s="187" t="s">
        <v>285</v>
      </c>
      <c r="C51" t="s">
        <v>314</v>
      </c>
      <c r="E51" s="209"/>
      <c r="F51" s="209"/>
      <c r="G51" s="209"/>
      <c r="H51" s="264"/>
      <c r="I51" s="264"/>
      <c r="J51" s="264"/>
      <c r="K51" s="264">
        <v>63800</v>
      </c>
      <c r="L51" s="264">
        <v>15000</v>
      </c>
      <c r="M51" s="283">
        <f>VLOOKUP(C51,'Haver NA'!$A$1:$I$33,9,0)</f>
        <v>15000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285</v>
      </c>
      <c r="C52" t="s">
        <v>315</v>
      </c>
      <c r="E52" s="209"/>
      <c r="F52" s="209"/>
      <c r="G52" s="209"/>
      <c r="H52" s="264"/>
      <c r="I52" s="264"/>
      <c r="J52" s="264"/>
      <c r="K52" s="264">
        <v>73300</v>
      </c>
      <c r="L52" s="264">
        <v>73300</v>
      </c>
      <c r="M52" s="283">
        <f>VLOOKUP(C52,'Haver NA'!$A$1:$I$33,9,0)</f>
        <v>73300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187" customFormat="1" x14ac:dyDescent="0.35">
      <c r="A53" s="263" t="s">
        <v>288</v>
      </c>
      <c r="B53" s="187" t="s">
        <v>285</v>
      </c>
      <c r="C53" t="s">
        <v>316</v>
      </c>
      <c r="E53" s="209"/>
      <c r="F53" s="209"/>
      <c r="G53" s="209"/>
      <c r="H53" s="264"/>
      <c r="I53" s="264"/>
      <c r="J53" s="264"/>
      <c r="K53" s="264">
        <v>140000</v>
      </c>
      <c r="L53" s="264">
        <v>140000</v>
      </c>
      <c r="M53" s="283">
        <f>VLOOKUP(C53,'Haver NA'!$A$1:$I$33,9,0)</f>
        <v>140000</v>
      </c>
      <c r="N53" s="265"/>
      <c r="O53" s="265"/>
      <c r="P53" s="265"/>
      <c r="Q53" s="265"/>
      <c r="R53" s="265"/>
      <c r="S53" s="265"/>
      <c r="T53" s="265"/>
      <c r="U53" s="265"/>
      <c r="V53" s="265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L53" s="244"/>
    </row>
    <row r="54" spans="1:38" s="35" customFormat="1" x14ac:dyDescent="0.35">
      <c r="A54" s="134"/>
      <c r="E54" s="199"/>
      <c r="F54" s="199"/>
      <c r="G54" s="199"/>
      <c r="H54" s="204"/>
      <c r="I54" s="204"/>
      <c r="J54" s="204"/>
      <c r="K54" s="204"/>
      <c r="L54" s="199"/>
      <c r="M54" s="283"/>
      <c r="N54" s="116"/>
      <c r="O54" s="116"/>
      <c r="P54" s="116"/>
      <c r="Q54" s="116"/>
      <c r="R54" s="116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L54" s="243"/>
    </row>
    <row r="55" spans="1:38" s="35" customFormat="1" x14ac:dyDescent="0.35">
      <c r="A55" s="35" t="s">
        <v>16</v>
      </c>
      <c r="B55" s="35" t="s">
        <v>285</v>
      </c>
      <c r="C55" t="s">
        <v>317</v>
      </c>
      <c r="E55" s="199">
        <v>586475</v>
      </c>
      <c r="F55" s="199">
        <v>594213</v>
      </c>
      <c r="G55" s="199">
        <v>612547</v>
      </c>
      <c r="H55" s="204">
        <v>610331</v>
      </c>
      <c r="I55" s="204">
        <v>615406</v>
      </c>
      <c r="J55" s="204">
        <v>627805</v>
      </c>
      <c r="K55" s="204">
        <v>1396890</v>
      </c>
      <c r="L55" s="199">
        <v>727479</v>
      </c>
      <c r="M55" s="283">
        <f>VLOOKUP(C55,'Haver NA'!$A$1:$I$33,9,0)</f>
        <v>728172</v>
      </c>
      <c r="N55" s="116">
        <f>N57+(SUM($L$59:$R$59))/4/6*4</f>
        <v>270372.88477706735</v>
      </c>
      <c r="O55" s="116">
        <f>O57+(SUM($L$59:$R$59))/4/6*4</f>
        <v>271140.99544764293</v>
      </c>
      <c r="P55" s="116">
        <f>P57+(SUM($L$59:$R$59))/4/6*4</f>
        <v>272022.43392207252</v>
      </c>
      <c r="Q55" s="116">
        <f>Q57+(SUM($L$59:$R$59))/4/6*4</f>
        <v>273054.97613497754</v>
      </c>
      <c r="R55" s="116">
        <f>R57+(SUM($L$59:$R$59))/4/6*4</f>
        <v>274544.37969325104</v>
      </c>
      <c r="S55" s="44"/>
      <c r="T55" s="44"/>
      <c r="U55" s="44"/>
      <c r="V55" s="44"/>
      <c r="W55" s="44"/>
      <c r="X55" s="44"/>
      <c r="Y55" s="44"/>
      <c r="Z55" s="44"/>
      <c r="AA55" s="44"/>
      <c r="AB55" s="44">
        <f>AVERAGE(E55:H55)/1000</f>
        <v>600.89149999999995</v>
      </c>
      <c r="AC55" s="44"/>
      <c r="AD55" s="44"/>
      <c r="AE55" s="44"/>
      <c r="AL55" s="243"/>
    </row>
    <row r="56" spans="1:38" s="35" customFormat="1" x14ac:dyDescent="0.35">
      <c r="A56" s="35" t="s">
        <v>230</v>
      </c>
      <c r="E56" s="205">
        <f>E55-E68</f>
        <v>196851</v>
      </c>
      <c r="F56" s="205">
        <f t="shared" ref="F56:M56" si="36">F55-F68</f>
        <v>189684</v>
      </c>
      <c r="G56" s="205">
        <f t="shared" si="36"/>
        <v>192875</v>
      </c>
      <c r="H56" s="205">
        <f t="shared" si="36"/>
        <v>191507</v>
      </c>
      <c r="I56" s="205">
        <f t="shared" si="36"/>
        <v>203997</v>
      </c>
      <c r="J56" s="205">
        <f t="shared" si="36"/>
        <v>204376</v>
      </c>
      <c r="K56" s="205">
        <f t="shared" si="36"/>
        <v>884250</v>
      </c>
      <c r="L56" s="199">
        <f t="shared" si="36"/>
        <v>241407</v>
      </c>
      <c r="M56" s="283">
        <f t="shared" si="36"/>
        <v>242100</v>
      </c>
      <c r="N56" s="116"/>
      <c r="O56" s="116"/>
      <c r="P56" s="116"/>
      <c r="Q56" s="116"/>
      <c r="R56" s="116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35" customFormat="1" x14ac:dyDescent="0.35">
      <c r="A57" s="136" t="s">
        <v>231</v>
      </c>
      <c r="E57" s="199"/>
      <c r="F57" s="199"/>
      <c r="G57" s="199"/>
      <c r="H57" s="204"/>
      <c r="I57" s="204"/>
      <c r="J57" s="204"/>
      <c r="K57" s="204">
        <f>K56-K58</f>
        <v>192250</v>
      </c>
      <c r="L57" s="199">
        <f>K57*(1+L67)</f>
        <v>189924.8072833599</v>
      </c>
      <c r="M57" s="283"/>
      <c r="N57" s="116">
        <f>L57*(1+N67)</f>
        <v>191372.88477706737</v>
      </c>
      <c r="O57" s="116">
        <f t="shared" ref="O57:R57" si="37">N57*(1+O67)</f>
        <v>192140.99544764293</v>
      </c>
      <c r="P57" s="116">
        <f t="shared" si="37"/>
        <v>193022.43392207249</v>
      </c>
      <c r="Q57" s="116">
        <f t="shared" si="37"/>
        <v>194054.97613497751</v>
      </c>
      <c r="R57" s="116">
        <f t="shared" si="37"/>
        <v>195544.37969325104</v>
      </c>
      <c r="S57" s="116">
        <f t="shared" ref="S57" si="38">R57*(1+S67)</f>
        <v>197240.80684971524</v>
      </c>
      <c r="T57" s="116">
        <f t="shared" ref="T57" si="39">S57*(1+T67)</f>
        <v>198958.57178194771</v>
      </c>
      <c r="U57" s="116">
        <f t="shared" ref="U57" si="40">T57*(1+U67)</f>
        <v>200866.80125051297</v>
      </c>
      <c r="V57" s="116">
        <f t="shared" ref="V57:W57" si="41">U57*(1+V67)</f>
        <v>202622.47677399649</v>
      </c>
      <c r="W57" s="116">
        <f t="shared" si="41"/>
        <v>204572.45802602734</v>
      </c>
      <c r="X57" s="44"/>
      <c r="Y57" s="44"/>
      <c r="Z57" s="44"/>
      <c r="AA57" s="44"/>
      <c r="AB57" s="44"/>
      <c r="AC57" s="44"/>
      <c r="AD57" s="44"/>
      <c r="AE57" s="44"/>
      <c r="AF57" s="44"/>
      <c r="AL57" s="243"/>
    </row>
    <row r="58" spans="1:38" s="138" customFormat="1" x14ac:dyDescent="0.35">
      <c r="A58" s="137" t="s">
        <v>211</v>
      </c>
      <c r="C58" t="s">
        <v>318</v>
      </c>
      <c r="E58" s="206"/>
      <c r="F58" s="206"/>
      <c r="G58" s="206"/>
      <c r="H58" s="207"/>
      <c r="I58" s="207"/>
      <c r="J58" s="207"/>
      <c r="K58" s="207">
        <v>692000</v>
      </c>
      <c r="L58" s="199">
        <v>38500</v>
      </c>
      <c r="M58" s="283"/>
      <c r="N58" s="139"/>
      <c r="O58" s="139"/>
      <c r="P58" s="139"/>
      <c r="Q58" s="139"/>
      <c r="R58" s="139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L58" s="246"/>
    </row>
    <row r="59" spans="1:38" s="35" customFormat="1" ht="29" x14ac:dyDescent="0.35">
      <c r="A59" s="134" t="s">
        <v>212</v>
      </c>
      <c r="E59" s="199"/>
      <c r="F59" s="199"/>
      <c r="G59" s="199"/>
      <c r="H59" s="204"/>
      <c r="I59" s="204"/>
      <c r="J59" s="204"/>
      <c r="K59" s="208">
        <f>SUM(K60:K62)</f>
        <v>87000</v>
      </c>
      <c r="L59" s="199">
        <f>SUM(L60:L62)</f>
        <v>97000</v>
      </c>
      <c r="M59" s="283"/>
      <c r="N59" s="116">
        <f t="shared" ref="N59:W59" si="42">SUM(N60:N62)</f>
        <v>107000</v>
      </c>
      <c r="O59" s="116">
        <f t="shared" si="42"/>
        <v>90000</v>
      </c>
      <c r="P59" s="116">
        <f t="shared" si="42"/>
        <v>62000</v>
      </c>
      <c r="Q59" s="116">
        <f t="shared" si="42"/>
        <v>62000</v>
      </c>
      <c r="R59" s="116">
        <f t="shared" si="42"/>
        <v>56000</v>
      </c>
      <c r="S59" s="116">
        <f t="shared" si="42"/>
        <v>50000</v>
      </c>
      <c r="T59" s="116">
        <f t="shared" si="42"/>
        <v>50000</v>
      </c>
      <c r="U59" s="116">
        <f t="shared" si="42"/>
        <v>50000</v>
      </c>
      <c r="V59" s="116">
        <f t="shared" si="42"/>
        <v>50000</v>
      </c>
      <c r="W59" s="116">
        <f t="shared" si="42"/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199</v>
      </c>
      <c r="E60" s="199"/>
      <c r="F60" s="199"/>
      <c r="G60" s="199"/>
      <c r="H60" s="204"/>
      <c r="I60" s="204"/>
      <c r="J60" s="204"/>
      <c r="K60" s="208">
        <v>35000</v>
      </c>
      <c r="L60" s="199">
        <v>45000</v>
      </c>
      <c r="M60" s="283"/>
      <c r="N60" s="116">
        <v>60000</v>
      </c>
      <c r="O60" s="116">
        <v>60000</v>
      </c>
      <c r="P60" s="116">
        <v>50000</v>
      </c>
      <c r="Q60" s="116">
        <v>50000</v>
      </c>
      <c r="R60" s="116">
        <v>50000</v>
      </c>
      <c r="S60" s="116">
        <v>50000</v>
      </c>
      <c r="T60" s="116">
        <v>50000</v>
      </c>
      <c r="U60" s="116">
        <v>50000</v>
      </c>
      <c r="V60" s="116">
        <v>50000</v>
      </c>
      <c r="W60" s="116">
        <v>50000</v>
      </c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203</v>
      </c>
      <c r="E61" s="199"/>
      <c r="F61" s="199"/>
      <c r="G61" s="199"/>
      <c r="H61" s="204"/>
      <c r="I61" s="204"/>
      <c r="J61" s="204"/>
      <c r="K61" s="204">
        <v>27000</v>
      </c>
      <c r="L61" s="199">
        <v>27000</v>
      </c>
      <c r="M61" s="283"/>
      <c r="N61" s="116">
        <v>12000</v>
      </c>
      <c r="O61" s="116">
        <v>12000</v>
      </c>
      <c r="P61" s="116">
        <v>12000</v>
      </c>
      <c r="Q61" s="116">
        <v>12000</v>
      </c>
      <c r="R61" s="116">
        <v>6000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13" t="s">
        <v>200</v>
      </c>
      <c r="E62" s="199"/>
      <c r="F62" s="199"/>
      <c r="G62" s="199"/>
      <c r="H62" s="204"/>
      <c r="I62" s="204"/>
      <c r="J62" s="204"/>
      <c r="K62" s="204">
        <v>25000</v>
      </c>
      <c r="L62" s="199">
        <v>25000</v>
      </c>
      <c r="M62" s="283"/>
      <c r="N62" s="116">
        <v>35000</v>
      </c>
      <c r="O62" s="116">
        <v>18000</v>
      </c>
      <c r="P62" s="116">
        <v>0</v>
      </c>
      <c r="Q62" s="116">
        <v>0</v>
      </c>
      <c r="R62" s="116">
        <v>0</v>
      </c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A63" s="145" t="s">
        <v>219</v>
      </c>
      <c r="B63" s="141"/>
      <c r="D63" s="141"/>
      <c r="E63" s="199"/>
      <c r="F63" s="199"/>
      <c r="G63" s="199"/>
      <c r="H63" s="204"/>
      <c r="I63" s="204"/>
      <c r="J63" s="204">
        <f>J55-J68</f>
        <v>204376</v>
      </c>
      <c r="K63" s="208">
        <f>K57+K59</f>
        <v>279250</v>
      </c>
      <c r="L63" s="199">
        <f t="shared" ref="L63:W63" si="43">L57+L59</f>
        <v>286924.80728335993</v>
      </c>
      <c r="M63" s="199">
        <f t="shared" si="43"/>
        <v>0</v>
      </c>
      <c r="N63" s="144">
        <f t="shared" si="43"/>
        <v>298372.88477706735</v>
      </c>
      <c r="O63" s="144">
        <f t="shared" si="43"/>
        <v>282140.99544764293</v>
      </c>
      <c r="P63" s="144">
        <f t="shared" si="43"/>
        <v>255022.43392207249</v>
      </c>
      <c r="Q63" s="144">
        <f t="shared" si="43"/>
        <v>256054.97613497751</v>
      </c>
      <c r="R63" s="144">
        <f t="shared" si="43"/>
        <v>251544.37969325104</v>
      </c>
      <c r="S63" s="144">
        <f t="shared" si="43"/>
        <v>247240.80684971524</v>
      </c>
      <c r="T63" s="144">
        <f t="shared" si="43"/>
        <v>248958.57178194771</v>
      </c>
      <c r="U63" s="144">
        <f t="shared" si="43"/>
        <v>250866.80125051297</v>
      </c>
      <c r="V63" s="144">
        <f t="shared" si="43"/>
        <v>252622.47677399649</v>
      </c>
      <c r="W63" s="144">
        <f t="shared" si="43"/>
        <v>254572.45802602734</v>
      </c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E64" s="199"/>
      <c r="F64" s="199"/>
      <c r="G64" s="199"/>
      <c r="H64" s="199"/>
      <c r="I64" s="199"/>
      <c r="J64" s="199"/>
      <c r="K64" s="205"/>
      <c r="L64" s="199"/>
      <c r="M64" s="283"/>
      <c r="N64" s="135"/>
      <c r="O64" s="135"/>
      <c r="P64" s="135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L64" s="243"/>
    </row>
    <row r="65" spans="1:38" s="35" customFormat="1" x14ac:dyDescent="0.35">
      <c r="A65" s="35" t="s">
        <v>17</v>
      </c>
      <c r="B65" s="35" t="s">
        <v>285</v>
      </c>
      <c r="C65" t="s">
        <v>319</v>
      </c>
      <c r="E65" s="208">
        <v>1241.5999999999999</v>
      </c>
      <c r="F65" s="208">
        <v>1245.8</v>
      </c>
      <c r="G65" s="208">
        <v>1473.6</v>
      </c>
      <c r="H65" s="208">
        <v>1288.5</v>
      </c>
      <c r="I65" s="208">
        <v>1301.0999999999999</v>
      </c>
      <c r="J65" s="208">
        <v>1306.0999999999999</v>
      </c>
      <c r="K65" s="208">
        <v>1360.1</v>
      </c>
      <c r="L65" s="199">
        <v>1335.2</v>
      </c>
      <c r="M65" s="283">
        <f>VLOOKUP(C65,'Haver NA'!$A$1:$I$33,9,0)</f>
        <v>1335322</v>
      </c>
      <c r="N65" s="116"/>
      <c r="O65" s="116"/>
      <c r="P65" s="116"/>
      <c r="Q65" s="116"/>
      <c r="R65" s="116"/>
      <c r="S65" s="116"/>
      <c r="T65" s="116"/>
      <c r="U65" s="116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H65" s="44"/>
      <c r="AI65" s="44"/>
      <c r="AJ65" s="44"/>
      <c r="AK65" s="44"/>
      <c r="AL65" s="245"/>
    </row>
    <row r="66" spans="1:38" s="35" customFormat="1" x14ac:dyDescent="0.35">
      <c r="A66" s="114" t="s">
        <v>205</v>
      </c>
      <c r="B66" s="35" t="s">
        <v>285</v>
      </c>
      <c r="C66" t="s">
        <v>320</v>
      </c>
      <c r="E66" s="199"/>
      <c r="F66" s="199"/>
      <c r="G66" s="199"/>
      <c r="H66" s="199"/>
      <c r="I66" s="199">
        <v>1447.9</v>
      </c>
      <c r="J66" s="199">
        <v>1452.6</v>
      </c>
      <c r="K66" s="199">
        <v>1504.8</v>
      </c>
      <c r="L66" s="199">
        <v>1486.6</v>
      </c>
      <c r="M66" s="283">
        <f>VLOOKUP(C66,'Haver NA'!$A$1:$I$33,9,0)</f>
        <v>1486802</v>
      </c>
      <c r="N66">
        <v>1497.93454882981</v>
      </c>
      <c r="O66">
        <v>1503.94678777432</v>
      </c>
      <c r="P66">
        <v>1510.84607836637</v>
      </c>
      <c r="Q66">
        <v>1518.9281044884999</v>
      </c>
      <c r="R66">
        <v>1530.5861251620499</v>
      </c>
      <c r="S66">
        <v>1543.8645833417499</v>
      </c>
      <c r="T66">
        <v>1557.3100588685299</v>
      </c>
      <c r="U66">
        <v>1572.24635902092</v>
      </c>
      <c r="V66">
        <v>1585.9885724291801</v>
      </c>
      <c r="W66">
        <v>1601.2516766583401</v>
      </c>
      <c r="X66">
        <v>1615.2555410887301</v>
      </c>
      <c r="Y66">
        <v>1630.7945672703099</v>
      </c>
      <c r="Z66">
        <v>1681.38499637876</v>
      </c>
      <c r="AA66"/>
      <c r="AD66" s="44"/>
      <c r="AE66" s="44"/>
      <c r="AF66" s="44"/>
      <c r="AH66" s="44"/>
      <c r="AI66" s="44"/>
      <c r="AJ66" s="44"/>
      <c r="AK66" s="44"/>
      <c r="AL66" s="245"/>
    </row>
    <row r="67" spans="1:38" s="187" customFormat="1" x14ac:dyDescent="0.35">
      <c r="A67" s="170" t="s">
        <v>204</v>
      </c>
      <c r="E67" s="209"/>
      <c r="F67" s="209"/>
      <c r="G67" s="209"/>
      <c r="H67" s="209"/>
      <c r="I67" s="209"/>
      <c r="J67" s="209"/>
      <c r="K67" s="209"/>
      <c r="L67" s="202">
        <f>L66/K66-1</f>
        <v>-1.2094630515683158E-2</v>
      </c>
      <c r="M67" s="283"/>
      <c r="N67" s="188">
        <f>N66/L66-1</f>
        <v>7.6244778890153242E-3</v>
      </c>
      <c r="O67" s="188">
        <f t="shared" ref="O67:V67" si="44">O66/N66-1</f>
        <v>4.0136860113193507E-3</v>
      </c>
      <c r="P67" s="188">
        <f t="shared" si="44"/>
        <v>4.5874565829953085E-3</v>
      </c>
      <c r="Q67" s="188">
        <f t="shared" si="44"/>
        <v>5.3493378563544969E-3</v>
      </c>
      <c r="R67" s="188">
        <f t="shared" si="44"/>
        <v>7.6751629251576858E-3</v>
      </c>
      <c r="S67" s="188">
        <f t="shared" si="44"/>
        <v>8.675407388979206E-3</v>
      </c>
      <c r="T67" s="188">
        <f t="shared" si="44"/>
        <v>8.7089733593581631E-3</v>
      </c>
      <c r="U67" s="188">
        <f t="shared" si="44"/>
        <v>9.5910894990571816E-3</v>
      </c>
      <c r="V67" s="188">
        <f t="shared" si="44"/>
        <v>8.7404962520107876E-3</v>
      </c>
      <c r="W67" s="188">
        <f t="shared" ref="W67" si="45">W66/V66-1</f>
        <v>9.6237163965073869E-3</v>
      </c>
      <c r="X67" s="188">
        <f t="shared" ref="X67" si="46">X66/W66-1</f>
        <v>8.7455736250123817E-3</v>
      </c>
      <c r="Y67" s="188">
        <f>Y66/X66-1</f>
        <v>9.6201658414407643E-3</v>
      </c>
      <c r="Z67" s="188">
        <f t="shared" ref="Z67" si="47">Z66/Y66-1</f>
        <v>3.1021950970274714E-2</v>
      </c>
      <c r="AA67" s="188"/>
      <c r="AD67" s="189"/>
      <c r="AE67" s="189"/>
      <c r="AF67" s="189"/>
      <c r="AH67" s="189"/>
      <c r="AI67" s="189"/>
      <c r="AJ67" s="189"/>
      <c r="AK67" s="189"/>
      <c r="AL67" s="247"/>
    </row>
    <row r="68" spans="1:38" s="35" customFormat="1" x14ac:dyDescent="0.35">
      <c r="A68" s="35" t="s">
        <v>206</v>
      </c>
      <c r="B68" s="35" t="s">
        <v>285</v>
      </c>
      <c r="C68" t="s">
        <v>321</v>
      </c>
      <c r="E68" s="208">
        <v>389624</v>
      </c>
      <c r="F68" s="208">
        <v>404529</v>
      </c>
      <c r="G68" s="208">
        <v>419672</v>
      </c>
      <c r="H68" s="208">
        <v>418824</v>
      </c>
      <c r="I68" s="208">
        <v>411409</v>
      </c>
      <c r="J68" s="208">
        <v>423429</v>
      </c>
      <c r="K68" s="208">
        <v>512640</v>
      </c>
      <c r="L68" s="199">
        <v>486072</v>
      </c>
      <c r="M68" s="283">
        <f>VLOOKUP(C68,'Haver NA'!$A$1:$I$33,9,0)</f>
        <v>486072</v>
      </c>
      <c r="N68" s="116">
        <f t="shared" ref="N68:S68" si="48">N75*0.74</f>
        <v>526575.2952968973</v>
      </c>
      <c r="O68" s="116">
        <f t="shared" si="48"/>
        <v>536071.38652719546</v>
      </c>
      <c r="P68" s="116">
        <f t="shared" si="48"/>
        <v>541420.79304016172</v>
      </c>
      <c r="Q68" s="116">
        <f t="shared" si="48"/>
        <v>541420.79304016172</v>
      </c>
      <c r="R68" s="116">
        <f t="shared" si="48"/>
        <v>541420.79304016172</v>
      </c>
      <c r="S68" s="116">
        <f t="shared" si="48"/>
        <v>541420.79304016172</v>
      </c>
      <c r="T68" s="116">
        <f>T75*0.68</f>
        <v>497521.80982068914</v>
      </c>
      <c r="U68" s="116">
        <f>U75*0.68</f>
        <v>497521.80982068914</v>
      </c>
      <c r="V68" s="116">
        <f>V75*0.68</f>
        <v>497521.80982068914</v>
      </c>
      <c r="W68" s="116"/>
      <c r="X68" s="116"/>
      <c r="Y68" s="116"/>
      <c r="Z68" s="116"/>
      <c r="AA68" s="116"/>
      <c r="AB68" s="44">
        <f>AVERAGE(E68:H68)/1000</f>
        <v>408.16224999999997</v>
      </c>
      <c r="AC68" s="45">
        <f>AVERAGE(I68:L68)</f>
        <v>458387.5</v>
      </c>
      <c r="AD68" s="45">
        <f>AVERAGE(N68:Q68)</f>
        <v>536372.06697610405</v>
      </c>
      <c r="AE68" s="45">
        <f>AVERAGE(R68:U68)</f>
        <v>519471.30143042549</v>
      </c>
      <c r="AG68" s="35">
        <v>409.42</v>
      </c>
      <c r="AH68" s="84">
        <f>'figuring out Medicaid'!G11</f>
        <v>466.24400000000003</v>
      </c>
      <c r="AI68" s="84">
        <f>'figuring out Medicaid'!H11</f>
        <v>537.41499999999996</v>
      </c>
      <c r="AJ68" s="84">
        <f>'figuring out Medicaid'!I11</f>
        <v>516.01800000000003</v>
      </c>
      <c r="AK68" s="84"/>
      <c r="AL68" s="243"/>
    </row>
    <row r="69" spans="1:38" s="35" customFormat="1" x14ac:dyDescent="0.35">
      <c r="A69" s="141" t="s">
        <v>162</v>
      </c>
      <c r="B69" s="141"/>
      <c r="D69" s="141"/>
      <c r="E69" s="203">
        <f t="shared" ref="E69:J69" si="49">E42+E39+E32+E35</f>
        <v>1440187</v>
      </c>
      <c r="F69" s="203">
        <f t="shared" si="49"/>
        <v>1503410</v>
      </c>
      <c r="G69" s="203">
        <f t="shared" si="49"/>
        <v>1508652</v>
      </c>
      <c r="H69" s="203">
        <f t="shared" si="49"/>
        <v>1513957</v>
      </c>
      <c r="I69" s="203">
        <f t="shared" si="49"/>
        <v>1521941</v>
      </c>
      <c r="J69" s="203">
        <f t="shared" si="49"/>
        <v>1574462</v>
      </c>
      <c r="K69" s="203">
        <f>K42+K39+K32+K35</f>
        <v>3713565.333333333</v>
      </c>
      <c r="L69" s="199">
        <f t="shared" ref="L69:U69" si="50">L42+L39+L32+L35</f>
        <v>2531540</v>
      </c>
      <c r="M69" s="283"/>
      <c r="N69" s="142">
        <f>N42+N39+N32+N35</f>
        <v>1990939.5416534182</v>
      </c>
      <c r="O69" s="142">
        <f t="shared" si="50"/>
        <v>1912102.28529849</v>
      </c>
      <c r="P69" s="142">
        <f t="shared" si="50"/>
        <v>1823209.2545768754</v>
      </c>
      <c r="Q69" s="142">
        <f t="shared" si="50"/>
        <v>1686787.6851675489</v>
      </c>
      <c r="R69" s="142">
        <f t="shared" si="50"/>
        <v>1683444.5004450621</v>
      </c>
      <c r="S69" s="142">
        <f t="shared" si="50"/>
        <v>1693471.1679517378</v>
      </c>
      <c r="T69" s="142">
        <f t="shared" si="50"/>
        <v>1718873.2354710137</v>
      </c>
      <c r="U69" s="142">
        <f t="shared" si="50"/>
        <v>1744656.3340030788</v>
      </c>
      <c r="V69" s="142">
        <f t="shared" ref="V69" si="51">V42+V39+V32+V35</f>
        <v>1762102.8973431096</v>
      </c>
      <c r="AL69" s="243"/>
    </row>
    <row r="70" spans="1:38" s="35" customFormat="1" x14ac:dyDescent="0.35">
      <c r="A70" s="141" t="s">
        <v>216</v>
      </c>
      <c r="B70" s="141"/>
      <c r="D70" s="141"/>
      <c r="E70" s="199"/>
      <c r="F70" s="199"/>
      <c r="G70" s="199"/>
      <c r="H70" s="199"/>
      <c r="I70" s="199"/>
      <c r="J70" s="199"/>
      <c r="K70" s="205">
        <f>K68+K31</f>
        <v>1336698</v>
      </c>
      <c r="L70" s="199">
        <f t="shared" ref="L70:U70" si="52">L68+L31</f>
        <v>1328805</v>
      </c>
      <c r="M70" s="283"/>
      <c r="N70" s="143">
        <f t="shared" si="52"/>
        <v>1379628.482295726</v>
      </c>
      <c r="O70" s="143">
        <f t="shared" si="52"/>
        <v>1399571.1424983735</v>
      </c>
      <c r="P70" s="143">
        <f t="shared" si="52"/>
        <v>1415495.0476426566</v>
      </c>
      <c r="Q70" s="143">
        <f t="shared" si="52"/>
        <v>1426199.042571489</v>
      </c>
      <c r="R70" s="143">
        <f t="shared" si="52"/>
        <v>1455130.8921611134</v>
      </c>
      <c r="S70" s="143">
        <f t="shared" si="52"/>
        <v>1485008.800179638</v>
      </c>
      <c r="T70" s="143">
        <f t="shared" si="52"/>
        <v>1471964.7190913986</v>
      </c>
      <c r="U70" s="143">
        <f t="shared" si="52"/>
        <v>1503828.5626020522</v>
      </c>
      <c r="V70" s="143">
        <f t="shared" ref="V70" si="53">V68+V31</f>
        <v>1513969.2079582564</v>
      </c>
      <c r="AL70" s="243"/>
    </row>
    <row r="71" spans="1:38" s="35" customFormat="1" x14ac:dyDescent="0.35">
      <c r="E71" s="199"/>
      <c r="F71" s="199"/>
      <c r="G71" s="199"/>
      <c r="H71" s="199"/>
      <c r="I71" s="199"/>
      <c r="J71" s="199"/>
      <c r="K71" s="199"/>
      <c r="L71" s="199"/>
      <c r="M71" s="283"/>
      <c r="AL71" s="243"/>
    </row>
    <row r="72" spans="1:38" s="35" customFormat="1" x14ac:dyDescent="0.35">
      <c r="A72" s="35" t="s">
        <v>15</v>
      </c>
      <c r="B72" s="35" t="s">
        <v>285</v>
      </c>
      <c r="C72" t="s">
        <v>322</v>
      </c>
      <c r="E72" s="199">
        <v>728844</v>
      </c>
      <c r="F72" s="199">
        <v>738714</v>
      </c>
      <c r="G72" s="199">
        <v>755204</v>
      </c>
      <c r="H72" s="199">
        <v>763370</v>
      </c>
      <c r="I72" s="199">
        <v>760967</v>
      </c>
      <c r="J72" s="199">
        <v>767087</v>
      </c>
      <c r="K72" s="199">
        <v>812158</v>
      </c>
      <c r="L72" s="199">
        <v>843592</v>
      </c>
      <c r="M72" s="283">
        <f>VLOOKUP(C72,'Haver NA'!$A$1:$I$33,9,0)</f>
        <v>835999</v>
      </c>
      <c r="N72" s="133">
        <f t="shared" ref="N72:U72" si="54">N73+N75</f>
        <v>854389.62438769906</v>
      </c>
      <c r="O72" s="133">
        <f t="shared" si="54"/>
        <v>867579.18357306824</v>
      </c>
      <c r="P72" s="133">
        <f t="shared" si="54"/>
        <v>875166.00727071473</v>
      </c>
      <c r="Q72" s="133">
        <f t="shared" si="54"/>
        <v>875883.58870544552</v>
      </c>
      <c r="R72" s="133">
        <f t="shared" si="54"/>
        <v>876965.34271830227</v>
      </c>
      <c r="S72" s="133">
        <f t="shared" si="54"/>
        <v>878418.49894223991</v>
      </c>
      <c r="T72" s="133">
        <f t="shared" si="54"/>
        <v>879964.52696248644</v>
      </c>
      <c r="U72" s="133">
        <f t="shared" si="54"/>
        <v>881357.78541551507</v>
      </c>
      <c r="V72" s="133">
        <f t="shared" ref="V72" si="55">V73+V75</f>
        <v>882586.05273594777</v>
      </c>
      <c r="AL72" s="243"/>
    </row>
    <row r="73" spans="1:38" s="35" customFormat="1" x14ac:dyDescent="0.35">
      <c r="A73" s="35" t="s">
        <v>232</v>
      </c>
      <c r="E73" s="205">
        <f t="shared" ref="E73:J73" si="56">E72-E75</f>
        <v>139025</v>
      </c>
      <c r="F73" s="205">
        <f t="shared" si="56"/>
        <v>139342</v>
      </c>
      <c r="G73" s="205">
        <f t="shared" si="56"/>
        <v>140228</v>
      </c>
      <c r="H73" s="205">
        <f t="shared" si="56"/>
        <v>141105</v>
      </c>
      <c r="I73" s="205">
        <f t="shared" si="56"/>
        <v>141335</v>
      </c>
      <c r="J73" s="205">
        <f t="shared" si="56"/>
        <v>142991</v>
      </c>
      <c r="K73" s="205">
        <f>K72-K75</f>
        <v>143335</v>
      </c>
      <c r="L73" s="199">
        <f>L72-L75</f>
        <v>144609</v>
      </c>
      <c r="M73" s="283"/>
      <c r="N73" s="133">
        <f>L73*(1+N84-0.015)</f>
        <v>142801.38749999998</v>
      </c>
      <c r="O73" s="133">
        <f t="shared" ref="O73:V73" si="57">N73*(1+O84)</f>
        <v>143158.39096874997</v>
      </c>
      <c r="P73" s="133">
        <f t="shared" si="57"/>
        <v>143516.28694617184</v>
      </c>
      <c r="Q73" s="133">
        <f t="shared" si="57"/>
        <v>144233.86838090268</v>
      </c>
      <c r="R73" s="133">
        <f t="shared" si="57"/>
        <v>145315.62239375946</v>
      </c>
      <c r="S73" s="133">
        <f t="shared" si="57"/>
        <v>146768.77861769707</v>
      </c>
      <c r="T73" s="133">
        <f t="shared" si="57"/>
        <v>148314.80663794363</v>
      </c>
      <c r="U73" s="133">
        <f t="shared" si="57"/>
        <v>149708.06509097226</v>
      </c>
      <c r="V73" s="133">
        <f t="shared" si="57"/>
        <v>150936.33241140499</v>
      </c>
      <c r="AL73" s="243"/>
    </row>
    <row r="74" spans="1:38" s="35" customFormat="1" x14ac:dyDescent="0.35">
      <c r="E74" s="205"/>
      <c r="F74" s="199"/>
      <c r="G74" s="199"/>
      <c r="H74" s="199"/>
      <c r="I74" s="199"/>
      <c r="J74" s="199"/>
      <c r="K74" s="199"/>
      <c r="L74" s="199"/>
      <c r="M74" s="283"/>
      <c r="AL74" s="243"/>
    </row>
    <row r="75" spans="1:38" s="35" customFormat="1" x14ac:dyDescent="0.35">
      <c r="A75" s="35" t="s">
        <v>229</v>
      </c>
      <c r="B75" s="35" t="s">
        <v>285</v>
      </c>
      <c r="C75" t="s">
        <v>323</v>
      </c>
      <c r="E75" s="199">
        <v>589819</v>
      </c>
      <c r="F75" s="199">
        <v>599372</v>
      </c>
      <c r="G75" s="199">
        <v>614976</v>
      </c>
      <c r="H75" s="199">
        <v>622265</v>
      </c>
      <c r="I75" s="199">
        <v>619632</v>
      </c>
      <c r="J75" s="199">
        <v>624096</v>
      </c>
      <c r="K75" s="199">
        <v>668823</v>
      </c>
      <c r="L75" s="199">
        <v>698983</v>
      </c>
      <c r="M75" s="283">
        <f>VLOOKUP(C75,'Haver NA'!$A$1:$I$33,9,0)</f>
        <v>691267</v>
      </c>
      <c r="N75" s="135">
        <f>L75*(($AI$75/$AH$75)^0.18)</f>
        <v>711588.23688769911</v>
      </c>
      <c r="O75" s="135">
        <f>N75*(($AI$75/$AH$75)^0.18)</f>
        <v>724420.79260431824</v>
      </c>
      <c r="P75" s="135">
        <f>O75*(($AI$75/$AH$75)^0.1)</f>
        <v>731649.72032454284</v>
      </c>
      <c r="Q75" s="135">
        <f>P75*(1+Q76)</f>
        <v>731649.72032454284</v>
      </c>
      <c r="R75" s="135">
        <f t="shared" ref="R75:V75" si="58">Q75*(1+R76)</f>
        <v>731649.72032454284</v>
      </c>
      <c r="S75" s="135">
        <f t="shared" si="58"/>
        <v>731649.72032454284</v>
      </c>
      <c r="T75" s="135">
        <f t="shared" si="58"/>
        <v>731649.72032454284</v>
      </c>
      <c r="U75" s="135">
        <f t="shared" si="58"/>
        <v>731649.72032454284</v>
      </c>
      <c r="V75" s="135">
        <f t="shared" si="58"/>
        <v>731649.72032454284</v>
      </c>
      <c r="AC75" s="45">
        <f>AVERAGE(I75:L75)/1000</f>
        <v>652.88350000000003</v>
      </c>
      <c r="AD75" s="45">
        <f>AVERAGE(N75:Q75)/1000</f>
        <v>724.82711753527576</v>
      </c>
      <c r="AE75" s="45">
        <f>AVERAGE(R75:U75)/1000</f>
        <v>731.64972032454284</v>
      </c>
      <c r="AG75" s="84"/>
      <c r="AH75" s="84">
        <f>'figuring out Medicaid'!G13</f>
        <v>657.17435271149407</v>
      </c>
      <c r="AI75" s="84">
        <f>'figuring out Medicaid'!H13</f>
        <v>725.7777402928042</v>
      </c>
      <c r="AJ75" s="84">
        <f>'figuring out Medicaid'!I13</f>
        <v>727.33117238501666</v>
      </c>
      <c r="AK75" s="84"/>
      <c r="AL75" s="243"/>
    </row>
    <row r="76" spans="1:38" s="187" customFormat="1" x14ac:dyDescent="0.35">
      <c r="A76" s="170" t="s">
        <v>272</v>
      </c>
      <c r="E76" s="209"/>
      <c r="F76" s="209"/>
      <c r="G76" s="209"/>
      <c r="H76" s="209"/>
      <c r="I76" s="202"/>
      <c r="J76" s="202"/>
      <c r="K76" s="202"/>
      <c r="L76" s="199"/>
      <c r="M76" s="283"/>
      <c r="N76" s="176"/>
      <c r="O76" s="176"/>
      <c r="P76" s="176"/>
      <c r="Q76" s="176">
        <v>0</v>
      </c>
      <c r="R76" s="176">
        <v>0</v>
      </c>
      <c r="S76" s="176">
        <v>0</v>
      </c>
      <c r="T76" s="176">
        <v>0</v>
      </c>
      <c r="U76" s="176">
        <v>0</v>
      </c>
      <c r="V76" s="176">
        <v>0</v>
      </c>
      <c r="W76" s="176"/>
      <c r="AL76" s="244"/>
    </row>
    <row r="77" spans="1:38" s="153" customFormat="1" x14ac:dyDescent="0.35">
      <c r="A77" s="153" t="s">
        <v>224</v>
      </c>
      <c r="E77" s="210">
        <f>E68/E75</f>
        <v>0.66058231423538405</v>
      </c>
      <c r="F77" s="210">
        <f t="shared" ref="F77:H77" si="59">F68/F75</f>
        <v>0.6749214177505789</v>
      </c>
      <c r="G77" s="210">
        <f t="shared" si="59"/>
        <v>0.68242012696430432</v>
      </c>
      <c r="H77" s="210">
        <f t="shared" si="59"/>
        <v>0.6730637268687778</v>
      </c>
      <c r="I77" s="210">
        <f t="shared" ref="I77" si="60">I68/I75</f>
        <v>0.66395699382859508</v>
      </c>
      <c r="J77" s="210">
        <f t="shared" ref="J77" si="61">J68/J75</f>
        <v>0.67846773573296415</v>
      </c>
      <c r="K77" s="211"/>
      <c r="L77" s="199"/>
      <c r="M77" s="283"/>
      <c r="AC77" s="154"/>
      <c r="AD77" s="154"/>
      <c r="AE77" s="154"/>
      <c r="AG77" s="155"/>
      <c r="AH77" s="155"/>
      <c r="AI77" s="155"/>
      <c r="AL77" s="248"/>
    </row>
    <row r="78" spans="1:38" s="35" customFormat="1" x14ac:dyDescent="0.35">
      <c r="A78" s="35" t="s">
        <v>18</v>
      </c>
      <c r="B78" s="35" t="s">
        <v>285</v>
      </c>
      <c r="C78" t="s">
        <v>324</v>
      </c>
      <c r="E78" s="199">
        <v>1997.1</v>
      </c>
      <c r="F78" s="199">
        <v>2012.7</v>
      </c>
      <c r="G78" s="199">
        <v>2025.5</v>
      </c>
      <c r="H78" s="199">
        <v>2028.3</v>
      </c>
      <c r="I78" s="199">
        <v>2035.6</v>
      </c>
      <c r="J78" s="199">
        <v>2041</v>
      </c>
      <c r="K78" s="199">
        <v>2013.1</v>
      </c>
      <c r="L78" s="199">
        <v>1996.2</v>
      </c>
      <c r="M78" s="283">
        <f>VLOOKUP(C78,'Haver NA'!$A$1:$I$33,9,0)</f>
        <v>1992677</v>
      </c>
      <c r="N78" s="35">
        <f>L78*(1+N80)</f>
        <v>2035.245476772616</v>
      </c>
      <c r="O78" s="35">
        <f t="shared" ref="O78:V78" si="62">N78*(1+O80)</f>
        <v>2060.9221218241732</v>
      </c>
      <c r="P78" s="35">
        <f t="shared" si="62"/>
        <v>2083.41571170405</v>
      </c>
      <c r="Q78" s="35">
        <f t="shared" si="62"/>
        <v>2098.2699691718931</v>
      </c>
      <c r="R78" s="35">
        <f t="shared" si="62"/>
        <v>2108.5618475603274</v>
      </c>
      <c r="S78" s="35">
        <f t="shared" si="62"/>
        <v>2118.7476241097056</v>
      </c>
      <c r="T78" s="35">
        <f t="shared" si="62"/>
        <v>2126.1747528436272</v>
      </c>
      <c r="U78" s="35">
        <f t="shared" si="62"/>
        <v>2130.737131923036</v>
      </c>
      <c r="V78" s="35">
        <f t="shared" si="62"/>
        <v>2132.4347613479322</v>
      </c>
      <c r="AL78" s="243"/>
    </row>
    <row r="79" spans="1:38" s="187" customFormat="1" x14ac:dyDescent="0.35">
      <c r="A79" s="170" t="s">
        <v>289</v>
      </c>
      <c r="B79" s="35"/>
      <c r="C79" s="35"/>
      <c r="E79" s="202"/>
      <c r="F79" s="202">
        <f t="shared" ref="F79:K79" si="63">(F78/E78)-1</f>
        <v>7.8113264233139468E-3</v>
      </c>
      <c r="G79" s="202">
        <f t="shared" si="63"/>
        <v>6.3596164356336526E-3</v>
      </c>
      <c r="H79" s="202">
        <f t="shared" si="63"/>
        <v>1.3823747222907468E-3</v>
      </c>
      <c r="I79" s="202">
        <f t="shared" si="63"/>
        <v>3.5990731154167399E-3</v>
      </c>
      <c r="J79" s="202">
        <f t="shared" si="63"/>
        <v>2.6527805069758159E-3</v>
      </c>
      <c r="K79" s="202">
        <f t="shared" si="63"/>
        <v>-1.36697697207252E-2</v>
      </c>
      <c r="L79" s="199">
        <f>(L78/K78)-1</f>
        <v>-8.39501266703091E-3</v>
      </c>
      <c r="M79" s="283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AL79" s="244"/>
    </row>
    <row r="80" spans="1:38" s="187" customFormat="1" x14ac:dyDescent="0.35">
      <c r="A80" s="170" t="s">
        <v>290</v>
      </c>
      <c r="B80" s="35" t="s">
        <v>285</v>
      </c>
      <c r="C80" s="35"/>
      <c r="E80" s="209"/>
      <c r="F80" s="209"/>
      <c r="G80" s="209"/>
      <c r="H80" s="209"/>
      <c r="I80" s="202"/>
      <c r="J80" s="202"/>
      <c r="K80" s="202"/>
      <c r="L80" s="199"/>
      <c r="M80" s="283"/>
      <c r="N80" s="198">
        <v>1.95599022004889E-2</v>
      </c>
      <c r="O80" s="198">
        <v>1.26159941611927E-2</v>
      </c>
      <c r="P80" s="198">
        <v>1.0914332784184499E-2</v>
      </c>
      <c r="Q80" s="198">
        <v>7.1297616622529904E-3</v>
      </c>
      <c r="R80" s="198">
        <v>4.9049352750809598E-3</v>
      </c>
      <c r="S80" s="198">
        <v>4.8306747848840797E-3</v>
      </c>
      <c r="T80" s="198">
        <v>3.5054334218038701E-3</v>
      </c>
      <c r="U80" s="198">
        <v>2.14581565946403E-3</v>
      </c>
      <c r="V80" s="198">
        <v>7.9673339308827796E-4</v>
      </c>
      <c r="W80" s="198">
        <v>3.9804955716982198E-4</v>
      </c>
      <c r="X80" s="198">
        <v>1.1439371331942701E-3</v>
      </c>
      <c r="Y80" s="198">
        <v>8.9423220229512001E-4</v>
      </c>
      <c r="AL80" s="244"/>
    </row>
    <row r="81" spans="1:38" s="35" customFormat="1" x14ac:dyDescent="0.35">
      <c r="A81" s="35" t="s">
        <v>218</v>
      </c>
      <c r="B81" s="35" t="s">
        <v>285</v>
      </c>
      <c r="C81" t="s">
        <v>325</v>
      </c>
      <c r="E81" s="199"/>
      <c r="F81" s="199"/>
      <c r="G81" s="199"/>
      <c r="H81" s="199"/>
      <c r="I81" s="199">
        <v>2357.4</v>
      </c>
      <c r="J81" s="199">
        <v>2381.6</v>
      </c>
      <c r="K81" s="199">
        <v>2334.5</v>
      </c>
      <c r="L81" s="199">
        <v>2337.9</v>
      </c>
      <c r="M81" s="283">
        <f>VLOOKUP(C81,'Haver NA'!$A$1:$I$33,9,0)</f>
        <v>2329677</v>
      </c>
      <c r="N81">
        <v>2431.4160000000002</v>
      </c>
      <c r="O81">
        <v>2469.9411956560398</v>
      </c>
      <c r="P81">
        <v>2511.3882460388099</v>
      </c>
      <c r="Q81">
        <v>2543.4204311910298</v>
      </c>
      <c r="R81">
        <v>2569.93355741499</v>
      </c>
      <c r="S81">
        <v>2599.1521046822099</v>
      </c>
      <c r="T81">
        <v>2626.53096564002</v>
      </c>
      <c r="U81">
        <v>2651.2044055545698</v>
      </c>
      <c r="V81">
        <v>2672.95599074239</v>
      </c>
      <c r="W81">
        <v>2693.9500580381</v>
      </c>
      <c r="X81">
        <v>2717.3248958518798</v>
      </c>
      <c r="Y81">
        <v>2740.4832999822002</v>
      </c>
      <c r="AL81" s="243"/>
    </row>
    <row r="82" spans="1:38" s="35" customFormat="1" x14ac:dyDescent="0.35">
      <c r="E82" s="199"/>
      <c r="F82" s="199"/>
      <c r="G82" s="199"/>
      <c r="H82" s="199"/>
      <c r="I82" s="199"/>
      <c r="J82" s="199"/>
      <c r="K82" s="199"/>
      <c r="L82" s="199"/>
      <c r="M82" s="283"/>
      <c r="N82">
        <f>L81*(1+N84)</f>
        <v>2343.7447499999998</v>
      </c>
      <c r="O82">
        <f>N82*(1+O84)</f>
        <v>2349.6041118749995</v>
      </c>
      <c r="P82">
        <f t="shared" ref="P82:V82" si="64">O82*(1+P84)</f>
        <v>2355.4781221546868</v>
      </c>
      <c r="Q82">
        <f t="shared" si="64"/>
        <v>2367.25551276546</v>
      </c>
      <c r="R82">
        <f t="shared" si="64"/>
        <v>2385.009929111201</v>
      </c>
      <c r="S82">
        <f t="shared" si="64"/>
        <v>2408.8600284023132</v>
      </c>
      <c r="T82">
        <f t="shared" si="64"/>
        <v>2434.2343970918737</v>
      </c>
      <c r="U82">
        <f t="shared" si="64"/>
        <v>2457.1014170966964</v>
      </c>
      <c r="V82">
        <f t="shared" si="64"/>
        <v>2477.2605005219943</v>
      </c>
      <c r="W82"/>
      <c r="X82"/>
      <c r="Y82"/>
      <c r="AL82" s="243"/>
    </row>
    <row r="83" spans="1:38" s="187" customFormat="1" x14ac:dyDescent="0.35">
      <c r="A83" s="170" t="s">
        <v>289</v>
      </c>
      <c r="B83" s="35"/>
      <c r="C83" s="35"/>
      <c r="E83" s="202"/>
      <c r="F83" s="202"/>
      <c r="G83" s="202"/>
      <c r="H83" s="202"/>
      <c r="I83" s="202"/>
      <c r="J83" s="202">
        <f t="shared" ref="J83" si="65">(J81/I81)-1</f>
        <v>1.0265546788835067E-2</v>
      </c>
      <c r="K83" s="202">
        <f t="shared" ref="K83" si="66">(K81/J81)-1</f>
        <v>-1.9776620759153429E-2</v>
      </c>
      <c r="L83" s="199">
        <f>(((L81/K81))^4)-1</f>
        <v>5.8383978226230759E-3</v>
      </c>
      <c r="M83" s="283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AL83" s="244"/>
    </row>
    <row r="84" spans="1:38" s="187" customFormat="1" x14ac:dyDescent="0.35">
      <c r="A84" s="170" t="s">
        <v>290</v>
      </c>
      <c r="E84" s="209"/>
      <c r="F84" s="209"/>
      <c r="G84" s="209"/>
      <c r="H84" s="209"/>
      <c r="I84" s="209"/>
      <c r="J84" s="202"/>
      <c r="K84" s="202"/>
      <c r="L84" s="199"/>
      <c r="M84" s="283"/>
      <c r="N84" s="176">
        <v>2.5000000000000001E-3</v>
      </c>
      <c r="O84" s="176">
        <v>2.5000000000000001E-3</v>
      </c>
      <c r="P84" s="176">
        <v>2.5000000000000001E-3</v>
      </c>
      <c r="Q84" s="176">
        <v>5.0000000000000001E-3</v>
      </c>
      <c r="R84" s="176">
        <v>7.4999999999999997E-3</v>
      </c>
      <c r="S84" s="176">
        <v>0.01</v>
      </c>
      <c r="T84" s="176">
        <f>T81/S81-1</f>
        <v>1.053376634191161E-2</v>
      </c>
      <c r="U84" s="176">
        <f>U81/T81-1</f>
        <v>9.3939269086582566E-3</v>
      </c>
      <c r="V84" s="176">
        <f>V81/U81-1</f>
        <v>8.2044165067951536E-3</v>
      </c>
      <c r="AL84" s="244"/>
    </row>
    <row r="85" spans="1:38" s="187" customFormat="1" x14ac:dyDescent="0.35">
      <c r="A85" s="266" t="s">
        <v>264</v>
      </c>
      <c r="E85" s="209"/>
      <c r="F85" s="209"/>
      <c r="G85" s="209"/>
      <c r="H85" s="209"/>
      <c r="I85" s="209"/>
      <c r="J85" s="202"/>
      <c r="K85" s="202"/>
      <c r="L85" s="199"/>
      <c r="M85" s="283"/>
      <c r="N85" s="176"/>
      <c r="O85" s="176"/>
      <c r="P85" s="176"/>
      <c r="Q85" s="176"/>
      <c r="R85" s="176"/>
      <c r="S85" s="176"/>
      <c r="T85" s="176"/>
      <c r="U85" s="176"/>
      <c r="V85" s="176"/>
      <c r="AL85" s="244"/>
    </row>
    <row r="86" spans="1:38" s="35" customFormat="1" x14ac:dyDescent="0.35">
      <c r="A86" s="35" t="s">
        <v>165</v>
      </c>
      <c r="E86" s="203">
        <f t="shared" ref="E86:U86" si="67">E72+E38-E68</f>
        <v>339220</v>
      </c>
      <c r="F86" s="203">
        <f t="shared" si="67"/>
        <v>334185</v>
      </c>
      <c r="G86" s="203">
        <f t="shared" si="67"/>
        <v>335532</v>
      </c>
      <c r="H86" s="203">
        <f t="shared" si="67"/>
        <v>344546</v>
      </c>
      <c r="I86" s="203">
        <f t="shared" si="67"/>
        <v>349558</v>
      </c>
      <c r="J86" s="203">
        <f t="shared" si="67"/>
        <v>343658</v>
      </c>
      <c r="K86" s="203">
        <f t="shared" si="67"/>
        <v>577118</v>
      </c>
      <c r="L86" s="199">
        <f>L72+L38-L68</f>
        <v>497520</v>
      </c>
      <c r="M86" s="283"/>
      <c r="N86" s="223">
        <f t="shared" si="67"/>
        <v>407814.32909080177</v>
      </c>
      <c r="O86" s="223">
        <f t="shared" si="67"/>
        <v>391507.79704587278</v>
      </c>
      <c r="P86" s="223">
        <f t="shared" si="67"/>
        <v>377745.21423055301</v>
      </c>
      <c r="Q86" s="223">
        <f t="shared" si="67"/>
        <v>378462.7956652838</v>
      </c>
      <c r="R86" s="223">
        <f t="shared" si="67"/>
        <v>379544.54967814055</v>
      </c>
      <c r="S86" s="223">
        <f t="shared" si="67"/>
        <v>380997.70590207819</v>
      </c>
      <c r="T86" s="223">
        <f t="shared" si="67"/>
        <v>426442.7171417973</v>
      </c>
      <c r="U86" s="223">
        <f t="shared" si="67"/>
        <v>427835.97559482593</v>
      </c>
      <c r="V86" s="223">
        <f t="shared" ref="V86:Y86" si="68">V72+V38-V68</f>
        <v>429064.24291525863</v>
      </c>
      <c r="W86" s="223">
        <f t="shared" si="68"/>
        <v>0</v>
      </c>
      <c r="X86" s="223">
        <f t="shared" si="68"/>
        <v>0</v>
      </c>
      <c r="Y86" s="223">
        <f t="shared" si="68"/>
        <v>0</v>
      </c>
      <c r="AL86" s="243"/>
    </row>
    <row r="87" spans="1:38" s="35" customFormat="1" x14ac:dyDescent="0.35">
      <c r="A87" s="141" t="s">
        <v>215</v>
      </c>
      <c r="B87" s="141"/>
      <c r="D87" s="141"/>
      <c r="E87" s="203"/>
      <c r="F87" s="203"/>
      <c r="G87" s="203"/>
      <c r="H87" s="203"/>
      <c r="I87" s="203"/>
      <c r="J87" s="203"/>
      <c r="K87" s="203">
        <f>K75-K68</f>
        <v>156183</v>
      </c>
      <c r="L87" s="199">
        <f t="shared" ref="L87:U87" si="69">L75-L68</f>
        <v>212911</v>
      </c>
      <c r="M87" s="283"/>
      <c r="N87" s="142">
        <f t="shared" si="69"/>
        <v>185012.94159080181</v>
      </c>
      <c r="O87" s="142">
        <f t="shared" si="69"/>
        <v>188349.40607712278</v>
      </c>
      <c r="P87" s="142">
        <f t="shared" si="69"/>
        <v>190228.92728438112</v>
      </c>
      <c r="Q87" s="142">
        <f t="shared" si="69"/>
        <v>190228.92728438112</v>
      </c>
      <c r="R87" s="142">
        <f t="shared" si="69"/>
        <v>190228.92728438112</v>
      </c>
      <c r="S87" s="142">
        <f t="shared" si="69"/>
        <v>190228.92728438112</v>
      </c>
      <c r="T87" s="142">
        <f t="shared" si="69"/>
        <v>234127.91050385369</v>
      </c>
      <c r="U87" s="142">
        <f t="shared" si="69"/>
        <v>234127.91050385369</v>
      </c>
      <c r="V87" s="142">
        <f t="shared" ref="V87:Y87" si="70">V75-V68</f>
        <v>234127.91050385369</v>
      </c>
      <c r="W87" s="142">
        <f t="shared" si="70"/>
        <v>0</v>
      </c>
      <c r="X87" s="142">
        <f t="shared" si="70"/>
        <v>0</v>
      </c>
      <c r="Y87" s="142">
        <f t="shared" si="70"/>
        <v>0</v>
      </c>
      <c r="AL87" s="243"/>
    </row>
    <row r="88" spans="1:38" s="141" customFormat="1" x14ac:dyDescent="0.35">
      <c r="A88" s="141" t="s">
        <v>233</v>
      </c>
      <c r="C88" s="35"/>
      <c r="E88" s="203">
        <f>E86-(E75-E68)</f>
        <v>139025</v>
      </c>
      <c r="F88" s="203">
        <f t="shared" ref="F88:V88" si="71">F86-(F75-F68)</f>
        <v>139342</v>
      </c>
      <c r="G88" s="203">
        <f t="shared" si="71"/>
        <v>140228</v>
      </c>
      <c r="H88" s="203">
        <f t="shared" si="71"/>
        <v>141105</v>
      </c>
      <c r="I88" s="203">
        <f t="shared" si="71"/>
        <v>141335</v>
      </c>
      <c r="J88" s="203">
        <f t="shared" si="71"/>
        <v>142991</v>
      </c>
      <c r="K88" s="203">
        <f t="shared" si="71"/>
        <v>420935</v>
      </c>
      <c r="L88" s="199">
        <f>L86-(L75-L68)</f>
        <v>284609</v>
      </c>
      <c r="M88" s="283"/>
      <c r="N88" s="143">
        <f t="shared" si="71"/>
        <v>222801.38749999995</v>
      </c>
      <c r="O88" s="143">
        <f t="shared" si="71"/>
        <v>203158.39096875</v>
      </c>
      <c r="P88" s="143">
        <f t="shared" si="71"/>
        <v>187516.28694617189</v>
      </c>
      <c r="Q88" s="143">
        <f t="shared" si="71"/>
        <v>188233.86838090268</v>
      </c>
      <c r="R88" s="143">
        <f t="shared" si="71"/>
        <v>189315.62239375943</v>
      </c>
      <c r="S88" s="143">
        <f t="shared" si="71"/>
        <v>190768.77861769707</v>
      </c>
      <c r="T88" s="143">
        <f t="shared" si="71"/>
        <v>192314.80663794361</v>
      </c>
      <c r="U88" s="143">
        <f t="shared" si="71"/>
        <v>193708.06509097223</v>
      </c>
      <c r="V88" s="143">
        <f t="shared" si="71"/>
        <v>194936.33241140493</v>
      </c>
      <c r="W88" s="143">
        <f t="shared" ref="W88:Y88" si="72">W86-(W75-W68)</f>
        <v>0</v>
      </c>
      <c r="X88" s="143">
        <f t="shared" si="72"/>
        <v>0</v>
      </c>
      <c r="Y88" s="143">
        <f t="shared" si="72"/>
        <v>0</v>
      </c>
      <c r="AL88" s="268"/>
    </row>
    <row r="89" spans="1:38" s="35" customFormat="1" x14ac:dyDescent="0.35">
      <c r="A89"/>
      <c r="E89" s="220"/>
      <c r="F89" s="220"/>
      <c r="G89" s="220"/>
      <c r="H89" s="220"/>
      <c r="I89" s="220"/>
      <c r="J89" s="220"/>
      <c r="K89" s="220"/>
      <c r="L89" s="135"/>
      <c r="M89" s="135"/>
      <c r="N89" s="94"/>
      <c r="O89" s="94"/>
      <c r="P89" s="94"/>
      <c r="Q89" s="94"/>
      <c r="R89" s="94"/>
      <c r="S89" s="94"/>
      <c r="T89" s="94"/>
      <c r="U89" s="94"/>
      <c r="V89"/>
      <c r="AL89" s="243"/>
    </row>
    <row r="90" spans="1:38" s="187" customFormat="1" x14ac:dyDescent="0.35">
      <c r="A90" s="170"/>
      <c r="E90" s="195"/>
      <c r="F90" s="195"/>
      <c r="G90" s="195"/>
      <c r="H90" s="195"/>
      <c r="I90" s="195"/>
      <c r="J90" s="195"/>
      <c r="K90" s="195"/>
      <c r="L90" s="221"/>
      <c r="M90" s="221"/>
      <c r="N90" s="195"/>
      <c r="O90" s="195"/>
      <c r="P90" s="195"/>
      <c r="Q90" s="195"/>
      <c r="R90" s="195"/>
      <c r="S90" s="195"/>
      <c r="T90" s="195"/>
      <c r="U90" s="195"/>
      <c r="AL90" s="244"/>
    </row>
    <row r="91" spans="1:38" x14ac:dyDescent="0.35">
      <c r="A91" t="s">
        <v>159</v>
      </c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  <row r="96" spans="1:38" x14ac:dyDescent="0.35">
      <c r="K96" s="35"/>
      <c r="L96" s="35"/>
      <c r="N96" s="35"/>
      <c r="O96" s="35"/>
      <c r="P96" s="35"/>
      <c r="Q96" s="35"/>
      <c r="R96" s="35"/>
      <c r="S96" s="35"/>
      <c r="T96" s="35"/>
      <c r="U96" s="35"/>
      <c r="V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</row>
  </sheetData>
  <mergeCells count="12">
    <mergeCell ref="A4:B4"/>
    <mergeCell ref="E2:H2"/>
    <mergeCell ref="A1:B1"/>
    <mergeCell ref="AL1:AO1"/>
    <mergeCell ref="AC2:AE2"/>
    <mergeCell ref="I2:L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L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defaultRowHeight="14.5" x14ac:dyDescent="0.35"/>
  <sheetData>
    <row r="1" spans="1:9" s="280" customFormat="1" x14ac:dyDescent="0.35">
      <c r="A1" s="280" t="s">
        <v>326</v>
      </c>
      <c r="B1" s="280" t="s">
        <v>327</v>
      </c>
      <c r="C1" s="280" t="s">
        <v>328</v>
      </c>
      <c r="D1" s="280" t="s">
        <v>329</v>
      </c>
      <c r="E1" s="280" t="s">
        <v>330</v>
      </c>
      <c r="F1" s="280" t="s">
        <v>331</v>
      </c>
      <c r="G1" s="280" t="s">
        <v>332</v>
      </c>
      <c r="H1" s="280" t="s">
        <v>333</v>
      </c>
      <c r="I1" s="280" t="s">
        <v>334</v>
      </c>
    </row>
    <row r="2" spans="1:9" x14ac:dyDescent="0.35">
      <c r="A2" t="s">
        <v>296</v>
      </c>
      <c r="B2" s="287">
        <v>20909.900000000001</v>
      </c>
      <c r="C2" s="287">
        <v>21115.3</v>
      </c>
      <c r="D2" s="287">
        <v>21329.9</v>
      </c>
      <c r="E2" s="287">
        <v>21540.3</v>
      </c>
      <c r="F2" s="287">
        <v>21747.4</v>
      </c>
      <c r="G2" s="287">
        <v>21561.1</v>
      </c>
      <c r="H2" s="287">
        <v>19520.099999999999</v>
      </c>
      <c r="I2" s="287">
        <v>21157.1</v>
      </c>
    </row>
    <row r="3" spans="1:9" x14ac:dyDescent="0.35">
      <c r="A3" t="s">
        <v>297</v>
      </c>
      <c r="B3" s="287">
        <v>18813.900000000001</v>
      </c>
      <c r="C3" s="287">
        <v>18950.3</v>
      </c>
      <c r="D3" s="287">
        <v>19020.599999999999</v>
      </c>
      <c r="E3" s="287">
        <v>19141.7</v>
      </c>
      <c r="F3" s="287">
        <v>19254</v>
      </c>
      <c r="G3" s="287">
        <v>19010.8</v>
      </c>
      <c r="H3" s="287">
        <v>17302.5</v>
      </c>
      <c r="I3" s="287">
        <v>18583.5</v>
      </c>
    </row>
    <row r="4" spans="1:9" x14ac:dyDescent="0.35">
      <c r="A4" t="s">
        <v>298</v>
      </c>
      <c r="B4" s="287">
        <v>1634.2</v>
      </c>
      <c r="C4" s="287">
        <v>1695.5</v>
      </c>
      <c r="D4" s="287">
        <v>1703.1</v>
      </c>
      <c r="E4" s="287">
        <v>1713.2</v>
      </c>
      <c r="F4" s="287">
        <v>1740.2</v>
      </c>
      <c r="G4" s="287">
        <v>1756.6</v>
      </c>
      <c r="H4" s="287">
        <v>1600.1</v>
      </c>
      <c r="I4" s="287">
        <v>1687.2</v>
      </c>
    </row>
    <row r="5" spans="1:9" x14ac:dyDescent="0.35">
      <c r="A5" t="s">
        <v>299</v>
      </c>
      <c r="B5" s="287">
        <v>183.5</v>
      </c>
      <c r="C5" s="287">
        <v>172.1</v>
      </c>
      <c r="D5" s="287">
        <v>168.3</v>
      </c>
      <c r="E5" s="287">
        <v>175.1</v>
      </c>
      <c r="F5" s="287">
        <v>179.2</v>
      </c>
      <c r="G5" s="287">
        <v>183.8</v>
      </c>
      <c r="H5" s="287">
        <v>131.4</v>
      </c>
      <c r="I5" s="287">
        <v>144.69999999999999</v>
      </c>
    </row>
    <row r="6" spans="1:9" x14ac:dyDescent="0.35">
      <c r="A6" t="s">
        <v>300</v>
      </c>
      <c r="B6" s="287">
        <v>1355.2</v>
      </c>
      <c r="C6" s="287">
        <v>1386.7</v>
      </c>
      <c r="D6" s="287">
        <v>1392.6</v>
      </c>
      <c r="E6" s="287">
        <v>1397.2</v>
      </c>
      <c r="F6" s="287">
        <v>1411.7</v>
      </c>
      <c r="G6" s="287">
        <v>1431.2</v>
      </c>
      <c r="H6" s="287">
        <v>1369.2</v>
      </c>
      <c r="I6" s="287">
        <v>1429.6</v>
      </c>
    </row>
    <row r="7" spans="1:9" x14ac:dyDescent="0.35">
      <c r="A7" t="s">
        <v>301</v>
      </c>
      <c r="B7" s="287">
        <v>234.7</v>
      </c>
      <c r="C7" s="287">
        <v>213.8</v>
      </c>
      <c r="D7" s="287">
        <v>224.2</v>
      </c>
      <c r="E7" s="287">
        <v>201.6</v>
      </c>
      <c r="F7" s="287">
        <v>229.7</v>
      </c>
      <c r="G7" s="287">
        <v>180.5</v>
      </c>
      <c r="H7" s="287">
        <v>171.5</v>
      </c>
      <c r="I7" s="287">
        <v>205.3</v>
      </c>
    </row>
    <row r="8" spans="1:9" x14ac:dyDescent="0.35">
      <c r="A8" t="s">
        <v>302</v>
      </c>
      <c r="B8" s="287">
        <v>456.5</v>
      </c>
      <c r="C8" s="287">
        <v>475.2</v>
      </c>
      <c r="D8" s="287">
        <v>519.4</v>
      </c>
      <c r="E8" s="287">
        <v>483.9</v>
      </c>
      <c r="F8" s="287">
        <v>480.9</v>
      </c>
      <c r="G8" s="287">
        <v>495.8</v>
      </c>
      <c r="H8" s="287">
        <v>496.4</v>
      </c>
      <c r="I8" s="287">
        <v>499.4</v>
      </c>
    </row>
    <row r="9" spans="1:9" x14ac:dyDescent="0.35">
      <c r="A9" t="s">
        <v>303</v>
      </c>
      <c r="B9" s="287">
        <v>1295.5</v>
      </c>
      <c r="C9" s="287">
        <v>1301.5999999999999</v>
      </c>
      <c r="D9" s="287">
        <v>1312.4</v>
      </c>
      <c r="E9" s="287">
        <v>1326.5</v>
      </c>
      <c r="F9" s="287">
        <v>1330.4</v>
      </c>
      <c r="G9" s="287">
        <v>1346.2</v>
      </c>
      <c r="H9" s="287">
        <v>1264.3</v>
      </c>
      <c r="I9" s="287">
        <v>1317.3</v>
      </c>
    </row>
    <row r="10" spans="1:9" x14ac:dyDescent="0.35">
      <c r="A10" t="s">
        <v>335</v>
      </c>
      <c r="B10" s="287">
        <v>8600</v>
      </c>
      <c r="C10" s="287">
        <v>8932</v>
      </c>
      <c r="D10" s="287">
        <v>8944</v>
      </c>
      <c r="E10" s="287">
        <v>8604</v>
      </c>
      <c r="F10" s="287">
        <v>7908</v>
      </c>
      <c r="G10" s="287">
        <v>7020</v>
      </c>
      <c r="H10" s="287">
        <v>6744</v>
      </c>
      <c r="I10" s="287">
        <v>7248</v>
      </c>
    </row>
    <row r="11" spans="1:9" x14ac:dyDescent="0.35">
      <c r="A11" t="s">
        <v>336</v>
      </c>
      <c r="B11" s="287">
        <v>12969</v>
      </c>
      <c r="C11" s="287">
        <v>13054</v>
      </c>
      <c r="D11" s="287">
        <v>13132</v>
      </c>
      <c r="E11" s="287">
        <v>13183</v>
      </c>
      <c r="F11" s="287">
        <v>13235</v>
      </c>
      <c r="G11" s="287">
        <v>13345</v>
      </c>
      <c r="H11" s="287">
        <v>12362</v>
      </c>
      <c r="I11" s="287">
        <v>12998</v>
      </c>
    </row>
    <row r="12" spans="1:9" x14ac:dyDescent="0.35">
      <c r="A12" t="s">
        <v>305</v>
      </c>
      <c r="B12" s="287">
        <v>63.5</v>
      </c>
      <c r="C12" s="287">
        <v>68.5</v>
      </c>
      <c r="D12" s="287">
        <v>68.7</v>
      </c>
      <c r="E12" s="287">
        <v>69.8</v>
      </c>
      <c r="F12" s="287">
        <v>71</v>
      </c>
      <c r="G12" s="287">
        <v>62.7</v>
      </c>
      <c r="H12" s="287">
        <v>54.2</v>
      </c>
      <c r="I12" s="287">
        <v>79.099999999999994</v>
      </c>
    </row>
    <row r="13" spans="1:9" x14ac:dyDescent="0.35">
      <c r="A13" t="s">
        <v>306</v>
      </c>
      <c r="B13" s="287">
        <v>2220523</v>
      </c>
      <c r="C13" s="287">
        <v>2298792</v>
      </c>
      <c r="D13" s="287">
        <v>2315842</v>
      </c>
      <c r="E13" s="287">
        <v>2331428</v>
      </c>
      <c r="F13" s="287">
        <v>2347737</v>
      </c>
      <c r="G13" s="287">
        <v>2422546</v>
      </c>
      <c r="H13" s="287">
        <v>4815254</v>
      </c>
      <c r="I13" s="287">
        <v>3488125</v>
      </c>
    </row>
    <row r="14" spans="1:9" x14ac:dyDescent="0.35">
      <c r="A14" t="s">
        <v>307</v>
      </c>
      <c r="B14" s="287">
        <v>753311</v>
      </c>
      <c r="C14" s="287">
        <v>767353</v>
      </c>
      <c r="D14" s="287">
        <v>779707</v>
      </c>
      <c r="E14" s="287">
        <v>789893</v>
      </c>
      <c r="F14" s="287">
        <v>797912</v>
      </c>
      <c r="G14" s="287">
        <v>804655</v>
      </c>
      <c r="H14" s="287">
        <v>824058</v>
      </c>
      <c r="I14" s="287">
        <v>842733</v>
      </c>
    </row>
    <row r="15" spans="1:9" x14ac:dyDescent="0.35">
      <c r="A15" t="s">
        <v>308</v>
      </c>
      <c r="H15" s="287">
        <v>1078100</v>
      </c>
      <c r="I15" s="287">
        <v>15600</v>
      </c>
    </row>
    <row r="16" spans="1:9" x14ac:dyDescent="0.35">
      <c r="A16" t="s">
        <v>309</v>
      </c>
      <c r="B16" s="287">
        <v>27025</v>
      </c>
      <c r="C16" s="287">
        <v>28029</v>
      </c>
      <c r="D16" s="287">
        <v>27483</v>
      </c>
      <c r="E16" s="287">
        <v>27578</v>
      </c>
      <c r="F16" s="287">
        <v>27884</v>
      </c>
      <c r="G16" s="287">
        <v>43429</v>
      </c>
      <c r="H16" s="287">
        <v>1084572</v>
      </c>
      <c r="I16" s="287">
        <v>768678</v>
      </c>
    </row>
    <row r="17" spans="1:9" x14ac:dyDescent="0.35">
      <c r="A17" t="s">
        <v>310</v>
      </c>
      <c r="H17" s="287">
        <v>19100</v>
      </c>
      <c r="I17" s="287">
        <v>27000</v>
      </c>
    </row>
    <row r="18" spans="1:9" x14ac:dyDescent="0.35">
      <c r="A18" t="s">
        <v>311</v>
      </c>
      <c r="H18" s="287">
        <v>160900</v>
      </c>
      <c r="I18" s="287">
        <v>58400</v>
      </c>
    </row>
    <row r="19" spans="1:9" x14ac:dyDescent="0.35">
      <c r="A19" t="s">
        <v>312</v>
      </c>
      <c r="B19" s="287">
        <v>79458</v>
      </c>
      <c r="C19" s="287">
        <v>71318</v>
      </c>
      <c r="D19" s="287">
        <v>61083</v>
      </c>
      <c r="E19" s="287">
        <v>81998</v>
      </c>
      <c r="F19" s="287">
        <v>81147</v>
      </c>
      <c r="G19" s="287">
        <v>75093</v>
      </c>
      <c r="H19" s="287">
        <v>1086548</v>
      </c>
      <c r="I19" s="287">
        <v>1213308</v>
      </c>
    </row>
    <row r="20" spans="1:9" x14ac:dyDescent="0.35">
      <c r="A20" t="s">
        <v>313</v>
      </c>
      <c r="H20" s="287">
        <v>609300</v>
      </c>
      <c r="I20" s="287">
        <v>865600</v>
      </c>
    </row>
    <row r="21" spans="1:9" x14ac:dyDescent="0.35">
      <c r="A21" t="s">
        <v>314</v>
      </c>
      <c r="H21" s="287">
        <v>63800</v>
      </c>
      <c r="I21" s="287">
        <v>15000</v>
      </c>
    </row>
    <row r="22" spans="1:9" x14ac:dyDescent="0.35">
      <c r="A22" t="s">
        <v>315</v>
      </c>
      <c r="H22" s="287">
        <v>73300</v>
      </c>
      <c r="I22" s="287">
        <v>73300</v>
      </c>
    </row>
    <row r="23" spans="1:9" x14ac:dyDescent="0.35">
      <c r="A23" t="s">
        <v>316</v>
      </c>
      <c r="H23" s="287">
        <v>140000</v>
      </c>
      <c r="I23" s="287">
        <v>140000</v>
      </c>
    </row>
    <row r="24" spans="1:9" x14ac:dyDescent="0.35">
      <c r="A24" t="s">
        <v>317</v>
      </c>
      <c r="B24" s="287">
        <v>586475</v>
      </c>
      <c r="C24" s="287">
        <v>594213</v>
      </c>
      <c r="D24" s="287">
        <v>612547</v>
      </c>
      <c r="E24" s="287">
        <v>610331</v>
      </c>
      <c r="F24" s="287">
        <v>615406</v>
      </c>
      <c r="G24" s="287">
        <v>627805</v>
      </c>
      <c r="H24" s="287">
        <v>1396890</v>
      </c>
      <c r="I24" s="287">
        <v>728172</v>
      </c>
    </row>
    <row r="25" spans="1:9" x14ac:dyDescent="0.35">
      <c r="A25" t="s">
        <v>320</v>
      </c>
      <c r="B25" s="287">
        <v>1368395</v>
      </c>
      <c r="C25" s="287">
        <v>1388750</v>
      </c>
      <c r="D25" s="287">
        <v>1410626</v>
      </c>
      <c r="E25" s="287">
        <v>1429281</v>
      </c>
      <c r="F25" s="287">
        <v>1447946</v>
      </c>
      <c r="G25" s="287">
        <v>1452551</v>
      </c>
      <c r="H25" s="287">
        <v>1504782</v>
      </c>
      <c r="I25" s="287">
        <v>1486802</v>
      </c>
    </row>
    <row r="26" spans="1:9" x14ac:dyDescent="0.35">
      <c r="A26" t="s">
        <v>319</v>
      </c>
      <c r="B26" s="287">
        <v>1241599</v>
      </c>
      <c r="C26" s="287">
        <v>1245767</v>
      </c>
      <c r="D26" s="287">
        <v>1273567</v>
      </c>
      <c r="E26" s="287">
        <v>1288518</v>
      </c>
      <c r="F26" s="287">
        <v>1301120</v>
      </c>
      <c r="G26" s="287">
        <v>1306142</v>
      </c>
      <c r="H26" s="287">
        <v>1356816</v>
      </c>
      <c r="I26" s="287">
        <v>1335322</v>
      </c>
    </row>
    <row r="27" spans="1:9" x14ac:dyDescent="0.35">
      <c r="A27" t="s">
        <v>321</v>
      </c>
      <c r="B27" s="287">
        <v>389624</v>
      </c>
      <c r="C27" s="287">
        <v>404529</v>
      </c>
      <c r="D27" s="287">
        <v>419672</v>
      </c>
      <c r="E27" s="287">
        <v>418824</v>
      </c>
      <c r="F27" s="287">
        <v>411409</v>
      </c>
      <c r="G27" s="287">
        <v>423429</v>
      </c>
      <c r="H27" s="287">
        <v>512640</v>
      </c>
      <c r="I27" s="287">
        <v>486072</v>
      </c>
    </row>
    <row r="28" spans="1:9" x14ac:dyDescent="0.35">
      <c r="A28" t="s">
        <v>322</v>
      </c>
      <c r="B28" s="287">
        <v>728844</v>
      </c>
      <c r="C28" s="287">
        <v>738714</v>
      </c>
      <c r="D28" s="287">
        <v>755204</v>
      </c>
      <c r="E28" s="287">
        <v>763370</v>
      </c>
      <c r="F28" s="287">
        <v>760967</v>
      </c>
      <c r="G28" s="287">
        <v>767087</v>
      </c>
      <c r="H28" s="287">
        <v>812158</v>
      </c>
      <c r="I28" s="287">
        <v>835999</v>
      </c>
    </row>
    <row r="29" spans="1:9" x14ac:dyDescent="0.35">
      <c r="A29" t="s">
        <v>323</v>
      </c>
      <c r="B29" s="287">
        <v>589819</v>
      </c>
      <c r="C29" s="287">
        <v>599372</v>
      </c>
      <c r="D29" s="287">
        <v>614976</v>
      </c>
      <c r="E29" s="287">
        <v>622265</v>
      </c>
      <c r="F29" s="287">
        <v>619362</v>
      </c>
      <c r="G29" s="287">
        <v>624096</v>
      </c>
      <c r="H29" s="287">
        <v>668823</v>
      </c>
      <c r="I29" s="287">
        <v>691267</v>
      </c>
    </row>
    <row r="30" spans="1:9" x14ac:dyDescent="0.35">
      <c r="A30" t="s">
        <v>324</v>
      </c>
      <c r="B30" s="287">
        <v>1997129</v>
      </c>
      <c r="C30" s="287">
        <v>2012720</v>
      </c>
      <c r="D30" s="287">
        <v>2025477</v>
      </c>
      <c r="E30" s="287">
        <v>2028275</v>
      </c>
      <c r="F30" s="287">
        <v>2035602</v>
      </c>
      <c r="G30" s="287">
        <v>2041017</v>
      </c>
      <c r="H30" s="287">
        <v>2013139</v>
      </c>
      <c r="I30" s="287">
        <v>1992677</v>
      </c>
    </row>
    <row r="31" spans="1:9" x14ac:dyDescent="0.35">
      <c r="A31" t="s">
        <v>325</v>
      </c>
      <c r="B31" s="287">
        <v>2279638</v>
      </c>
      <c r="C31" s="287">
        <v>2292717</v>
      </c>
      <c r="D31" s="287">
        <v>2327018</v>
      </c>
      <c r="E31" s="287">
        <v>2337774</v>
      </c>
      <c r="F31" s="287">
        <v>2357385</v>
      </c>
      <c r="G31" s="287">
        <v>2381563</v>
      </c>
      <c r="H31" s="287">
        <v>2334544</v>
      </c>
      <c r="I31" s="287">
        <v>2329677</v>
      </c>
    </row>
    <row r="32" spans="1:9" x14ac:dyDescent="0.35">
      <c r="A32" t="s">
        <v>304</v>
      </c>
      <c r="B32" s="287">
        <v>21.568999999999999</v>
      </c>
      <c r="C32" s="287">
        <v>21.986000000000001</v>
      </c>
      <c r="D32" s="287">
        <v>22.076000000000001</v>
      </c>
      <c r="E32" s="287">
        <v>21.786999999999999</v>
      </c>
      <c r="F32" s="287">
        <v>21.143000000000001</v>
      </c>
      <c r="G32" s="287">
        <v>20.364999999999998</v>
      </c>
      <c r="H32" s="287">
        <v>19.106000000000002</v>
      </c>
      <c r="I32" s="287">
        <v>20.245999999999999</v>
      </c>
    </row>
    <row r="33" spans="1:9" x14ac:dyDescent="0.35">
      <c r="A33" t="s">
        <v>339</v>
      </c>
      <c r="H33" s="287">
        <v>277100</v>
      </c>
      <c r="I33" s="287">
        <v>228300</v>
      </c>
    </row>
    <row r="34" spans="1:9" x14ac:dyDescent="0.35">
      <c r="A34" t="s">
        <v>318</v>
      </c>
      <c r="H34" s="287">
        <v>690700</v>
      </c>
      <c r="I34" s="287">
        <v>39200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F21" sqref="F2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4" t="s">
        <v>209</v>
      </c>
      <c r="B1" s="295"/>
      <c r="C1" s="35"/>
      <c r="H1"/>
      <c r="I1" s="250"/>
      <c r="J1" s="302" t="s">
        <v>284</v>
      </c>
      <c r="V1" s="289"/>
      <c r="W1" s="289"/>
      <c r="X1" s="289"/>
      <c r="Y1" s="289"/>
    </row>
    <row r="2" spans="1:27" x14ac:dyDescent="0.35">
      <c r="A2" s="296" t="s">
        <v>193</v>
      </c>
      <c r="B2" s="126"/>
      <c r="C2" t="s">
        <v>194</v>
      </c>
      <c r="I2" s="251"/>
      <c r="J2" s="302"/>
    </row>
    <row r="3" spans="1:27" x14ac:dyDescent="0.35">
      <c r="A3" s="297"/>
      <c r="B3" s="127"/>
      <c r="C3" t="s">
        <v>195</v>
      </c>
      <c r="I3" s="251"/>
      <c r="J3" s="302"/>
    </row>
    <row r="4" spans="1:27" x14ac:dyDescent="0.35">
      <c r="A4" s="297"/>
      <c r="B4" s="128"/>
      <c r="C4" t="s">
        <v>196</v>
      </c>
    </row>
    <row r="5" spans="1:27" x14ac:dyDescent="0.35">
      <c r="A5" s="298"/>
      <c r="B5" s="129"/>
      <c r="C5" t="s">
        <v>183</v>
      </c>
    </row>
    <row r="7" spans="1:27" x14ac:dyDescent="0.35">
      <c r="C7" s="299" t="s">
        <v>161</v>
      </c>
      <c r="D7" s="300"/>
      <c r="E7" s="300"/>
      <c r="F7" s="301"/>
      <c r="G7" s="299" t="s">
        <v>167</v>
      </c>
      <c r="H7" s="300"/>
      <c r="I7" s="300"/>
      <c r="J7" s="301"/>
      <c r="K7" s="299" t="s">
        <v>178</v>
      </c>
      <c r="L7" s="300"/>
      <c r="M7" s="300"/>
      <c r="N7" s="300"/>
      <c r="O7" s="299" t="s">
        <v>273</v>
      </c>
      <c r="P7" s="300"/>
      <c r="Q7" s="300"/>
      <c r="R7" s="300"/>
      <c r="S7" s="299" t="s">
        <v>278</v>
      </c>
      <c r="T7" s="300"/>
      <c r="U7" s="300"/>
      <c r="V7" s="300"/>
      <c r="W7" s="299" t="s">
        <v>279</v>
      </c>
      <c r="X7" s="300"/>
      <c r="Y7" s="300"/>
      <c r="Z7" s="300"/>
      <c r="AA7" s="231" t="s">
        <v>280</v>
      </c>
    </row>
    <row r="8" spans="1:27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x14ac:dyDescent="0.35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x14ac:dyDescent="0.35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x14ac:dyDescent="0.35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x14ac:dyDescent="0.35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x14ac:dyDescent="0.35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x14ac:dyDescent="0.35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x14ac:dyDescent="0.35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x14ac:dyDescent="0.35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35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main!K87/1000</f>
        <v>156.18299999999999</v>
      </c>
      <c r="E24" s="104">
        <f>main!L87/1000</f>
        <v>212.911</v>
      </c>
      <c r="F24" s="104">
        <f>main!N87/1000</f>
        <v>185.0129415908018</v>
      </c>
      <c r="G24" s="149">
        <f>main!O87/1000</f>
        <v>188.34940607712278</v>
      </c>
      <c r="H24" s="104">
        <f>main!P87/1000</f>
        <v>190.22892728438111</v>
      </c>
      <c r="I24" s="104">
        <f>main!Q87/1000</f>
        <v>190.22892728438111</v>
      </c>
      <c r="J24" s="104">
        <f>main!R87/1000</f>
        <v>190.22892728438111</v>
      </c>
      <c r="K24" s="149">
        <f>main!S87/1000</f>
        <v>190.22892728438111</v>
      </c>
      <c r="L24" s="104">
        <f>main!T87/1000</f>
        <v>234.12791050385368</v>
      </c>
      <c r="M24" s="232">
        <f>main!U87/1000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35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3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35">
      <c r="B27" s="99" t="s">
        <v>180</v>
      </c>
      <c r="D27" s="103"/>
      <c r="E27" s="225"/>
      <c r="F27" s="225">
        <f t="shared" ref="F27" si="17">F24-F25</f>
        <v>-27.915058409198195</v>
      </c>
      <c r="G27" s="150">
        <f t="shared" ref="G27" si="18">G24-G25</f>
        <v>-32.704327813286227</v>
      </c>
      <c r="H27" s="225">
        <f t="shared" ref="H27" si="19">H24-H25</f>
        <v>-38.950540496437895</v>
      </c>
      <c r="I27" s="225">
        <f t="shared" ref="I27" si="20">I24-I25</f>
        <v>-47.076274386846876</v>
      </c>
      <c r="J27" s="225">
        <f t="shared" ref="J27" si="21">J24-J25</f>
        <v>-55.202008277255885</v>
      </c>
      <c r="K27" s="150">
        <f t="shared" ref="K27:AA27" si="22">K24-K25</f>
        <v>-52.759070450709885</v>
      </c>
      <c r="L27" s="225">
        <f t="shared" si="22"/>
        <v>-6.4171494046923101</v>
      </c>
      <c r="M27" s="249">
        <f t="shared" si="22"/>
        <v>-3.9742115781463099</v>
      </c>
      <c r="N27" s="225">
        <f t="shared" si="22"/>
        <v>-3.9334359995413877</v>
      </c>
      <c r="O27" s="150">
        <f t="shared" si="22"/>
        <v>-3.8930606112205055</v>
      </c>
      <c r="P27" s="225">
        <f t="shared" si="22"/>
        <v>-3.8526852228995949</v>
      </c>
      <c r="Q27" s="225">
        <f t="shared" si="22"/>
        <v>-3.8123098345787128</v>
      </c>
      <c r="R27" s="225">
        <f t="shared" si="22"/>
        <v>-3.7719344462578306</v>
      </c>
      <c r="S27" s="150">
        <f t="shared" si="22"/>
        <v>-3.8144384657560408</v>
      </c>
      <c r="T27" s="225">
        <f t="shared" si="22"/>
        <v>-3.8569424852543079</v>
      </c>
      <c r="U27" s="225">
        <f t="shared" si="22"/>
        <v>-3.8994465047525466</v>
      </c>
      <c r="V27" s="225">
        <f t="shared" si="22"/>
        <v>-3.9419505242507569</v>
      </c>
      <c r="W27" s="150">
        <f t="shared" si="22"/>
        <v>-3.9957932684627337</v>
      </c>
      <c r="X27" s="225">
        <f t="shared" si="22"/>
        <v>-4.0496360126746538</v>
      </c>
      <c r="Y27" s="225">
        <f t="shared" si="22"/>
        <v>-4.1034787568866022</v>
      </c>
      <c r="Z27" s="225">
        <f t="shared" si="22"/>
        <v>-4.1573215010985507</v>
      </c>
      <c r="AA27" s="150">
        <f t="shared" si="22"/>
        <v>-4.2133500465284044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main!K88/1000</f>
        <v>420.935</v>
      </c>
      <c r="F31" s="104">
        <f>main!L88/1000</f>
        <v>284.60899999999998</v>
      </c>
      <c r="G31" s="104">
        <f>main!N88/1000</f>
        <v>222.80138749999995</v>
      </c>
      <c r="H31" s="104">
        <f>main!O88/1000</f>
        <v>203.15839096874998</v>
      </c>
      <c r="I31" s="104">
        <f>main!P88/1000</f>
        <v>187.5162869461719</v>
      </c>
      <c r="J31" s="104">
        <f>main!Q88/1000</f>
        <v>188.23386838090269</v>
      </c>
      <c r="K31" s="104">
        <f>main!R88/1000</f>
        <v>189.31562239375944</v>
      </c>
      <c r="L31" s="104">
        <f>main!S88/1000</f>
        <v>190.76877861769708</v>
      </c>
      <c r="M31" s="104">
        <f>L31*(1 + M33)</f>
        <v>196.00947195012407</v>
      </c>
      <c r="N31" s="104">
        <f t="shared" ref="N31:AA31" si="23">M31*(1 + 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35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3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35">
      <c r="B34" s="99" t="s">
        <v>180</v>
      </c>
      <c r="D34" s="103"/>
      <c r="E34" s="225"/>
      <c r="F34" s="225">
        <f t="shared" ref="F34" si="41">F31-F32</f>
        <v>-594.30799999999999</v>
      </c>
      <c r="G34" s="150">
        <f t="shared" ref="G34" si="42">G31-G32</f>
        <v>-692.55713474998106</v>
      </c>
      <c r="H34" s="225">
        <f t="shared" ref="H34" si="43">H31-H32</f>
        <v>-711.52675339946904</v>
      </c>
      <c r="I34" s="225">
        <f t="shared" ref="I34" si="44">I31-I32</f>
        <v>-728.46752464265205</v>
      </c>
      <c r="J34" s="225">
        <f t="shared" ref="J34" si="45">J31-J32</f>
        <v>-722.69424287645336</v>
      </c>
      <c r="K34" s="150">
        <f t="shared" ref="K34:N34" si="46">K31-K32</f>
        <v>-747.52664805631559</v>
      </c>
      <c r="L34" s="249">
        <f t="shared" si="46"/>
        <v>-773.81361871247486</v>
      </c>
      <c r="M34" s="225">
        <f t="shared" si="46"/>
        <v>-795.0713942327269</v>
      </c>
      <c r="N34" s="225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274</v>
      </c>
      <c r="D38" s="102"/>
      <c r="E38" s="104">
        <f>main!K22</f>
        <v>1779.8019999999999</v>
      </c>
      <c r="F38" s="104">
        <f>main!L22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180</v>
      </c>
      <c r="D40" s="103"/>
      <c r="E40" s="225"/>
      <c r="F40" s="225">
        <f>F38-F39</f>
        <v>7.6999999999998181E-2</v>
      </c>
      <c r="G40" s="150">
        <f t="shared" ref="G40:K40" si="49">G38-G39</f>
        <v>7.8557069878570474E-2</v>
      </c>
      <c r="H40" s="225">
        <f t="shared" si="49"/>
        <v>7.9859932081717488E-2</v>
      </c>
      <c r="I40" s="225">
        <f t="shared" si="49"/>
        <v>8.112982013653891E-2</v>
      </c>
      <c r="J40" s="225">
        <f t="shared" si="49"/>
        <v>8.2487128032880719E-2</v>
      </c>
      <c r="K40" s="150">
        <f t="shared" si="49"/>
        <v>8.3396217589097432E-2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274</v>
      </c>
      <c r="D44" s="102"/>
      <c r="E44" s="104">
        <f>main!K26</f>
        <v>54.2</v>
      </c>
      <c r="F44" s="104">
        <f>main!L26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180</v>
      </c>
      <c r="D46" s="103"/>
      <c r="E46" s="225"/>
      <c r="F46" s="225">
        <f>F44-F45</f>
        <v>-3.8866096997453567</v>
      </c>
      <c r="G46" s="150">
        <f t="shared" ref="G46:K46" si="51">G44-G45</f>
        <v>-3.9652035032282242</v>
      </c>
      <c r="H46" s="225">
        <f t="shared" si="51"/>
        <v>-4.0309660602918527</v>
      </c>
      <c r="I46" s="225">
        <f t="shared" si="51"/>
        <v>-4.09506423245044</v>
      </c>
      <c r="J46" s="225">
        <f t="shared" si="51"/>
        <v>-4.1635749599387637</v>
      </c>
      <c r="K46" s="150">
        <f t="shared" si="51"/>
        <v>-4.2094616647054508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190</v>
      </c>
      <c r="D50" s="102"/>
      <c r="E50" s="104">
        <f>main!K70/1000</f>
        <v>1336.6980000000001</v>
      </c>
      <c r="F50" s="104">
        <f>main!L70/1000</f>
        <v>1328.8050000000001</v>
      </c>
      <c r="G50" s="149">
        <f>main!N70/1000</f>
        <v>1379.6284822957259</v>
      </c>
      <c r="H50" s="104">
        <f>main!O70/1000</f>
        <v>1399.5711424983735</v>
      </c>
      <c r="I50" s="104">
        <f>main!P70/1000</f>
        <v>1415.4950476426566</v>
      </c>
      <c r="J50" s="232">
        <f>main!Q70/1000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35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3">
      <c r="B52" s="213" t="s">
        <v>282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35">
      <c r="B53" s="99" t="s">
        <v>180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45.096857065685981</v>
      </c>
      <c r="H53" s="225">
        <f t="shared" ref="H53" si="74">H50-H51</f>
        <v>59.279892038303615</v>
      </c>
      <c r="I53" s="225">
        <f t="shared" ref="I53" si="75">I50-I51</f>
        <v>69.44417195254664</v>
      </c>
      <c r="J53" s="249">
        <f t="shared" ref="J53" si="76">J50-J51</f>
        <v>74.388541651348987</v>
      </c>
      <c r="K53" s="150">
        <f t="shared" ref="K53:AA53" si="77">K50-K51</f>
        <v>76.280953080059362</v>
      </c>
      <c r="L53" s="225">
        <f t="shared" si="77"/>
        <v>78.173364508769737</v>
      </c>
      <c r="M53" s="225">
        <f t="shared" si="77"/>
        <v>80.065775937479884</v>
      </c>
      <c r="N53" s="225">
        <f t="shared" si="77"/>
        <v>81.958187366190259</v>
      </c>
      <c r="O53" s="150">
        <f t="shared" si="77"/>
        <v>82.189929792666817</v>
      </c>
      <c r="P53" s="225">
        <f t="shared" si="77"/>
        <v>82.421672219143829</v>
      </c>
      <c r="Q53" s="225">
        <f t="shared" si="77"/>
        <v>82.653414645620387</v>
      </c>
      <c r="R53" s="225">
        <f t="shared" si="77"/>
        <v>82.885157072096945</v>
      </c>
      <c r="S53" s="150">
        <f t="shared" si="77"/>
        <v>83.516344011266938</v>
      </c>
      <c r="T53" s="225">
        <f t="shared" si="77"/>
        <v>84.147530950436703</v>
      </c>
      <c r="U53" s="225">
        <f t="shared" si="77"/>
        <v>84.778717889606924</v>
      </c>
      <c r="V53" s="225">
        <f t="shared" si="77"/>
        <v>85.409904828776689</v>
      </c>
      <c r="W53" s="150">
        <f t="shared" si="77"/>
        <v>87.449710174266329</v>
      </c>
      <c r="X53" s="225">
        <f t="shared" si="77"/>
        <v>89.489515519755287</v>
      </c>
      <c r="Y53" s="225">
        <f t="shared" si="77"/>
        <v>91.529320865244472</v>
      </c>
      <c r="Z53" s="225">
        <f t="shared" si="77"/>
        <v>93.569126210734112</v>
      </c>
      <c r="AA53" s="150">
        <f t="shared" si="77"/>
        <v>95.092661589469117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191</v>
      </c>
      <c r="D57" s="102">
        <f>main!J69/1000</f>
        <v>1574.462</v>
      </c>
      <c r="E57" s="104">
        <f>main!K69/1000</f>
        <v>3713.565333333333</v>
      </c>
      <c r="F57" s="104">
        <f>main!L69/1000</f>
        <v>2531.54</v>
      </c>
      <c r="G57" s="149">
        <f>main!N69/1000</f>
        <v>1990.9395416534182</v>
      </c>
      <c r="H57" s="104">
        <f>main!O69/1000</f>
        <v>1912.10228529849</v>
      </c>
      <c r="I57" s="104">
        <f>main!P69/1000</f>
        <v>1823.2092545768753</v>
      </c>
      <c r="J57" s="104">
        <f>main!Q69/1000</f>
        <v>1686.7876851675489</v>
      </c>
      <c r="K57" s="275">
        <f>main!R69/1000</f>
        <v>1683.444500445062</v>
      </c>
      <c r="L57" s="104">
        <f>K57*(1+L59)</f>
        <v>1691.3332656079126</v>
      </c>
      <c r="M57" s="104">
        <f t="shared" ref="M57:AA57" si="78">L57*(1+M59)</f>
        <v>1679.1397689725666</v>
      </c>
      <c r="N57" s="104">
        <f t="shared" si="78"/>
        <v>1639.1387815375704</v>
      </c>
      <c r="O57" s="104">
        <f t="shared" si="78"/>
        <v>1638.463848691285</v>
      </c>
      <c r="P57" s="104">
        <f t="shared" si="78"/>
        <v>1638.9497856203561</v>
      </c>
      <c r="Q57" s="104">
        <f t="shared" si="78"/>
        <v>1640.2296403758014</v>
      </c>
      <c r="R57" s="104">
        <f t="shared" si="78"/>
        <v>1643.7842308160045</v>
      </c>
      <c r="S57" s="104">
        <f t="shared" si="78"/>
        <v>1661.6631681923604</v>
      </c>
      <c r="T57" s="104">
        <f t="shared" si="78"/>
        <v>1678.7784116664561</v>
      </c>
      <c r="U57" s="104">
        <f t="shared" si="78"/>
        <v>1692.3328460316579</v>
      </c>
      <c r="V57" s="104">
        <f t="shared" si="78"/>
        <v>1703.7046136335396</v>
      </c>
      <c r="W57" s="104">
        <f t="shared" si="78"/>
        <v>1741.1898300711739</v>
      </c>
      <c r="X57" s="104">
        <f t="shared" si="78"/>
        <v>1771.4905860751501</v>
      </c>
      <c r="Y57" s="104">
        <f t="shared" si="78"/>
        <v>1795.4268791817574</v>
      </c>
      <c r="Z57" s="104">
        <f t="shared" si="78"/>
        <v>1812.3138011333758</v>
      </c>
      <c r="AA57" s="104">
        <f t="shared" si="78"/>
        <v>1820.2446006078085</v>
      </c>
      <c r="AB57" s="95"/>
    </row>
    <row r="58" spans="1:28" x14ac:dyDescent="0.35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275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3">
      <c r="B59" s="213" t="s">
        <v>282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35">
      <c r="B60" s="99" t="s">
        <v>180</v>
      </c>
      <c r="D60" s="103"/>
      <c r="E60" s="225"/>
      <c r="F60" s="225">
        <f t="shared" ref="F60" si="97">F57-F58</f>
        <v>594.75700000000006</v>
      </c>
      <c r="G60" s="150">
        <f t="shared" ref="G60" si="98">G57-G58</f>
        <v>318.14292016330819</v>
      </c>
      <c r="H60" s="225">
        <f t="shared" ref="H60" si="99">H57-H58</f>
        <v>446.59185155977002</v>
      </c>
      <c r="I60" s="225">
        <f t="shared" ref="I60" si="100">I57-I58</f>
        <v>524.1640779158954</v>
      </c>
      <c r="J60" s="225">
        <f t="shared" ref="J60" si="101">J57-J58</f>
        <v>503.13755341871888</v>
      </c>
      <c r="K60" s="276">
        <f t="shared" ref="K60" si="102">K57-K58</f>
        <v>471.38040129975207</v>
      </c>
      <c r="L60" s="225">
        <f t="shared" ref="L60:AA60" si="103">L57-L58</f>
        <v>473.58933024706266</v>
      </c>
      <c r="M60" s="225">
        <f t="shared" si="103"/>
        <v>470.17503572431656</v>
      </c>
      <c r="N60" s="225">
        <f t="shared" si="103"/>
        <v>458.97438045798026</v>
      </c>
      <c r="O60" s="150">
        <f t="shared" si="103"/>
        <v>458.78539286982505</v>
      </c>
      <c r="P60" s="225">
        <f t="shared" si="103"/>
        <v>458.9214598114861</v>
      </c>
      <c r="Q60" s="225">
        <f t="shared" si="103"/>
        <v>459.27983126244135</v>
      </c>
      <c r="R60" s="225">
        <f t="shared" si="103"/>
        <v>460.2751502454646</v>
      </c>
      <c r="S60" s="150">
        <f t="shared" si="103"/>
        <v>465.28142201329047</v>
      </c>
      <c r="T60" s="225">
        <f t="shared" si="103"/>
        <v>470.07385225677604</v>
      </c>
      <c r="U60" s="225">
        <f t="shared" si="103"/>
        <v>473.86922223111787</v>
      </c>
      <c r="V60" s="225">
        <f t="shared" si="103"/>
        <v>477.05342484322955</v>
      </c>
      <c r="W60" s="150">
        <f t="shared" si="103"/>
        <v>487.54964040751383</v>
      </c>
      <c r="X60" s="225">
        <f t="shared" si="103"/>
        <v>496.03413901799013</v>
      </c>
      <c r="Y60" s="225">
        <f t="shared" si="103"/>
        <v>502.73652774968741</v>
      </c>
      <c r="Z60" s="225">
        <f t="shared" si="103"/>
        <v>507.46502580481592</v>
      </c>
      <c r="AA60" s="150">
        <f t="shared" si="103"/>
        <v>509.68572475740848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192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213</v>
      </c>
      <c r="D64" s="100"/>
      <c r="E64" s="104">
        <f>main!K47/1000</f>
        <v>1086.548</v>
      </c>
      <c r="F64" s="104">
        <f>main!L47/1000</f>
        <v>1212.346</v>
      </c>
      <c r="G64" s="149">
        <f>main!N47/1000</f>
        <v>382.93200834658188</v>
      </c>
      <c r="H64" s="104">
        <f>main!O47/1000</f>
        <v>100.25024999999999</v>
      </c>
      <c r="I64" s="104">
        <f>main!P47/1000</f>
        <v>100.25024999999999</v>
      </c>
      <c r="J64" s="104">
        <f>main!Q47/1000</f>
        <v>100.25024999999999</v>
      </c>
      <c r="K64" s="149">
        <f>main!R47/1000</f>
        <v>100.25024999999999</v>
      </c>
      <c r="L64" s="232">
        <f>main!S47/1000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35">
      <c r="B65" t="s">
        <v>179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3">
      <c r="B66" s="213" t="s">
        <v>282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35">
      <c r="B67" s="99" t="s">
        <v>180</v>
      </c>
      <c r="D67" s="103"/>
      <c r="E67" s="225"/>
      <c r="F67" s="225">
        <f>F64-F65</f>
        <v>0.64599999999995816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198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210</v>
      </c>
      <c r="D71" s="100"/>
      <c r="E71" s="226">
        <f>main!K63/1000</f>
        <v>279.25</v>
      </c>
      <c r="F71" s="226">
        <f>main!L63/1000</f>
        <v>286.92480728335994</v>
      </c>
      <c r="G71" s="151">
        <f>main!N63/1000</f>
        <v>298.37288477706733</v>
      </c>
      <c r="H71" s="226">
        <f>main!O63/1000</f>
        <v>282.14099544764292</v>
      </c>
      <c r="I71" s="226">
        <f>main!P63/1000</f>
        <v>255.02243392207248</v>
      </c>
      <c r="J71" s="226">
        <f>main!Q63/1000</f>
        <v>256.05497613497749</v>
      </c>
      <c r="K71" s="151">
        <f>main!R63/1000</f>
        <v>251.54437969325105</v>
      </c>
      <c r="L71" s="226">
        <f>main!S63/1000</f>
        <v>247.24080684971526</v>
      </c>
      <c r="M71" s="226">
        <f>main!T63/1000</f>
        <v>248.95857178194771</v>
      </c>
      <c r="N71" s="226">
        <f>main!U63/1000</f>
        <v>250.86680125051296</v>
      </c>
      <c r="O71" s="151">
        <f>main!V63/1000</f>
        <v>252.62247677399648</v>
      </c>
      <c r="P71" s="255">
        <f>main!W63/1000</f>
        <v>254.57245802602733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35">
      <c r="B72" t="s">
        <v>179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3">
      <c r="B73" s="213" t="s">
        <v>282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35">
      <c r="B74" s="99" t="s">
        <v>180</v>
      </c>
      <c r="D74" s="103"/>
      <c r="E74" s="225"/>
      <c r="F74" s="225">
        <f>F71-F72</f>
        <v>45.496807283359942</v>
      </c>
      <c r="G74" s="150">
        <f t="shared" ref="G74:K74" si="122">G71-G72</f>
        <v>69.947500972419334</v>
      </c>
      <c r="H74" s="225">
        <f t="shared" si="122"/>
        <v>69.322815785041911</v>
      </c>
      <c r="I74" s="225">
        <f t="shared" si="122"/>
        <v>57.377360410402474</v>
      </c>
      <c r="J74" s="225">
        <f t="shared" si="122"/>
        <v>73.004211452751491</v>
      </c>
      <c r="K74" s="150">
        <f t="shared" si="122"/>
        <v>57.211771344119057</v>
      </c>
      <c r="L74" s="225">
        <f t="shared" ref="L74:N74" si="123">L71-L72</f>
        <v>40.833358543003243</v>
      </c>
      <c r="M74" s="225">
        <f t="shared" si="123"/>
        <v>30.39454995112672</v>
      </c>
      <c r="N74" s="225">
        <f t="shared" si="123"/>
        <v>19.416638483280963</v>
      </c>
      <c r="O74" s="150">
        <f t="shared" ref="O74:AA74" si="124">O71-O72</f>
        <v>8.9252580271594866</v>
      </c>
      <c r="P74" s="249">
        <f t="shared" si="124"/>
        <v>-2.1160976584466766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258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291</v>
      </c>
      <c r="J1" t="s">
        <v>277</v>
      </c>
      <c r="K1" t="s">
        <v>293</v>
      </c>
      <c r="L1" t="s">
        <v>294</v>
      </c>
      <c r="M1" t="s">
        <v>295</v>
      </c>
    </row>
    <row r="2" spans="1:13" x14ac:dyDescent="0.35">
      <c r="A2" s="190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calculations'!F60:AA60)</f>
        <v>594.75700000000006</v>
      </c>
      <c r="H2">
        <f t="array" ref="H2:H23">TRANSPOSE('add-ons calculations'!F67:AA67)</f>
        <v>0.64599999999995816</v>
      </c>
      <c r="I2">
        <f t="array" ref="I2:I23">TRANSPOSE('add-ons calculations'!F74:AA74)</f>
        <v>45.496807283359942</v>
      </c>
      <c r="J2" s="102">
        <f>'add-ons calculations'!E71</f>
        <v>279.25</v>
      </c>
    </row>
    <row r="3" spans="1:13" x14ac:dyDescent="0.35">
      <c r="A3" s="190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calculations'!F71</f>
        <v>286.92480728335994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473.58933024706266</v>
      </c>
      <c r="H8">
        <v>-1164.58432880287</v>
      </c>
      <c r="I8">
        <v>40.833358543003243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470.17503572431656</v>
      </c>
      <c r="H9">
        <v>-1169.6720432144866</v>
      </c>
      <c r="I9">
        <v>30.39454995112672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458.97438045798026</v>
      </c>
      <c r="H10">
        <v>-1174.8247574617883</v>
      </c>
      <c r="I10">
        <v>19.416638483280963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458.78539286982505</v>
      </c>
      <c r="H11">
        <v>-1180.0424715447843</v>
      </c>
      <c r="I11">
        <v>8.9252580271594866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458.9214598114861</v>
      </c>
      <c r="H12">
        <v>-1185.3370036154101</v>
      </c>
      <c r="I12">
        <v>-2.1160976584466766</v>
      </c>
    </row>
    <row r="13" spans="1:13" x14ac:dyDescent="0.35">
      <c r="A13" s="190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459.27983126244135</v>
      </c>
      <c r="H13">
        <v>-1190.6551719899246</v>
      </c>
      <c r="I13">
        <v>-2.2181159245623121</v>
      </c>
    </row>
    <row r="14" spans="1:13" x14ac:dyDescent="0.35">
      <c r="A14" s="190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460.2751502454646</v>
      </c>
      <c r="H14">
        <v>-1196.0501583520688</v>
      </c>
      <c r="I14">
        <v>-2.326327492008943</v>
      </c>
    </row>
    <row r="15" spans="1:13" x14ac:dyDescent="0.35">
      <c r="A15" s="190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465.28142201329047</v>
      </c>
      <c r="H15">
        <v>-1201.5219627018521</v>
      </c>
      <c r="I15">
        <v>-2.3418157241148947</v>
      </c>
    </row>
    <row r="16" spans="1:13" x14ac:dyDescent="0.35">
      <c r="A16" s="190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470.07385225677604</v>
      </c>
      <c r="H16">
        <v>-1207.0528578113385</v>
      </c>
      <c r="I16">
        <v>-2.3579339707288796</v>
      </c>
    </row>
    <row r="17" spans="1:9" x14ac:dyDescent="0.35">
      <c r="A17" s="190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473.86922223111787</v>
      </c>
      <c r="H17">
        <v>-1212.595571072779</v>
      </c>
      <c r="I17">
        <v>-2.3744244847413825</v>
      </c>
    </row>
    <row r="18" spans="1:9" x14ac:dyDescent="0.35">
      <c r="A18" s="190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477.05342484322955</v>
      </c>
      <c r="H18">
        <v>-1218.1678297140711</v>
      </c>
      <c r="I18">
        <v>-2.3913872340075955</v>
      </c>
    </row>
    <row r="19" spans="1:9" x14ac:dyDescent="0.35">
      <c r="A19" s="190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487.54964040751383</v>
      </c>
      <c r="H19">
        <v>-1223.7696337352338</v>
      </c>
      <c r="I19">
        <v>-2.3960404726840352</v>
      </c>
    </row>
    <row r="20" spans="1:9" x14ac:dyDescent="0.35">
      <c r="A20" s="190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496.03413901799013</v>
      </c>
      <c r="H20">
        <v>-1229.3832559083221</v>
      </c>
      <c r="I20">
        <v>-2.4067509018543092</v>
      </c>
    </row>
    <row r="21" spans="1:9" x14ac:dyDescent="0.35">
      <c r="A21" s="190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502.73652774968741</v>
      </c>
      <c r="H21">
        <v>-1234.967332701568</v>
      </c>
      <c r="I21">
        <v>-2.4119507298030953</v>
      </c>
    </row>
    <row r="22" spans="1:9" x14ac:dyDescent="0.35">
      <c r="A22" s="190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507.46502580481592</v>
      </c>
      <c r="H22">
        <v>-1240.5573185707767</v>
      </c>
      <c r="I22">
        <v>-2.4174937807250103</v>
      </c>
    </row>
    <row r="23" spans="1:9" x14ac:dyDescent="0.35">
      <c r="A23" s="190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509.68572475740848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9" t="s">
        <v>21</v>
      </c>
      <c r="E1" s="289"/>
      <c r="F1" s="289"/>
      <c r="G1" s="289"/>
      <c r="H1" s="289" t="s">
        <v>9</v>
      </c>
      <c r="I1" s="289"/>
      <c r="J1" s="289"/>
      <c r="K1" s="289"/>
      <c r="L1" s="289" t="s">
        <v>10</v>
      </c>
      <c r="M1" s="289"/>
      <c r="N1" s="289"/>
      <c r="O1" s="289"/>
      <c r="P1" s="289" t="s">
        <v>11</v>
      </c>
      <c r="Q1" s="289"/>
      <c r="R1" s="289"/>
      <c r="S1" s="289"/>
      <c r="T1" s="289" t="s">
        <v>269</v>
      </c>
      <c r="U1" s="289"/>
      <c r="V1" s="289"/>
      <c r="W1" s="289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main!E30</f>
        <v>2220523</v>
      </c>
      <c r="E3" s="199">
        <f>main!F30</f>
        <v>2298792</v>
      </c>
      <c r="F3" s="199">
        <f>main!G30</f>
        <v>2315842</v>
      </c>
      <c r="G3" s="199">
        <f>main!H30</f>
        <v>2331428</v>
      </c>
      <c r="H3" s="199">
        <f>main!I30</f>
        <v>2347737</v>
      </c>
      <c r="I3" s="199">
        <f>main!J30</f>
        <v>2422546</v>
      </c>
      <c r="J3" s="199">
        <f>main!K30</f>
        <v>4815254</v>
      </c>
      <c r="K3" s="199">
        <f>main!L30</f>
        <v>3513776</v>
      </c>
      <c r="L3" s="267">
        <f>main!N30</f>
        <v>2872187.886998829</v>
      </c>
      <c r="M3" s="267">
        <f>main!O30</f>
        <v>2776224.4457211783</v>
      </c>
      <c r="N3" s="267">
        <f>main!P30</f>
        <v>2682283.5091793705</v>
      </c>
      <c r="O3" s="267">
        <f>main!Q30</f>
        <v>2572565.934698876</v>
      </c>
      <c r="P3" s="267">
        <f>main!R30</f>
        <v>2626154.5995660136</v>
      </c>
      <c r="Q3" s="267">
        <f>main!S30</f>
        <v>2681059.175091214</v>
      </c>
      <c r="R3" s="267">
        <f>main!T30</f>
        <v>2737316.1447417233</v>
      </c>
      <c r="S3" s="267">
        <f>main!U30</f>
        <v>2794963.086784442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216</v>
      </c>
      <c r="D4" s="199">
        <f>main!E31</f>
        <v>753311</v>
      </c>
      <c r="E4" s="199">
        <f>main!F31</f>
        <v>767353</v>
      </c>
      <c r="F4" s="199">
        <f>main!G31</f>
        <v>779707</v>
      </c>
      <c r="G4" s="199">
        <f>main!H31</f>
        <v>789893</v>
      </c>
      <c r="H4" s="199">
        <f>main!I31</f>
        <v>797912</v>
      </c>
      <c r="I4" s="199">
        <f>main!J31</f>
        <v>804655</v>
      </c>
      <c r="J4" s="199">
        <f>main!K31</f>
        <v>824058</v>
      </c>
      <c r="K4" s="199">
        <f>main!L31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main!E72</f>
        <v>728844</v>
      </c>
      <c r="E5" s="199">
        <f>main!F72</f>
        <v>738714</v>
      </c>
      <c r="F5" s="199">
        <f>main!G72</f>
        <v>755204</v>
      </c>
      <c r="G5" s="199">
        <f>main!H72</f>
        <v>763370</v>
      </c>
      <c r="H5" s="199">
        <f>main!I72</f>
        <v>760967</v>
      </c>
      <c r="I5" s="199">
        <f>main!J72</f>
        <v>767087</v>
      </c>
      <c r="J5" s="199">
        <f>main!K72</f>
        <v>812158</v>
      </c>
      <c r="K5" s="199">
        <f>main!L72</f>
        <v>843592</v>
      </c>
      <c r="L5" s="274">
        <f>main!N72</f>
        <v>854389.62438769906</v>
      </c>
      <c r="M5" s="274">
        <f>main!O72</f>
        <v>867579.18357306824</v>
      </c>
      <c r="N5" s="274">
        <f>main!P72</f>
        <v>875166.00727071473</v>
      </c>
      <c r="O5" s="274">
        <f>main!Q72</f>
        <v>875883.58870544552</v>
      </c>
      <c r="P5" s="274">
        <f>main!R72</f>
        <v>876965.34271830227</v>
      </c>
      <c r="Q5" s="274">
        <f>main!S72</f>
        <v>878418.49894223991</v>
      </c>
      <c r="R5" s="274">
        <f>main!T72</f>
        <v>879964.52696248644</v>
      </c>
      <c r="S5" s="274">
        <f>main!U72</f>
        <v>881357.78541551507</v>
      </c>
      <c r="T5" s="274">
        <f>main!V72</f>
        <v>882586.05273594777</v>
      </c>
      <c r="U5" s="274"/>
      <c r="V5" s="274"/>
      <c r="W5" s="274"/>
      <c r="AJ5" s="270"/>
    </row>
    <row r="6" spans="1:36" s="35" customFormat="1" x14ac:dyDescent="0.35">
      <c r="A6" s="35" t="s">
        <v>215</v>
      </c>
      <c r="D6" s="199">
        <f>main!E75</f>
        <v>589819</v>
      </c>
      <c r="E6" s="199">
        <f>main!F75</f>
        <v>599372</v>
      </c>
      <c r="F6" s="199">
        <f>main!G75</f>
        <v>614976</v>
      </c>
      <c r="G6" s="199">
        <f>main!H75</f>
        <v>622265</v>
      </c>
      <c r="H6" s="199">
        <f>main!I75</f>
        <v>619632</v>
      </c>
      <c r="I6" s="199">
        <f>main!J75</f>
        <v>624096</v>
      </c>
      <c r="J6" s="199">
        <f>main!K75</f>
        <v>668823</v>
      </c>
      <c r="K6" s="199">
        <f>main!L75</f>
        <v>698983</v>
      </c>
      <c r="L6" s="35">
        <f>main!N75</f>
        <v>711588.23688769911</v>
      </c>
      <c r="M6" s="35">
        <f>main!O75</f>
        <v>724420.79260431824</v>
      </c>
      <c r="N6" s="35">
        <f>main!P75</f>
        <v>731649.72032454284</v>
      </c>
      <c r="O6" s="35">
        <f>main!Q75</f>
        <v>731649.72032454284</v>
      </c>
      <c r="P6" s="35">
        <f>main!R75</f>
        <v>731649.72032454284</v>
      </c>
      <c r="Q6" s="35">
        <f>main!S75</f>
        <v>731649.72032454284</v>
      </c>
      <c r="R6" s="35">
        <f>main!T75</f>
        <v>731649.72032454284</v>
      </c>
      <c r="S6" s="35">
        <f>main!U75</f>
        <v>731649.72032454284</v>
      </c>
      <c r="T6" s="35">
        <f>main!V75</f>
        <v>731649.72032454284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4" t="s">
        <v>209</v>
      </c>
      <c r="B1" s="295"/>
      <c r="C1" s="35"/>
      <c r="I1" s="250"/>
      <c r="J1" s="302" t="s">
        <v>284</v>
      </c>
      <c r="V1" s="289"/>
      <c r="W1" s="289"/>
      <c r="X1" s="289"/>
      <c r="Y1" s="289"/>
    </row>
    <row r="2" spans="1:27" x14ac:dyDescent="0.35">
      <c r="A2" s="296" t="s">
        <v>193</v>
      </c>
      <c r="B2" s="126"/>
      <c r="C2" t="s">
        <v>194</v>
      </c>
      <c r="H2" s="95"/>
      <c r="I2" s="251"/>
      <c r="J2" s="302"/>
    </row>
    <row r="3" spans="1:27" x14ac:dyDescent="0.35">
      <c r="A3" s="297"/>
      <c r="B3" s="127"/>
      <c r="C3" t="s">
        <v>195</v>
      </c>
      <c r="H3" s="95"/>
      <c r="I3" s="251"/>
      <c r="J3" s="302"/>
    </row>
    <row r="4" spans="1:27" x14ac:dyDescent="0.35">
      <c r="A4" s="297"/>
      <c r="B4" s="128"/>
      <c r="C4" t="s">
        <v>196</v>
      </c>
      <c r="H4" s="95"/>
      <c r="I4" s="95"/>
      <c r="J4" s="95"/>
    </row>
    <row r="5" spans="1:27" x14ac:dyDescent="0.35">
      <c r="A5" s="298"/>
      <c r="B5" s="129"/>
      <c r="C5" t="s">
        <v>183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9" t="s">
        <v>161</v>
      </c>
      <c r="D7" s="300"/>
      <c r="E7" s="300"/>
      <c r="F7" s="301"/>
      <c r="G7" s="299" t="s">
        <v>167</v>
      </c>
      <c r="H7" s="300"/>
      <c r="I7" s="300"/>
      <c r="J7" s="301"/>
      <c r="K7" s="299" t="s">
        <v>178</v>
      </c>
      <c r="L7" s="300"/>
      <c r="M7" s="300"/>
      <c r="N7" s="300"/>
      <c r="O7" s="299" t="s">
        <v>273</v>
      </c>
      <c r="P7" s="300"/>
      <c r="Q7" s="300"/>
      <c r="R7" s="300"/>
      <c r="S7" s="299" t="s">
        <v>278</v>
      </c>
      <c r="T7" s="300"/>
      <c r="U7" s="300"/>
      <c r="V7" s="300"/>
      <c r="W7" s="299" t="s">
        <v>279</v>
      </c>
      <c r="X7" s="300"/>
      <c r="Y7" s="300"/>
      <c r="Z7" s="300"/>
      <c r="AA7" s="231" t="s">
        <v>280</v>
      </c>
    </row>
    <row r="8" spans="1:27" s="269" customFormat="1" x14ac:dyDescent="0.35">
      <c r="B8" s="269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173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174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175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176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177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168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169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170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171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197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698.98299999999995</v>
      </c>
      <c r="G24" s="149">
        <f>main_nipas!L6/1000</f>
        <v>711.58823688769905</v>
      </c>
      <c r="H24" s="102">
        <f>main_nipas!M6/1000</f>
        <v>724.42079260431819</v>
      </c>
      <c r="I24" s="102">
        <f>main_nipas!N6/1000</f>
        <v>731.64972032454284</v>
      </c>
      <c r="J24" s="102">
        <f>main_nipas!O6/1000</f>
        <v>731.64972032454284</v>
      </c>
      <c r="K24" s="149">
        <f>main_nipas!P6/1000</f>
        <v>731.64972032454284</v>
      </c>
      <c r="L24" s="102">
        <f>main_nipas!Q6/1000</f>
        <v>731.64972032454284</v>
      </c>
      <c r="M24" s="102">
        <f>main_nipas!R6/1000</f>
        <v>731.64972032454284</v>
      </c>
      <c r="N24" s="102">
        <f>M24*(1+N26)</f>
        <v>724.14296329972763</v>
      </c>
      <c r="O24" s="149">
        <f t="shared" ref="O24:AA24" si="0">N24*(1+O26)</f>
        <v>716.70988104124478</v>
      </c>
      <c r="P24" s="102">
        <f t="shared" si="0"/>
        <v>709.27679878276183</v>
      </c>
      <c r="Q24" s="102">
        <f t="shared" si="0"/>
        <v>701.84371652427888</v>
      </c>
      <c r="R24" s="102">
        <f t="shared" si="0"/>
        <v>694.41063426579603</v>
      </c>
      <c r="S24" s="149">
        <f t="shared" si="0"/>
        <v>702.2355961147224</v>
      </c>
      <c r="T24" s="102">
        <f t="shared" si="0"/>
        <v>710.06055796364865</v>
      </c>
      <c r="U24" s="102">
        <f t="shared" si="0"/>
        <v>717.88551981257501</v>
      </c>
      <c r="V24" s="102">
        <f t="shared" si="0"/>
        <v>725.71048166150138</v>
      </c>
      <c r="W24" s="149">
        <f t="shared" si="0"/>
        <v>735.62289522317485</v>
      </c>
      <c r="X24" s="102">
        <f t="shared" si="0"/>
        <v>745.53530878484821</v>
      </c>
      <c r="Y24" s="102">
        <f t="shared" si="0"/>
        <v>755.4477223465218</v>
      </c>
      <c r="Z24" s="102">
        <f t="shared" si="0"/>
        <v>765.36013590819528</v>
      </c>
      <c r="AA24" s="149">
        <f t="shared" si="0"/>
        <v>775.67495402693112</v>
      </c>
      <c r="AB24" s="95"/>
    </row>
    <row r="25" spans="1:28" x14ac:dyDescent="0.35">
      <c r="B25" t="s">
        <v>179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180</v>
      </c>
      <c r="D27" s="103"/>
      <c r="E27" s="225"/>
      <c r="F27" s="225">
        <f t="shared" ref="F27:AA27" si="3">F24-F25</f>
        <v>-1.7000000000052751E-2</v>
      </c>
      <c r="G27" s="150">
        <f t="shared" si="3"/>
        <v>-14.086920862320198</v>
      </c>
      <c r="H27" s="225">
        <f t="shared" si="3"/>
        <v>-27.929522895720424</v>
      </c>
      <c r="I27" s="225">
        <f t="shared" si="3"/>
        <v>-47.375752925515144</v>
      </c>
      <c r="J27" s="225">
        <f t="shared" si="3"/>
        <v>-74.050910675534283</v>
      </c>
      <c r="K27" s="150">
        <f t="shared" si="3"/>
        <v>-66.031234819115753</v>
      </c>
      <c r="L27" s="225">
        <f t="shared" si="3"/>
        <v>-58.011558962697336</v>
      </c>
      <c r="M27" s="249">
        <f t="shared" si="3"/>
        <v>-49.99188310627892</v>
      </c>
      <c r="N27" s="225">
        <f t="shared" si="3"/>
        <v>-49.478964274675604</v>
      </c>
      <c r="O27" s="150">
        <f t="shared" si="3"/>
        <v>-48.971079464413378</v>
      </c>
      <c r="P27" s="225">
        <f t="shared" si="3"/>
        <v>-48.463194654151152</v>
      </c>
      <c r="Q27" s="225">
        <f t="shared" si="3"/>
        <v>-47.955309843888926</v>
      </c>
      <c r="R27" s="225">
        <f t="shared" si="3"/>
        <v>-47.4474250336267</v>
      </c>
      <c r="S27" s="150">
        <f t="shared" si="3"/>
        <v>-47.982086043117761</v>
      </c>
      <c r="T27" s="225">
        <f t="shared" si="3"/>
        <v>-48.516747052608935</v>
      </c>
      <c r="U27" s="225">
        <f t="shared" si="3"/>
        <v>-49.051408062100109</v>
      </c>
      <c r="V27" s="225">
        <f t="shared" si="3"/>
        <v>-49.586069071591282</v>
      </c>
      <c r="W27" s="150">
        <f t="shared" si="3"/>
        <v>-50.263360685748466</v>
      </c>
      <c r="X27" s="225">
        <f t="shared" si="3"/>
        <v>-50.940652299905764</v>
      </c>
      <c r="Y27" s="225">
        <f t="shared" si="3"/>
        <v>-51.617943914062948</v>
      </c>
      <c r="Z27" s="225">
        <f t="shared" si="3"/>
        <v>-52.295235528220246</v>
      </c>
      <c r="AA27" s="150">
        <f t="shared" si="3"/>
        <v>-53.000022487512183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main_nipas!J5/1000</f>
        <v>812.15800000000002</v>
      </c>
      <c r="F31" s="104">
        <f>main_nipas!K5/1000</f>
        <v>843.59199999999998</v>
      </c>
      <c r="G31" s="149">
        <f>main_nipas!L5/1000</f>
        <v>854.38962438769909</v>
      </c>
      <c r="H31" s="104">
        <f>main_nipas!M5/1000</f>
        <v>867.57918357306824</v>
      </c>
      <c r="I31" s="104">
        <f>main_nipas!N5/1000</f>
        <v>875.16600727071477</v>
      </c>
      <c r="J31" s="104">
        <f>main_nipas!O5/1000</f>
        <v>875.8835887054455</v>
      </c>
      <c r="K31" s="149">
        <f>main_nipas!P5/1000</f>
        <v>876.96534271830228</v>
      </c>
      <c r="L31" s="104">
        <f>main_nipas!Q5/1000</f>
        <v>878.41849894223992</v>
      </c>
      <c r="M31" s="104">
        <f>L31*(1 + M33)</f>
        <v>1068.0932737291741</v>
      </c>
      <c r="N31" s="104">
        <f t="shared" ref="N31:AA31" si="4">M31*(1 + N33)</f>
        <v>1247.7767701082776</v>
      </c>
      <c r="O31" s="149">
        <f t="shared" si="4"/>
        <v>1415.8004874224323</v>
      </c>
      <c r="P31" s="104">
        <f t="shared" si="4"/>
        <v>1581.0266467823931</v>
      </c>
      <c r="Q31" s="104">
        <f t="shared" si="4"/>
        <v>1755.0451311412478</v>
      </c>
      <c r="R31" s="104">
        <f t="shared" si="4"/>
        <v>1928.2643132274754</v>
      </c>
      <c r="S31" s="149">
        <f t="shared" si="4"/>
        <v>1922.2718121584801</v>
      </c>
      <c r="T31" s="104">
        <f t="shared" si="4"/>
        <v>1921.0751247252481</v>
      </c>
      <c r="U31" s="104">
        <f t="shared" si="4"/>
        <v>1924.2745997914583</v>
      </c>
      <c r="V31" s="104">
        <f t="shared" si="4"/>
        <v>1933.8684930386846</v>
      </c>
      <c r="W31" s="149">
        <f t="shared" si="4"/>
        <v>1920.0340521343048</v>
      </c>
      <c r="X31" s="104">
        <f t="shared" si="4"/>
        <v>1905.4003089572984</v>
      </c>
      <c r="Y31" s="104">
        <f t="shared" si="4"/>
        <v>1893.963774870798</v>
      </c>
      <c r="Z31" s="104">
        <f t="shared" si="4"/>
        <v>1886.1241010111166</v>
      </c>
      <c r="AA31" s="149">
        <f t="shared" si="4"/>
        <v>1876.7341574466584</v>
      </c>
      <c r="AB31" s="95"/>
    </row>
    <row r="32" spans="1:28" x14ac:dyDescent="0.35">
      <c r="B32" t="s">
        <v>179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180</v>
      </c>
      <c r="D34" s="103"/>
      <c r="E34" s="225"/>
      <c r="F34" s="225">
        <f t="shared" ref="F34:AA34" si="7">F31-F32</f>
        <v>698.99199999999996</v>
      </c>
      <c r="G34" s="150">
        <f t="shared" si="7"/>
        <v>734.35578213771839</v>
      </c>
      <c r="H34" s="225">
        <f t="shared" si="7"/>
        <v>772.10622657310694</v>
      </c>
      <c r="I34" s="225">
        <f t="shared" si="7"/>
        <v>804.24864983952284</v>
      </c>
      <c r="J34" s="225">
        <f t="shared" si="7"/>
        <v>827.39167487086661</v>
      </c>
      <c r="K34" s="150">
        <f t="shared" si="7"/>
        <v>814.04730894104489</v>
      </c>
      <c r="L34" s="249">
        <f t="shared" si="7"/>
        <v>798.87479941935499</v>
      </c>
      <c r="M34" s="225">
        <f t="shared" si="7"/>
        <v>971.37389619986004</v>
      </c>
      <c r="N34" s="225">
        <f t="shared" si="7"/>
        <v>1134.7864578679896</v>
      </c>
      <c r="O34" s="150">
        <f t="shared" si="7"/>
        <v>1287.595072017936</v>
      </c>
      <c r="P34" s="150">
        <f t="shared" si="7"/>
        <v>1437.8594563364159</v>
      </c>
      <c r="Q34" s="150">
        <f t="shared" si="7"/>
        <v>1596.1199915537889</v>
      </c>
      <c r="R34" s="150">
        <f t="shared" si="7"/>
        <v>1753.6536039621712</v>
      </c>
      <c r="S34" s="150">
        <f t="shared" si="7"/>
        <v>1748.2037436788569</v>
      </c>
      <c r="T34" s="150">
        <f t="shared" si="7"/>
        <v>1747.1154202494868</v>
      </c>
      <c r="U34" s="150">
        <f t="shared" si="7"/>
        <v>1750.0251722695589</v>
      </c>
      <c r="V34" s="150">
        <f t="shared" si="7"/>
        <v>1758.7503067615553</v>
      </c>
      <c r="W34" s="150">
        <f t="shared" si="7"/>
        <v>1746.1686202239043</v>
      </c>
      <c r="X34" s="150">
        <f t="shared" si="7"/>
        <v>1732.860010877263</v>
      </c>
      <c r="Y34" s="150">
        <f t="shared" si="7"/>
        <v>1722.4590927665818</v>
      </c>
      <c r="Z34" s="150">
        <f t="shared" si="7"/>
        <v>1715.3293272963558</v>
      </c>
      <c r="AA34" s="150">
        <f t="shared" si="7"/>
        <v>1706.7896741690042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190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190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179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282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180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191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191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3513.7759999999998</v>
      </c>
      <c r="G45" s="149">
        <f>main_nipas!L3/1000</f>
        <v>2872.1878869988291</v>
      </c>
      <c r="H45" s="102">
        <f>main_nipas!M3/1000</f>
        <v>2776.2244457211782</v>
      </c>
      <c r="I45" s="102">
        <f>main_nipas!N3/1000</f>
        <v>2682.2835091793704</v>
      </c>
      <c r="J45" s="102">
        <f>main_nipas!O3/1000</f>
        <v>2572.5659346988759</v>
      </c>
      <c r="K45" s="275">
        <f>main_nipas!P3/1000</f>
        <v>2626.1545995660135</v>
      </c>
      <c r="L45" s="104">
        <f>K45*(1+L47)</f>
        <v>2652.7452603149777</v>
      </c>
      <c r="M45" s="104">
        <f t="shared" ref="M45:AA45" si="12">L45*(1+M47)</f>
        <v>2651.9360354936152</v>
      </c>
      <c r="N45" s="104">
        <f t="shared" si="12"/>
        <v>2613.1867582237705</v>
      </c>
      <c r="O45" s="104">
        <f t="shared" si="12"/>
        <v>2616.1204610174818</v>
      </c>
      <c r="P45" s="104">
        <f t="shared" si="12"/>
        <v>2620.6380341603863</v>
      </c>
      <c r="Q45" s="104">
        <f t="shared" si="12"/>
        <v>2626.2388148529826</v>
      </c>
      <c r="R45" s="104">
        <f t="shared" si="12"/>
        <v>2634.9432049941438</v>
      </c>
      <c r="S45" s="104">
        <f t="shared" si="12"/>
        <v>2661.5771858295193</v>
      </c>
      <c r="T45" s="104">
        <f t="shared" si="12"/>
        <v>2687.169196106825</v>
      </c>
      <c r="U45" s="104">
        <f t="shared" si="12"/>
        <v>2707.9029009252481</v>
      </c>
      <c r="V45" s="104">
        <f t="shared" si="12"/>
        <v>2725.6586135157731</v>
      </c>
      <c r="W45" s="104">
        <f t="shared" si="12"/>
        <v>2788.5661509047313</v>
      </c>
      <c r="X45" s="104">
        <f t="shared" si="12"/>
        <v>2841.6713365593582</v>
      </c>
      <c r="Y45" s="104">
        <f t="shared" si="12"/>
        <v>2886.0929607278954</v>
      </c>
      <c r="Z45" s="104">
        <f t="shared" si="12"/>
        <v>2920.8965466032109</v>
      </c>
      <c r="AA45" s="104">
        <f t="shared" si="12"/>
        <v>2939.6467946021376</v>
      </c>
      <c r="AB45" s="95"/>
    </row>
    <row r="46" spans="1:28" x14ac:dyDescent="0.35">
      <c r="B46" t="s">
        <v>179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282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180</v>
      </c>
      <c r="D48" s="103"/>
      <c r="E48" s="225"/>
      <c r="F48" s="225">
        <f t="shared" ref="F48:AA48" si="30">F45-F46</f>
        <v>842.67599999999993</v>
      </c>
      <c r="G48" s="150">
        <f t="shared" si="30"/>
        <v>538.19630009879029</v>
      </c>
      <c r="H48" s="225">
        <f t="shared" si="30"/>
        <v>707.66134788947602</v>
      </c>
      <c r="I48" s="225">
        <f t="shared" si="30"/>
        <v>827.54340896270332</v>
      </c>
      <c r="J48" s="225">
        <f t="shared" si="30"/>
        <v>867.08628161305796</v>
      </c>
      <c r="K48" s="276">
        <f t="shared" si="30"/>
        <v>874.19549115265954</v>
      </c>
      <c r="L48" s="225">
        <f t="shared" si="30"/>
        <v>883.04700192714176</v>
      </c>
      <c r="M48" s="225">
        <f t="shared" si="30"/>
        <v>882.77762681484614</v>
      </c>
      <c r="N48" s="225">
        <f t="shared" si="30"/>
        <v>869.87875045763553</v>
      </c>
      <c r="O48" s="150">
        <f t="shared" si="30"/>
        <v>870.85532272610294</v>
      </c>
      <c r="P48" s="225">
        <f t="shared" si="30"/>
        <v>872.3591344488143</v>
      </c>
      <c r="Q48" s="225">
        <f t="shared" si="30"/>
        <v>874.22352477420168</v>
      </c>
      <c r="R48" s="225">
        <f t="shared" si="30"/>
        <v>877.1210459696008</v>
      </c>
      <c r="S48" s="150">
        <f t="shared" si="30"/>
        <v>885.9869771533854</v>
      </c>
      <c r="T48" s="225">
        <f t="shared" si="30"/>
        <v>894.50605672229199</v>
      </c>
      <c r="U48" s="225">
        <f t="shared" si="30"/>
        <v>901.40790144619018</v>
      </c>
      <c r="V48" s="225">
        <f t="shared" si="30"/>
        <v>907.31843081540705</v>
      </c>
      <c r="W48" s="150">
        <f t="shared" si="30"/>
        <v>928.2591193620874</v>
      </c>
      <c r="X48" s="225">
        <f t="shared" si="30"/>
        <v>945.93679677825025</v>
      </c>
      <c r="Y48" s="225">
        <f t="shared" si="30"/>
        <v>960.72388645081946</v>
      </c>
      <c r="Z48" s="225">
        <f t="shared" si="30"/>
        <v>972.30931933172201</v>
      </c>
      <c r="AA48" s="150">
        <f t="shared" si="30"/>
        <v>978.55091008245859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258</v>
      </c>
      <c r="B1" s="271" t="s">
        <v>251</v>
      </c>
      <c r="C1" s="271" t="s">
        <v>252</v>
      </c>
      <c r="D1" s="271" t="s">
        <v>253</v>
      </c>
      <c r="E1" s="271" t="s">
        <v>254</v>
      </c>
      <c r="F1" s="271" t="s">
        <v>255</v>
      </c>
      <c r="G1" s="271" t="s">
        <v>256</v>
      </c>
      <c r="H1" s="271" t="s">
        <v>257</v>
      </c>
      <c r="I1" s="271" t="s">
        <v>291</v>
      </c>
    </row>
    <row r="2" spans="1:9" x14ac:dyDescent="0.35">
      <c r="A2" s="272">
        <v>44104</v>
      </c>
      <c r="B2" s="273">
        <f t="array" ref="B2:B23">TRANSPOSE('add-ons calculations nipas'!F27:AA27)</f>
        <v>-1.7000000000052751E-2</v>
      </c>
      <c r="C2" s="271">
        <f t="array" ref="C2:C23">TRANSPOSE('add-ons calculations nipas'!F34:AA34)</f>
        <v>698.99199999999996</v>
      </c>
      <c r="D2" s="271">
        <f t="array" ref="D2:D23">TRANSPOSE('add-ons calculations'!F40:AA40)</f>
        <v>7.6999999999998181E-2</v>
      </c>
      <c r="E2" s="271">
        <f t="array" ref="E2:E23">TRANSPOSE('add-ons calculations'!F46:AA46)</f>
        <v>-3.8866096997453567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842.67599999999993</v>
      </c>
      <c r="H2" s="271">
        <f t="array" ref="H2:H23">TRANSPOSE('add-ons calculations'!F67:AA67)</f>
        <v>0.64599999999995816</v>
      </c>
      <c r="I2" s="271">
        <f t="array" ref="I2:I23">TRANSPOSE('add-ons calculations'!F74:AA74)</f>
        <v>45.496807283359942</v>
      </c>
    </row>
    <row r="3" spans="1:9" x14ac:dyDescent="0.35">
      <c r="A3" s="272">
        <v>44196</v>
      </c>
      <c r="B3" s="271">
        <v>-14.086920862320198</v>
      </c>
      <c r="C3" s="271">
        <v>734.35578213771839</v>
      </c>
      <c r="D3" s="271">
        <v>7.8557069878570474E-2</v>
      </c>
      <c r="E3" s="271">
        <v>-3.9652035032282242</v>
      </c>
      <c r="F3" s="271">
        <v>23.142985628403267</v>
      </c>
      <c r="G3" s="271">
        <v>538.19630009879029</v>
      </c>
      <c r="H3" s="271">
        <v>-832.73620114390815</v>
      </c>
      <c r="I3" s="271">
        <v>69.947500972419334</v>
      </c>
    </row>
    <row r="4" spans="1:9" x14ac:dyDescent="0.35">
      <c r="A4" s="272">
        <v>44286</v>
      </c>
      <c r="B4" s="271">
        <v>-27.929522895720424</v>
      </c>
      <c r="C4" s="271">
        <v>772.10622657310694</v>
      </c>
      <c r="D4" s="271">
        <v>7.9859932081717488E-2</v>
      </c>
      <c r="E4" s="271">
        <v>-4.0309660602918527</v>
      </c>
      <c r="F4" s="271">
        <v>46.379353230327069</v>
      </c>
      <c r="G4" s="271">
        <v>707.66134788947602</v>
      </c>
      <c r="H4" s="271">
        <v>-1119.5370992944099</v>
      </c>
      <c r="I4" s="271">
        <v>69.322815785041911</v>
      </c>
    </row>
    <row r="5" spans="1:9" x14ac:dyDescent="0.35">
      <c r="A5" s="272">
        <v>44377</v>
      </c>
      <c r="B5" s="271">
        <v>-47.375752925515144</v>
      </c>
      <c r="C5" s="271">
        <v>804.24864983952284</v>
      </c>
      <c r="D5" s="271">
        <v>8.112982013653891E-2</v>
      </c>
      <c r="E5" s="271">
        <v>-4.09506423245044</v>
      </c>
      <c r="F5" s="271">
        <v>69.743650491218432</v>
      </c>
      <c r="G5" s="271">
        <v>827.54340896270332</v>
      </c>
      <c r="H5" s="271">
        <v>-1123.94552219907</v>
      </c>
      <c r="I5" s="271">
        <v>57.377360410402474</v>
      </c>
    </row>
    <row r="6" spans="1:9" x14ac:dyDescent="0.35">
      <c r="A6" s="272">
        <v>44469</v>
      </c>
      <c r="B6" s="271">
        <v>-74.050910675534283</v>
      </c>
      <c r="C6" s="271">
        <v>827.39167487086661</v>
      </c>
      <c r="D6" s="271">
        <v>8.2487128032880719E-2</v>
      </c>
      <c r="E6" s="271">
        <v>-4.1635749599387637</v>
      </c>
      <c r="F6" s="271">
        <v>93.23744404962531</v>
      </c>
      <c r="G6" s="271">
        <v>867.08628161305796</v>
      </c>
      <c r="H6" s="271">
        <v>-1128.70611583505</v>
      </c>
      <c r="I6" s="271">
        <v>73.004211452751491</v>
      </c>
    </row>
    <row r="7" spans="1:9" x14ac:dyDescent="0.35">
      <c r="A7" s="272">
        <v>44561</v>
      </c>
      <c r="B7" s="271">
        <v>-66.031234819115753</v>
      </c>
      <c r="C7" s="271">
        <v>814.04730894104489</v>
      </c>
      <c r="D7" s="271">
        <v>8.3396217589097432E-2</v>
      </c>
      <c r="E7" s="271">
        <v>-4.2094616647054508</v>
      </c>
      <c r="F7" s="271">
        <v>97.945155839323775</v>
      </c>
      <c r="G7" s="271">
        <v>874.19549115265954</v>
      </c>
      <c r="H7" s="271">
        <v>-1133.83774649154</v>
      </c>
      <c r="I7" s="271">
        <v>57.211771344119057</v>
      </c>
    </row>
    <row r="8" spans="1:9" x14ac:dyDescent="0.35">
      <c r="A8" s="272">
        <v>44651</v>
      </c>
      <c r="B8" s="271">
        <v>-58.011558962697336</v>
      </c>
      <c r="C8" s="271">
        <v>798.87479941935499</v>
      </c>
      <c r="D8" s="271">
        <v>0</v>
      </c>
      <c r="E8" s="271">
        <v>0</v>
      </c>
      <c r="F8" s="271">
        <v>102.65286762902224</v>
      </c>
      <c r="G8" s="271">
        <v>883.04700192714176</v>
      </c>
      <c r="H8" s="271">
        <v>-1164.58432880287</v>
      </c>
      <c r="I8" s="271">
        <v>40.833358543003243</v>
      </c>
    </row>
    <row r="9" spans="1:9" x14ac:dyDescent="0.35">
      <c r="A9" s="272">
        <v>44742</v>
      </c>
      <c r="B9" s="271">
        <v>-49.99188310627892</v>
      </c>
      <c r="C9" s="271">
        <v>971.37389619986004</v>
      </c>
      <c r="D9" s="271">
        <v>0</v>
      </c>
      <c r="E9" s="271">
        <v>0</v>
      </c>
      <c r="F9" s="271">
        <v>107.3605794187207</v>
      </c>
      <c r="G9" s="271">
        <v>882.77762681484614</v>
      </c>
      <c r="H9" s="271">
        <v>-1169.6720432144866</v>
      </c>
      <c r="I9" s="271">
        <v>30.39454995112672</v>
      </c>
    </row>
    <row r="10" spans="1:9" x14ac:dyDescent="0.35">
      <c r="A10" s="272">
        <v>44834</v>
      </c>
      <c r="B10" s="271">
        <v>-49.478964274675604</v>
      </c>
      <c r="C10" s="271">
        <v>1134.7864578679896</v>
      </c>
      <c r="D10" s="271">
        <v>0</v>
      </c>
      <c r="E10" s="271">
        <v>0</v>
      </c>
      <c r="F10" s="271">
        <v>112.06829120841905</v>
      </c>
      <c r="G10" s="271">
        <v>869.87875045763553</v>
      </c>
      <c r="H10" s="271">
        <v>-1174.8247574617883</v>
      </c>
      <c r="I10" s="271">
        <v>19.416638483280963</v>
      </c>
    </row>
    <row r="11" spans="1:9" x14ac:dyDescent="0.35">
      <c r="A11" s="272">
        <v>44926</v>
      </c>
      <c r="B11" s="271">
        <v>-48.971079464413378</v>
      </c>
      <c r="C11" s="271">
        <v>1287.595072017936</v>
      </c>
      <c r="D11" s="271">
        <v>0</v>
      </c>
      <c r="E11" s="271">
        <v>0</v>
      </c>
      <c r="F11" s="271">
        <v>113.21479904544935</v>
      </c>
      <c r="G11" s="271">
        <v>870.85532272610294</v>
      </c>
      <c r="H11" s="271">
        <v>-1180.0424715447843</v>
      </c>
      <c r="I11" s="271">
        <v>8.9252580271594866</v>
      </c>
    </row>
    <row r="12" spans="1:9" x14ac:dyDescent="0.35">
      <c r="A12" s="272">
        <v>45016</v>
      </c>
      <c r="B12" s="271">
        <v>-48.463194654151152</v>
      </c>
      <c r="C12" s="271">
        <v>1437.8594563364159</v>
      </c>
      <c r="D12" s="271">
        <v>0</v>
      </c>
      <c r="E12" s="271">
        <v>0</v>
      </c>
      <c r="F12" s="271">
        <v>114.36130688247965</v>
      </c>
      <c r="G12" s="271">
        <v>872.3591344488143</v>
      </c>
      <c r="H12" s="271">
        <v>-1185.3370036154101</v>
      </c>
      <c r="I12" s="271">
        <v>-2.1160976584466766</v>
      </c>
    </row>
    <row r="13" spans="1:9" x14ac:dyDescent="0.35">
      <c r="A13" s="272">
        <v>45107</v>
      </c>
      <c r="B13" s="271">
        <v>-47.955309843888926</v>
      </c>
      <c r="C13" s="271">
        <v>1596.1199915537889</v>
      </c>
      <c r="D13" s="271">
        <v>0</v>
      </c>
      <c r="E13" s="271">
        <v>0</v>
      </c>
      <c r="F13" s="271">
        <v>115.50781471950995</v>
      </c>
      <c r="G13" s="271">
        <v>874.22352477420168</v>
      </c>
      <c r="H13" s="271">
        <v>-1190.6551719899246</v>
      </c>
      <c r="I13" s="271">
        <v>-2.2181159245623121</v>
      </c>
    </row>
    <row r="14" spans="1:9" x14ac:dyDescent="0.35">
      <c r="A14" s="272">
        <v>45199</v>
      </c>
      <c r="B14" s="271">
        <v>-47.4474250336267</v>
      </c>
      <c r="C14" s="271">
        <v>1753.6536039621712</v>
      </c>
      <c r="D14" s="271">
        <v>0</v>
      </c>
      <c r="E14" s="271">
        <v>0</v>
      </c>
      <c r="F14" s="271">
        <v>116.65432255654025</v>
      </c>
      <c r="G14" s="271">
        <v>877.1210459696008</v>
      </c>
      <c r="H14" s="271">
        <v>-1196.0501583520688</v>
      </c>
      <c r="I14" s="271">
        <v>-2.326327492008943</v>
      </c>
    </row>
    <row r="15" spans="1:9" x14ac:dyDescent="0.35">
      <c r="A15" s="272">
        <v>45291</v>
      </c>
      <c r="B15" s="271">
        <v>-47.982086043117761</v>
      </c>
      <c r="C15" s="271">
        <v>1748.2037436788569</v>
      </c>
      <c r="D15" s="271">
        <v>0</v>
      </c>
      <c r="E15" s="271">
        <v>0</v>
      </c>
      <c r="F15" s="271">
        <v>117.32067194419665</v>
      </c>
      <c r="G15" s="271">
        <v>885.9869771533854</v>
      </c>
      <c r="H15" s="271">
        <v>-1201.5219627018521</v>
      </c>
      <c r="I15" s="271">
        <v>-2.3418157241148947</v>
      </c>
    </row>
    <row r="16" spans="1:9" x14ac:dyDescent="0.35">
      <c r="A16" s="272">
        <v>45382</v>
      </c>
      <c r="B16" s="271">
        <v>-48.516747052608935</v>
      </c>
      <c r="C16" s="271">
        <v>1747.1154202494868</v>
      </c>
      <c r="D16" s="271">
        <v>0</v>
      </c>
      <c r="E16" s="271">
        <v>0</v>
      </c>
      <c r="F16" s="271">
        <v>117.98702133185293</v>
      </c>
      <c r="G16" s="271">
        <v>894.50605672229199</v>
      </c>
      <c r="H16" s="271">
        <v>-1207.0528578113385</v>
      </c>
      <c r="I16" s="271">
        <v>-2.3579339707288796</v>
      </c>
    </row>
    <row r="17" spans="1:9" x14ac:dyDescent="0.35">
      <c r="A17" s="272">
        <v>45473</v>
      </c>
      <c r="B17" s="271">
        <v>-49.051408062100109</v>
      </c>
      <c r="C17" s="271">
        <v>1750.0251722695589</v>
      </c>
      <c r="D17" s="271">
        <v>0</v>
      </c>
      <c r="E17" s="271">
        <v>0</v>
      </c>
      <c r="F17" s="271">
        <v>118.65337071950921</v>
      </c>
      <c r="G17" s="271">
        <v>901.40790144619018</v>
      </c>
      <c r="H17" s="271">
        <v>-1212.595571072779</v>
      </c>
      <c r="I17" s="271">
        <v>-2.3744244847413825</v>
      </c>
    </row>
    <row r="18" spans="1:9" x14ac:dyDescent="0.35">
      <c r="A18" s="272">
        <v>45565</v>
      </c>
      <c r="B18" s="271">
        <v>-49.586069071591282</v>
      </c>
      <c r="C18" s="271">
        <v>1758.7503067615553</v>
      </c>
      <c r="D18" s="271">
        <v>0</v>
      </c>
      <c r="E18" s="271">
        <v>0</v>
      </c>
      <c r="F18" s="271">
        <v>119.31972010716561</v>
      </c>
      <c r="G18" s="271">
        <v>907.31843081540705</v>
      </c>
      <c r="H18" s="271">
        <v>-1218.1678297140711</v>
      </c>
      <c r="I18" s="271">
        <v>-2.3913872340075955</v>
      </c>
    </row>
    <row r="19" spans="1:9" x14ac:dyDescent="0.35">
      <c r="A19" s="272">
        <v>45657</v>
      </c>
      <c r="B19" s="271">
        <v>-50.263360685748466</v>
      </c>
      <c r="C19" s="271">
        <v>1746.1686202239043</v>
      </c>
      <c r="D19" s="271">
        <v>0</v>
      </c>
      <c r="E19" s="271">
        <v>0</v>
      </c>
      <c r="F19" s="271">
        <v>122.81863012191729</v>
      </c>
      <c r="G19" s="271">
        <v>928.2591193620874</v>
      </c>
      <c r="H19" s="271">
        <v>-1223.7696337352338</v>
      </c>
      <c r="I19" s="271">
        <v>-2.3960404726840352</v>
      </c>
    </row>
    <row r="20" spans="1:9" x14ac:dyDescent="0.35">
      <c r="A20" s="272">
        <v>45747</v>
      </c>
      <c r="B20" s="271">
        <v>-50.940652299905764</v>
      </c>
      <c r="C20" s="271">
        <v>1732.860010877263</v>
      </c>
      <c r="D20" s="271">
        <v>0</v>
      </c>
      <c r="E20" s="271">
        <v>0</v>
      </c>
      <c r="F20" s="271">
        <v>126.31754013666887</v>
      </c>
      <c r="G20" s="271">
        <v>945.93679677825025</v>
      </c>
      <c r="H20" s="271">
        <v>-1229.3832559083221</v>
      </c>
      <c r="I20" s="271">
        <v>-2.4067509018543092</v>
      </c>
    </row>
    <row r="21" spans="1:9" x14ac:dyDescent="0.35">
      <c r="A21" s="272">
        <v>45838</v>
      </c>
      <c r="B21" s="271">
        <v>-51.617943914062948</v>
      </c>
      <c r="C21" s="271">
        <v>1722.4590927665818</v>
      </c>
      <c r="D21" s="271">
        <v>0</v>
      </c>
      <c r="E21" s="271">
        <v>0</v>
      </c>
      <c r="F21" s="271">
        <v>129.81645015142067</v>
      </c>
      <c r="G21" s="271">
        <v>960.72388645081946</v>
      </c>
      <c r="H21" s="271">
        <v>-1234.967332701568</v>
      </c>
      <c r="I21" s="271">
        <v>-2.4119507298030953</v>
      </c>
    </row>
    <row r="22" spans="1:9" x14ac:dyDescent="0.35">
      <c r="A22" s="272">
        <v>45930</v>
      </c>
      <c r="B22" s="271">
        <v>-52.295235528220246</v>
      </c>
      <c r="C22" s="271">
        <v>1715.3293272963558</v>
      </c>
      <c r="D22" s="271">
        <v>0</v>
      </c>
      <c r="E22" s="271">
        <v>0</v>
      </c>
      <c r="F22" s="271">
        <v>133.31536016617247</v>
      </c>
      <c r="G22" s="271">
        <v>972.30931933172201</v>
      </c>
      <c r="H22" s="271">
        <v>-1240.5573185707767</v>
      </c>
      <c r="I22" s="271">
        <v>-2.4174937807250103</v>
      </c>
    </row>
    <row r="23" spans="1:9" x14ac:dyDescent="0.35">
      <c r="A23" s="272">
        <v>46022</v>
      </c>
      <c r="B23" s="271">
        <v>-53.000022487512183</v>
      </c>
      <c r="C23" s="271">
        <v>1706.7896741690042</v>
      </c>
      <c r="D23" s="271">
        <v>0</v>
      </c>
      <c r="E23" s="271">
        <v>0</v>
      </c>
      <c r="F23" s="271">
        <v>135.67395143661656</v>
      </c>
      <c r="G23" s="271">
        <v>978.55091008245859</v>
      </c>
      <c r="H23" s="271">
        <v>-1246.1473044399856</v>
      </c>
      <c r="I23" s="271">
        <v>-2.4208822536091361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258</v>
      </c>
      <c r="B1" t="s">
        <v>292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234</v>
      </c>
    </row>
    <row r="3" spans="1:16" x14ac:dyDescent="0.35">
      <c r="B3" s="158" t="s">
        <v>235</v>
      </c>
    </row>
    <row r="4" spans="1:16" x14ac:dyDescent="0.35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240</v>
      </c>
      <c r="C8" s="161"/>
      <c r="D8" s="162">
        <f>SUMPRODUCT(B5:B6,C5:C6)</f>
        <v>0.45</v>
      </c>
    </row>
    <row r="9" spans="1:16" x14ac:dyDescent="0.35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243</v>
      </c>
      <c r="D19" s="158">
        <f>SUMPRODUCT(C15:C17,B15:B17)</f>
        <v>0.86186821348990206</v>
      </c>
    </row>
    <row r="20" spans="1:12" x14ac:dyDescent="0.35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244</v>
      </c>
    </row>
    <row r="23" spans="1:12" x14ac:dyDescent="0.35">
      <c r="A23" s="158" t="s">
        <v>245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246</v>
      </c>
      <c r="C26" s="158">
        <v>1065.5</v>
      </c>
      <c r="D26" s="158">
        <f>C26/C25</f>
        <v>0.18843065822516181</v>
      </c>
    </row>
    <row r="27" spans="1:12" x14ac:dyDescent="0.35">
      <c r="B27" s="158" t="s">
        <v>247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6"/>
      <c r="S8" s="307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35">
      <c r="A15" t="s">
        <v>225</v>
      </c>
      <c r="F15" s="94">
        <f>main!J77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90" t="s">
        <v>209</v>
      </c>
      <c r="B1" s="290"/>
      <c r="C1" s="35"/>
      <c r="H1"/>
      <c r="I1"/>
      <c r="J1"/>
      <c r="X1" t="s">
        <v>28</v>
      </c>
      <c r="Z1" s="308" t="s">
        <v>84</v>
      </c>
      <c r="AA1" s="308"/>
      <c r="AB1" s="308"/>
      <c r="AC1" s="289"/>
      <c r="AD1" s="289"/>
      <c r="AE1" s="289"/>
      <c r="AF1" s="289"/>
    </row>
    <row r="2" spans="1:32" x14ac:dyDescent="0.35">
      <c r="A2" s="309" t="s">
        <v>193</v>
      </c>
      <c r="B2" s="107"/>
      <c r="C2" t="s">
        <v>194</v>
      </c>
    </row>
    <row r="3" spans="1:32" x14ac:dyDescent="0.35">
      <c r="A3" s="309"/>
      <c r="B3" s="108"/>
      <c r="C3" t="s">
        <v>195</v>
      </c>
    </row>
    <row r="4" spans="1:32" x14ac:dyDescent="0.35">
      <c r="A4" s="309"/>
      <c r="B4" s="109"/>
      <c r="C4" t="s">
        <v>196</v>
      </c>
    </row>
    <row r="5" spans="1:32" x14ac:dyDescent="0.35">
      <c r="A5" s="309"/>
      <c r="B5" s="98"/>
      <c r="C5" t="s">
        <v>183</v>
      </c>
    </row>
    <row r="7" spans="1:32" x14ac:dyDescent="0.35">
      <c r="C7" s="299" t="s">
        <v>161</v>
      </c>
      <c r="D7" s="300"/>
      <c r="E7" s="300"/>
      <c r="F7" s="301"/>
      <c r="G7" s="299" t="s">
        <v>167</v>
      </c>
      <c r="H7" s="300"/>
      <c r="I7" s="300"/>
      <c r="J7" s="301"/>
      <c r="K7" s="299" t="s">
        <v>178</v>
      </c>
      <c r="L7" s="300"/>
      <c r="M7" s="300"/>
      <c r="N7" s="301"/>
    </row>
    <row r="8" spans="1:32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186</v>
      </c>
      <c r="B23" s="110"/>
    </row>
    <row r="24" spans="1:12" x14ac:dyDescent="0.35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189</v>
      </c>
      <c r="B31" s="110"/>
    </row>
    <row r="32" spans="1:12" x14ac:dyDescent="0.35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190</v>
      </c>
      <c r="B53" s="105"/>
    </row>
    <row r="54" spans="1:12" x14ac:dyDescent="0.35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191</v>
      </c>
      <c r="B61" s="105"/>
    </row>
    <row r="62" spans="1:12" x14ac:dyDescent="0.35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main!K47/1000</f>
        <v>1086.548</v>
      </c>
      <c r="F70" s="102">
        <f>main!L47/1000</f>
        <v>1212.346</v>
      </c>
      <c r="G70" s="102">
        <f>main!N47/1000</f>
        <v>382.93200834658188</v>
      </c>
      <c r="H70" s="102">
        <f>main!O47/1000</f>
        <v>100.25024999999999</v>
      </c>
      <c r="I70" s="102">
        <f>main!P47/1000</f>
        <v>100.25024999999999</v>
      </c>
      <c r="J70" s="102">
        <f>main!Q47/1000</f>
        <v>100.25024999999999</v>
      </c>
      <c r="K70" s="102">
        <f>main!R47/1000</f>
        <v>100.25024999999999</v>
      </c>
    </row>
    <row r="71" spans="1:11" x14ac:dyDescent="0.35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5" t="s">
        <v>104</v>
      </c>
      <c r="B2" s="315"/>
      <c r="C2" s="315"/>
      <c r="D2" s="315"/>
      <c r="E2" s="315"/>
      <c r="F2" s="315"/>
      <c r="G2" s="315"/>
      <c r="H2" s="315"/>
      <c r="I2" s="315"/>
      <c r="J2" s="315"/>
      <c r="K2" s="77"/>
    </row>
    <row r="3" spans="1:24" x14ac:dyDescent="0.35">
      <c r="A3" s="315" t="s">
        <v>105</v>
      </c>
      <c r="B3" s="315"/>
      <c r="C3" s="315"/>
      <c r="D3" s="315"/>
      <c r="E3" s="315"/>
      <c r="F3" s="315"/>
      <c r="G3" s="315"/>
      <c r="H3" s="315"/>
      <c r="I3" s="315"/>
      <c r="J3" s="315"/>
      <c r="K3" s="77"/>
    </row>
    <row r="4" spans="1:24" ht="15" thickBot="1" x14ac:dyDescent="0.4">
      <c r="A4" s="316"/>
      <c r="B4" s="316"/>
      <c r="C4" s="316"/>
      <c r="D4" s="316"/>
      <c r="E4" s="316"/>
      <c r="F4" s="316"/>
      <c r="G4" s="316"/>
      <c r="H4" s="316"/>
      <c r="I4" s="316"/>
      <c r="J4" s="316"/>
      <c r="K4" s="321" t="s">
        <v>161</v>
      </c>
      <c r="L4" s="321"/>
      <c r="M4" s="321"/>
      <c r="N4" s="321"/>
    </row>
    <row r="5" spans="1:24" x14ac:dyDescent="0.35">
      <c r="A5" s="47"/>
      <c r="B5" s="48"/>
      <c r="C5" s="317" t="s">
        <v>106</v>
      </c>
      <c r="D5" s="318"/>
      <c r="E5" s="318"/>
      <c r="F5" s="318"/>
      <c r="G5" s="318"/>
      <c r="H5" s="318"/>
      <c r="I5" s="318"/>
      <c r="J5" s="319"/>
      <c r="K5" s="78"/>
      <c r="L5" s="320" t="s">
        <v>107</v>
      </c>
      <c r="M5" s="289"/>
      <c r="N5" s="289"/>
    </row>
    <row r="6" spans="1:24" x14ac:dyDescent="0.35">
      <c r="A6" s="1" t="s">
        <v>109</v>
      </c>
      <c r="B6" s="49"/>
      <c r="C6" s="311">
        <v>2020</v>
      </c>
      <c r="D6" s="312"/>
      <c r="E6" s="312"/>
      <c r="F6" s="312"/>
      <c r="G6" s="312"/>
      <c r="H6" s="312"/>
      <c r="I6" s="312"/>
      <c r="J6" s="313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9" t="s">
        <v>9</v>
      </c>
      <c r="L22" s="289"/>
      <c r="M22" s="289"/>
      <c r="N22" s="289"/>
      <c r="O22" s="289" t="s">
        <v>10</v>
      </c>
      <c r="P22" s="289"/>
      <c r="Q22" s="289"/>
      <c r="R22" s="289"/>
      <c r="S22" s="289" t="s">
        <v>11</v>
      </c>
      <c r="T22" s="289"/>
      <c r="U22" s="289"/>
      <c r="V22" s="289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4" t="s">
        <v>108</v>
      </c>
      <c r="L23" s="314"/>
      <c r="M23" s="314"/>
      <c r="N23" s="314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10" t="s">
        <v>260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10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0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0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0" t="s">
        <v>141</v>
      </c>
      <c r="J33" s="85" t="s">
        <v>260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10"/>
      <c r="J34" t="s">
        <v>261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270</v>
      </c>
    </row>
    <row r="37" spans="3:23" x14ac:dyDescent="0.35">
      <c r="C37" t="s">
        <v>271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23" t="s">
        <v>87</v>
      </c>
      <c r="F6" s="323"/>
      <c r="G6" s="323"/>
      <c r="H6" s="323"/>
      <c r="I6" s="323"/>
      <c r="J6" s="323"/>
      <c r="K6" s="323"/>
      <c r="L6" s="323"/>
      <c r="M6" s="323"/>
      <c r="N6" s="323"/>
      <c r="O6" s="323"/>
      <c r="P6" s="323"/>
      <c r="Q6" s="323"/>
      <c r="R6" s="323"/>
    </row>
    <row r="7" spans="1:18" x14ac:dyDescent="0.35">
      <c r="A7" s="322" t="s">
        <v>88</v>
      </c>
      <c r="B7" s="322"/>
      <c r="C7" s="322"/>
      <c r="D7" s="32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22" t="s">
        <v>89</v>
      </c>
      <c r="C8" s="322"/>
      <c r="D8" s="32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22" t="s">
        <v>90</v>
      </c>
      <c r="C9" s="322"/>
      <c r="D9" s="32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22" t="s">
        <v>91</v>
      </c>
      <c r="C10" s="322"/>
      <c r="D10" s="32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22" t="s">
        <v>58</v>
      </c>
      <c r="C11" s="322"/>
      <c r="D11" s="32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22" t="s">
        <v>34</v>
      </c>
      <c r="D13" s="32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22" t="s">
        <v>89</v>
      </c>
      <c r="C19" s="322"/>
      <c r="D19" s="32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22" t="s">
        <v>90</v>
      </c>
      <c r="C20" s="322"/>
      <c r="D20" s="32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22" t="s">
        <v>91</v>
      </c>
      <c r="C21" s="322"/>
      <c r="D21" s="32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22" t="s">
        <v>58</v>
      </c>
      <c r="C22" s="322"/>
      <c r="D22" s="32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4" t="s">
        <v>95</v>
      </c>
      <c r="I27" s="324"/>
      <c r="J27" s="324"/>
      <c r="K27" s="324"/>
      <c r="L27" s="324"/>
      <c r="M27" s="324"/>
      <c r="N27" s="324"/>
      <c r="O27" s="324"/>
      <c r="P27" s="324"/>
      <c r="Q27" s="324"/>
      <c r="R27" s="324"/>
      <c r="S27" s="324"/>
      <c r="T27" s="324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5" t="s">
        <v>99</v>
      </c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25"/>
      <c r="R37" s="325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4" t="s">
        <v>101</v>
      </c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3" t="s">
        <v>32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</row>
    <row r="6" spans="1:19" s="6" customFormat="1" ht="15" customHeight="1" x14ac:dyDescent="0.3">
      <c r="A6" s="305" t="s">
        <v>33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6" t="s">
        <v>34</v>
      </c>
      <c r="S8" s="307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6" t="s">
        <v>42</v>
      </c>
      <c r="E75" s="32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Haver NA</vt:lpstr>
      <vt:lpstr>add-ons calculations</vt:lpstr>
      <vt:lpstr>FIM Add Factors</vt:lpstr>
      <vt:lpstr>main_nipas</vt:lpstr>
      <vt:lpstr>add-ons calculations nipas</vt:lpstr>
      <vt:lpstr>NIPA Add Factors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2020-11-25T14:51:50Z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