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39EC7D18-685B-F446-A7FB-A4EC3E674458}" xr6:coauthVersionLast="46" xr6:coauthVersionMax="46" xr10:uidLastSave="{00000000-0000-0000-0000-000000000000}"/>
  <bookViews>
    <workbookView xWindow="380" yWindow="500" windowWidth="33600" windowHeight="18840" activeTab="11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4" l="1"/>
  <c r="O37" i="4"/>
  <c r="U45" i="4"/>
  <c r="V45" i="4"/>
  <c r="T45" i="4"/>
  <c r="S45" i="4"/>
  <c r="P45" i="4"/>
  <c r="Q45" i="4"/>
  <c r="R45" i="4"/>
  <c r="O45" i="4"/>
  <c r="M12" i="4" l="1"/>
  <c r="M10" i="4"/>
  <c r="M28" i="4" l="1"/>
  <c r="M56" i="1" l="1"/>
  <c r="M62" i="1"/>
  <c r="I55" i="1"/>
  <c r="R31" i="1"/>
  <c r="N31" i="1"/>
  <c r="O86" i="1"/>
  <c r="J2" i="9"/>
  <c r="M34" i="1"/>
  <c r="N56" i="1" l="1"/>
  <c r="N54" i="1" s="1"/>
  <c r="M80" i="1"/>
  <c r="M77" i="1"/>
  <c r="M74" i="1"/>
  <c r="M71" i="1"/>
  <c r="M67" i="1"/>
  <c r="M65" i="1"/>
  <c r="M64" i="1"/>
  <c r="M54" i="1"/>
  <c r="M52" i="1"/>
  <c r="M51" i="1"/>
  <c r="M50" i="1"/>
  <c r="M48" i="1"/>
  <c r="M46" i="1"/>
  <c r="M41" i="1"/>
  <c r="M40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M33" i="1" l="1"/>
  <c r="M42" i="1" l="1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X39" i="11"/>
  <c r="X40" i="11" s="1"/>
  <c r="Y39" i="11"/>
  <c r="Z39" i="11"/>
  <c r="AA39" i="11"/>
  <c r="D39" i="11"/>
  <c r="W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Z40" i="11" l="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M82" i="1"/>
  <c r="M78" i="1"/>
  <c r="G78" i="1"/>
  <c r="H78" i="1"/>
  <c r="I78" i="1"/>
  <c r="J78" i="1"/>
  <c r="K78" i="1"/>
  <c r="L78" i="1"/>
  <c r="L82" i="1"/>
  <c r="K82" i="1"/>
  <c r="N37" i="1" l="1"/>
  <c r="M49" i="1" l="1"/>
  <c r="L49" i="1"/>
  <c r="M72" i="1"/>
  <c r="M55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2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R26" i="5" l="1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M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3" i="9" l="1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72" i="1" l="1"/>
  <c r="K72" i="1"/>
  <c r="J72" i="1"/>
  <c r="I72" i="1"/>
  <c r="H72" i="1"/>
  <c r="G72" i="1"/>
  <c r="F72" i="1"/>
  <c r="L58" i="1"/>
  <c r="G55" i="1"/>
  <c r="H55" i="1"/>
  <c r="J55" i="1"/>
  <c r="K55" i="1"/>
  <c r="L55" i="1"/>
  <c r="L56" i="1" s="1"/>
  <c r="F55" i="1"/>
  <c r="AJ67" i="1"/>
  <c r="AI67" i="1"/>
  <c r="AH67" i="1"/>
  <c r="J76" i="1"/>
  <c r="K76" i="1"/>
  <c r="F15" i="7" s="1"/>
  <c r="J15" i="7" s="1"/>
  <c r="J13" i="7" s="1"/>
  <c r="G76" i="1"/>
  <c r="H76" i="1"/>
  <c r="I76" i="1"/>
  <c r="F76" i="1"/>
  <c r="L62" i="1" l="1"/>
  <c r="E71" i="5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K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M86" i="1"/>
  <c r="F85" i="1"/>
  <c r="F87" i="1" s="1"/>
  <c r="L86" i="1"/>
  <c r="D24" i="5" s="1"/>
  <c r="M39" i="1"/>
  <c r="L39" i="1"/>
  <c r="O74" i="1" l="1"/>
  <c r="M6" i="10" s="1"/>
  <c r="H24" i="11" s="1"/>
  <c r="H27" i="11" s="1"/>
  <c r="N67" i="1"/>
  <c r="E24" i="5"/>
  <c r="M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M66" i="1"/>
  <c r="O39" i="1"/>
  <c r="P39" i="1"/>
  <c r="Q39" i="1"/>
  <c r="R39" i="1"/>
  <c r="N39" i="1"/>
  <c r="P74" i="1" l="1"/>
  <c r="N6" i="10" s="1"/>
  <c r="I24" i="11" s="1"/>
  <c r="I27" i="11" s="1"/>
  <c r="O67" i="1"/>
  <c r="O56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J3" i="9" s="1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3" i="9" a="1"/>
  <c r="D19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P74" i="5"/>
  <c r="Q71" i="5"/>
  <c r="H3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54" i="1"/>
  <c r="S24" i="11" l="1"/>
  <c r="R27" i="11"/>
  <c r="S71" i="5"/>
  <c r="R74" i="5"/>
  <c r="R54" i="1"/>
  <c r="Q54" i="1"/>
  <c r="T24" i="11" l="1"/>
  <c r="S27" i="11"/>
  <c r="T71" i="5"/>
  <c r="S74" i="5"/>
  <c r="G85" i="1"/>
  <c r="G87" i="1" s="1"/>
  <c r="H85" i="1"/>
  <c r="H87" i="1" s="1"/>
  <c r="I85" i="1"/>
  <c r="I87" i="1" s="1"/>
  <c r="J85" i="1"/>
  <c r="J87" i="1" s="1"/>
  <c r="K85" i="1"/>
  <c r="K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L42" i="1"/>
  <c r="K42" i="1"/>
  <c r="J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L29" i="4"/>
  <c r="M11" i="4"/>
  <c r="M29" i="4" s="1"/>
  <c r="N29" i="4" s="1"/>
  <c r="N11" i="4" s="1"/>
  <c r="L28" i="4"/>
  <c r="L37" i="4" s="1"/>
  <c r="L17" i="4" s="1"/>
  <c r="N30" i="4" l="1"/>
  <c r="N12" i="4" s="1"/>
  <c r="F32" i="4"/>
  <c r="F33" i="4" s="1"/>
  <c r="V24" i="11"/>
  <c r="U27" i="11"/>
  <c r="O26" i="4"/>
  <c r="O40" i="4"/>
  <c r="Q26" i="4"/>
  <c r="Q37" i="4"/>
  <c r="Q40" i="4" s="1"/>
  <c r="P26" i="4"/>
  <c r="P37" i="4"/>
  <c r="P40" i="4" s="1"/>
  <c r="R26" i="4"/>
  <c r="R37" i="4"/>
  <c r="R40" i="4" s="1"/>
  <c r="L43" i="1"/>
  <c r="J68" i="1"/>
  <c r="K68" i="1"/>
  <c r="D57" i="5" s="1"/>
  <c r="K43" i="1"/>
  <c r="V71" i="5"/>
  <c r="U74" i="5"/>
  <c r="G47" i="2"/>
  <c r="G33" i="4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AE36" i="1"/>
  <c r="L34" i="4"/>
  <c r="L38" i="4"/>
  <c r="L18" i="4" s="1"/>
  <c r="P18" i="4"/>
  <c r="O38" i="1" s="1"/>
  <c r="O18" i="4"/>
  <c r="N38" i="1" s="1"/>
  <c r="N85" i="1" s="1"/>
  <c r="R18" i="4"/>
  <c r="Q38" i="1" s="1"/>
  <c r="N35" i="1" l="1"/>
  <c r="AD36" i="1"/>
  <c r="M37" i="4"/>
  <c r="M17" i="4" s="1"/>
  <c r="L36" i="1" s="1"/>
  <c r="L35" i="1" s="1"/>
  <c r="Q33" i="1"/>
  <c r="X24" i="11"/>
  <c r="W27" i="11"/>
  <c r="N33" i="1"/>
  <c r="T42" i="1"/>
  <c r="R33" i="1"/>
  <c r="AE33" i="1" s="1"/>
  <c r="O33" i="1"/>
  <c r="M34" i="4"/>
  <c r="X71" i="5"/>
  <c r="W74" i="5"/>
  <c r="N33" i="4"/>
  <c r="N17" i="4" s="1"/>
  <c r="M36" i="1" s="1"/>
  <c r="M35" i="1" s="1"/>
  <c r="N10" i="4"/>
  <c r="AD38" i="1"/>
  <c r="M38" i="4"/>
  <c r="M18" i="4" s="1"/>
  <c r="L38" i="1" s="1"/>
  <c r="N8" i="4"/>
  <c r="N18" i="4"/>
  <c r="M38" i="1" s="1"/>
  <c r="M85" i="1" s="1"/>
  <c r="M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G42" i="1"/>
  <c r="H68" i="1"/>
  <c r="I42" i="1"/>
  <c r="F42" i="1"/>
  <c r="AB33" i="1"/>
  <c r="I47" i="2"/>
  <c r="H47" i="2"/>
  <c r="F24" i="2"/>
  <c r="M2" i="9" l="1" a="1"/>
  <c r="M2" i="9" s="1"/>
  <c r="N30" i="1"/>
  <c r="K3" i="9" a="1"/>
  <c r="K3" i="9" s="1"/>
  <c r="L2" i="9" a="1"/>
  <c r="L2" i="9" s="1"/>
  <c r="L68" i="1"/>
  <c r="E57" i="5" s="1"/>
  <c r="L3" i="10"/>
  <c r="G45" i="11" s="1"/>
  <c r="G48" i="11" s="1"/>
  <c r="Y24" i="11"/>
  <c r="X27" i="11"/>
  <c r="U42" i="1"/>
  <c r="F68" i="1"/>
  <c r="G68" i="1"/>
  <c r="G43" i="1"/>
  <c r="H43" i="1"/>
  <c r="I68" i="1"/>
  <c r="I43" i="1"/>
  <c r="J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AC38" i="1"/>
  <c r="L85" i="1"/>
  <c r="AD33" i="1"/>
  <c r="H49" i="2"/>
  <c r="H50" i="2" s="1"/>
  <c r="AC36" i="1"/>
  <c r="I49" i="2"/>
  <c r="I50" i="2" s="1"/>
  <c r="Z24" i="11" l="1"/>
  <c r="Y27" i="11"/>
  <c r="AC33" i="1"/>
  <c r="Z71" i="5"/>
  <c r="Y74" i="5"/>
  <c r="L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M69" i="1"/>
  <c r="B2" i="12" l="1" a="1"/>
  <c r="B2" i="12" s="1"/>
  <c r="F50" i="5"/>
  <c r="F53" i="5" s="1"/>
  <c r="N18" i="1"/>
  <c r="AC18" i="1"/>
  <c r="AH42" i="1"/>
  <c r="M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M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G24" i="5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3" i="9" l="1" a="1"/>
  <c r="I5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7" i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tc={9A70CCFC-2FF1-6542-8FA3-6F18A9D75CBA}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1.10
</t>
        </r>
      </text>
    </comment>
    <comment ref="L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M56" authorId="3" shapeId="0" xr:uid="{9A70CCFC-2FF1-6542-8FA3-6F18A9D7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this now be the difference between bea legislation and medicaid grants?</t>
      </text>
    </comment>
    <comment ref="L61" authorId="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5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6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83" authorId="7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8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9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0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tc={287E40BF-B36B-2448-B64D-715BA9FBA22E}</author>
    <author>tc={3C125DA7-4F05-46DF-A087-778AC4E0593F}</author>
    <author>tc={978B5991-81D3-BD48-9CDE-5162632510A3}</author>
  </authors>
  <commentList>
    <comment ref="M37" authorId="0" shapeId="0" xr:uid="{287E40BF-B36B-2448-B64D-715BA9FBA22E}">
      <text>
        <t>[Threaded comment]
Your version of Excel allows you to read this threaded comment; however, any edits to it will get removed if the file is opened in a newer version of Excel. Learn more: https://go.microsoft.com/fwlink/?linkid=870924
Comment:
    We’re double counting PEUC I think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  <comment ref="O43" authorId="2" shapeId="0" xr:uid="{978B5991-81D3-BD48-9CDE-5162632510A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<sst xmlns="http://schemas.openxmlformats.org/spreadsheetml/2006/main" count="929" uniqueCount="340">
  <si>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</si>
  <si>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</si>
  <si>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</si>
  <si>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</si>
  <si>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</si>
  <si>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</si>
  <si>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</si>
  <si>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</si>
  <si>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</si>
  <si>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</si>
  <si>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</si>
  <si>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</si>
  <si>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</si>
  <si>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</si>
  <si>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</si>
  <si>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</si>
  <si>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</si>
  <si>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</si>
  <si>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</si>
  <si>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</si>
  <si>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</si>
  <si>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</si>
  <si>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</si>
  <si>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</si>
  <si>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</si>
  <si>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</si>
  <si>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</si>
  <si>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</si>
  <si>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</si>
  <si>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</si>
  <si>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</si>
  <si>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</si>
  <si>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</si>
  <si>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</si>
  <si>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</si>
  <si>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</si>
  <si>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</si>
  <si>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</si>
  <si>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</si>
  <si>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</si>
  <si>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</si>
  <si>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</si>
  <si>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</si>
  <si>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</si>
  <si>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</si>
  <si>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</si>
  <si>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</si>
  <si>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</si>
  <si>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</si>
  <si>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</si>
  <si>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</si>
  <si>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</si>
  <si>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</si>
  <si>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</si>
  <si>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</si>
  <si>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</si>
  <si>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</si>
  <si>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</si>
  <si>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</si>
  <si>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</si>
  <si>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</si>
  <si>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</si>
  <si>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</si>
  <si>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</si>
  <si>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</si>
  <si>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</si>
  <si>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</si>
  <si>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</si>
  <si>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</si>
  <si>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</si>
  <si>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</si>
  <si>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</si>
  <si>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</si>
  <si>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</si>
  <si>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</si>
  <si>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</si>
  <si>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</si>
  <si>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</si>
  <si>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</si>
  <si>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</si>
  <si>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</si>
  <si>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</si>
  <si>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</si>
  <si>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</si>
  <si>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</si>
  <si>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</si>
  <si>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</si>
  <si>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</si>
  <si>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</si>
  <si>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</si>
  <si>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</si>
  <si>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</si>
  <si>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</si>
  <si>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</si>
  <si>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</si>
  <si>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</si>
  <si>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</si>
  <si>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</si>
  <si>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</si>
  <si>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</si>
  <si>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</si>
  <si>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</si>
  <si>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</si>
  <si>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</si>
  <si>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</si>
  <si>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</si>
  <si>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</si>
  <si>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</si>
  <si>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</si>
  <si>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</si>
  <si>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</si>
  <si>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</si>
  <si>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</si>
  <si>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</si>
  <si>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</si>
  <si>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</si>
  <si>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</si>
  <si>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</si>
  <si>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</si>
  <si>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</si>
  <si>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</si>
  <si>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</si>
  <si>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</si>
  <si>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</si>
  <si>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</si>
  <si>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</si>
  <si>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</si>
  <si>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</si>
  <si>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</si>
  <si>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</si>
  <si>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</si>
  <si>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</si>
  <si>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</si>
  <si>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</si>
  <si>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</si>
  <si>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</si>
  <si>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</si>
  <si>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</si>
  <si>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</si>
  <si>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</si>
  <si>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</si>
  <si>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</si>
  <si>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</si>
  <si>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</si>
  <si>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</si>
  <si>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</si>
  <si>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</si>
  <si>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</si>
  <si>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</si>
  <si>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</si>
  <si>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</si>
  <si>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</si>
  <si>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</si>
  <si>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</si>
  <si>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</si>
  <si>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</si>
  <si>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</si>
  <si>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</si>
  <si>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</si>
  <si>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</si>
  <si>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</si>
  <si>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</si>
  <si>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</si>
  <si>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</si>
  <si>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</si>
  <si>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</si>
  <si>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</si>
  <si>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</si>
  <si>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</si>
  <si>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</si>
  <si>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</si>
  <si>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</si>
  <si>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</si>
  <si>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</si>
  <si>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</si>
  <si>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</si>
  <si>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</si>
  <si>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</si>
  <si>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</si>
  <si>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</si>
  <si>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</si>
  <si>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</si>
  <si>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</si>
  <si>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</si>
  <si>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</si>
  <si>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</si>
  <si>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</si>
  <si>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</si>
  <si>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</si>
  <si>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</si>
  <si>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</si>
  <si>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</si>
  <si>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</si>
  <si>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</si>
  <si>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</si>
  <si>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</si>
  <si>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</si>
  <si>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</si>
  <si>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</si>
  <si>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</si>
  <si>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</si>
  <si>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</si>
  <si>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</si>
  <si>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</si>
  <si>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</si>
  <si>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</si>
  <si>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</si>
  <si>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</si>
  <si>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</si>
  <si>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</si>
  <si>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</si>
  <si>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</si>
  <si>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</si>
  <si>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</si>
  <si>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</si>
  <si>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</si>
  <si>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</si>
  <si>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</si>
  <si>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</si>
  <si>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</si>
  <si>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</si>
  <si>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</si>
  <si>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</si>
  <si>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</si>
  <si>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</si>
  <si>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</si>
  <si>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</si>
  <si>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</si>
  <si>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</si>
  <si>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</si>
  <si>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</si>
  <si>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</si>
  <si>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</si>
  <si>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</si>
  <si>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</si>
  <si>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</si>
  <si>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</si>
  <si>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</si>
  <si>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</si>
  <si>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</si>
  <si>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</si>
  <si>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</si>
  <si>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</si>
  <si>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</si>
  <si>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</si>
  <si>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</si>
  <si>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</si>
  <si>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</si>
  <si>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</si>
  <si>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</si>
  <si>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</si>
  <si>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</si>
  <si>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</si>
  <si>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</si>
  <si>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</si>
  <si>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</si>
  <si>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</si>
  <si>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</si>
  <si>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</si>
  <si>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</si>
  <si>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</si>
  <si>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</si>
  <si>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</si>
  <si>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</si>
  <si>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</si>
  <si>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</si>
  <si>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</si>
  <si>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</si>
  <si>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</si>
  <si>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</si>
  <si>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</si>
  <si>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</si>
  <si>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</si>
  <si>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</si>
  <si>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</si>
  <si>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</si>
  <si>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</si>
  <si>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</si>
  <si>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</si>
  <si>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</si>
  <si>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</si>
  <si>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</si>
  <si>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</si>
  <si>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</si>
  <si>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</si>
  <si>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</si>
  <si>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</si>
  <si>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</si>
  <si>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</si>
  <si>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</si>
  <si>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</si>
  <si>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</si>
  <si>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</si>
  <si>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</si>
  <si>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</si>
  <si>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</si>
  <si>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</si>
  <si>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</si>
  <si>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</si>
  <si>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</si>
  <si>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</si>
  <si>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</si>
  <si>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</si>
  <si>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</si>
  <si>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</si>
  <si>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</si>
  <si>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</si>
  <si>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</si>
  <si>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</si>
  <si>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</si>
  <si>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</si>
  <si>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</si>
  <si>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</si>
  <si>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</si>
  <si>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</si>
  <si>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</si>
  <si>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</si>
  <si>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</si>
  <si>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</si>
  <si>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</si>
  <si>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</si>
  <si>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</si>
  <si>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</si>
  <si>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</si>
  <si>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</si>
  <si>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</si>
  <si>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</si>
  <si>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</si>
  <si>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</si>
  <si>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</si>
  <si>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</si>
  <si>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</si>
  <si>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</si>
  <si>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</si>
  <si>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</si>
  <si>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</si>
  <si>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</si>
  <si>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</si>
  <si>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</si>
  <si>
    <t>UNLABELED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</si>
</sst>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6" formatCode="#,##0.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  <xf numFmtId="0" fontId="4" fillId="0" borderId="0" xfId="2" applyFill="1" applyAlignment="1">
      <alignment vertical="center"/>
    </xf>
    <xf numFmtId="4" fontId="0" fillId="0" borderId="0" xfId="0" applyNumberFormat="1"/>
    <xf numFmtId="176" fontId="0" fillId="0" borderId="0" xfId="0" applyNumberForma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3" dT="2020-10-29T15:30:32.00" personId="{2D35AFA9-F227-4AE7-B9A7-D673D9D18C70}" id="{7314685E-335E-47AA-B478-1BA6ABF2BDA3}">
    <text>BEA has 771k for total UI but not including Trump UI. Add trump UI for the real total</text>
  </threadedComment>
  <threadedComment ref="L56" dT="2020-09-10T19:09:05.64" personId="{2D35AFA9-F227-4AE7-B9A7-D673D9D18C70}" id="{2D81BDF9-A0D8-4A1A-915B-91D32E8E61FF}">
    <text>grow with nom purchases</text>
  </threadedComment>
  <threadedComment ref="M56" dT="2021-01-14T16:49:01.56" personId="{CE7965FB-6D9A-C247-A3AE-EA28428512F3}" id="{9A70CCFC-2FF1-6542-8FA3-6F18A9D75CBA}">
    <text>Shouldn’t this now be the difference between bea legislation and medicaid grants?</text>
  </threadedComment>
  <threadedComment ref="L61" dT="2020-10-27T15:26:37.39" personId="{2D35AFA9-F227-4AE7-B9A7-D673D9D18C70}" id="{33EF6DF5-9556-47EC-86E1-A12FDBDC0AA8}">
    <text>CBO indicated 17 for q2? why do we split the quarter 3 payments into q2?</text>
  </threadedComment>
  <threadedComment ref="L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M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37" dT="2021-01-14T19:06:43.60" personId="{CE7965FB-6D9A-C247-A3AE-EA28428512F3}" id="{287E40BF-B36B-2448-B64D-715BA9FBA22E}">
    <text>We’re double counting PEUC I think</text>
  </threadedComment>
  <threadedComment ref="O37" dT="2020-10-19T15:28:22.85" personId="{2D35AFA9-F227-4AE7-B9A7-D673D9D18C70}" id="{3C125DA7-4F05-46DF-A087-778AC4E0593F}">
    <text>why is federal including total legislation *and* also PEUC?</text>
  </threadedComment>
  <threadedComment ref="O43" dT="2020-10-19T15:00:30.46" personId="{2D35AFA9-F227-4AE7-B9A7-D673D9D18C70}" id="{978B5991-81D3-BD48-9CDE-5162632510A3}">
    <text>where is this sourced?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85" zoomScaleNormal="110" workbookViewId="0">
      <pane xSplit="2" ySplit="3" topLeftCell="D28" activePane="bottomRight" state="frozen"/>
      <selection pane="topRight" activeCell="C1" sqref="C1"/>
      <selection pane="bottomLeft" activeCell="A4" sqref="A4"/>
      <selection pane="bottomRight" activeCell="N35" sqref="N35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31" width="8.83203125" customWidth="1"/>
    <col min="32" max="32" width="15.5" hidden="1" customWidth="1"/>
    <col min="33" max="33" width="10.5" hidden="1" customWidth="1"/>
    <col min="38" max="38" width="8.6640625" style="146"/>
  </cols>
  <sheetData>
    <row r="1" spans="1:42" ht="19" x14ac:dyDescent="0.25">
      <c r="A1" s="287" t="s">
        <v>163</v>
      </c>
      <c r="B1" s="287"/>
      <c r="C1" s="281"/>
      <c r="D1" s="281"/>
      <c r="E1" s="35"/>
      <c r="M1" t="s">
        <v>338</v>
      </c>
      <c r="AB1" s="179" t="s">
        <v>249</v>
      </c>
      <c r="AC1" s="289" t="s">
        <v>247</v>
      </c>
      <c r="AD1" s="289"/>
      <c r="AE1" s="289"/>
      <c r="AF1" t="s">
        <v>28</v>
      </c>
      <c r="AH1" s="290" t="s">
        <v>282</v>
      </c>
      <c r="AI1" s="290"/>
      <c r="AJ1" s="290"/>
      <c r="AK1" s="290"/>
      <c r="AL1" s="288" t="s">
        <v>280</v>
      </c>
      <c r="AM1" s="288"/>
      <c r="AN1" s="288"/>
      <c r="AO1" s="288"/>
    </row>
    <row r="2" spans="1:42" x14ac:dyDescent="0.2">
      <c r="F2" s="286" t="s">
        <v>21</v>
      </c>
      <c r="G2" s="286"/>
      <c r="H2" s="286"/>
      <c r="I2" s="286"/>
      <c r="J2" s="286" t="s">
        <v>9</v>
      </c>
      <c r="K2" s="286"/>
      <c r="L2" s="286"/>
      <c r="M2" s="286"/>
      <c r="N2" s="286" t="s">
        <v>10</v>
      </c>
      <c r="O2" s="286"/>
      <c r="P2" s="286"/>
      <c r="Q2" s="286"/>
      <c r="R2" s="286" t="s">
        <v>11</v>
      </c>
      <c r="S2" s="286"/>
      <c r="T2" s="286"/>
      <c r="U2" s="286"/>
      <c r="V2" s="286" t="s">
        <v>268</v>
      </c>
      <c r="W2" s="286"/>
      <c r="X2" s="286"/>
      <c r="Y2" s="286"/>
      <c r="Z2" s="229"/>
      <c r="AA2" s="229"/>
      <c r="AB2" s="156"/>
      <c r="AC2" s="286" t="s">
        <v>102</v>
      </c>
      <c r="AD2" s="286"/>
      <c r="AE2" s="286"/>
      <c r="AF2" s="156"/>
      <c r="AG2" s="156" t="s">
        <v>21</v>
      </c>
      <c r="AH2" s="286" t="s">
        <v>102</v>
      </c>
      <c r="AI2" s="286"/>
      <c r="AJ2" s="286"/>
      <c r="AK2" s="230"/>
    </row>
    <row r="3" spans="1:42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9" x14ac:dyDescent="0.25">
      <c r="A4" s="285" t="s">
        <v>264</v>
      </c>
      <c r="B4" s="285"/>
      <c r="C4" s="281"/>
      <c r="D4" s="281"/>
      <c r="F4" s="199"/>
      <c r="G4" s="199"/>
      <c r="H4" s="199"/>
      <c r="I4" s="199"/>
      <c r="J4" s="199"/>
      <c r="K4" s="199"/>
      <c r="L4" s="199"/>
      <c r="M4" s="199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2">
      <c r="A5" t="s">
        <v>261</v>
      </c>
      <c r="B5" t="s">
        <v>284</v>
      </c>
      <c r="C5" s="35" t="s">
        <v>295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ht="12" x14ac:dyDescent="0.15">
      <c r="A6" s="170" t="s">
        <v>216</v>
      </c>
      <c r="C6" s="282"/>
      <c r="D6" s="282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2">
      <c r="A7" t="s">
        <v>262</v>
      </c>
      <c r="B7" t="s">
        <v>284</v>
      </c>
      <c r="C7" s="35" t="s">
        <v>296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2">
      <c r="F9" s="199"/>
      <c r="G9" s="199"/>
      <c r="H9" s="199"/>
      <c r="I9" s="199"/>
      <c r="J9" s="199"/>
      <c r="K9" s="199"/>
      <c r="L9" s="199"/>
      <c r="M9" s="199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C10" s="146"/>
      <c r="AH10" s="146"/>
    </row>
    <row r="11" spans="1:42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2">
      <c r="A12" s="218" t="s">
        <v>25</v>
      </c>
      <c r="B12" t="s">
        <v>284</v>
      </c>
      <c r="C12" t="s">
        <v>297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AVERAGE(F12:I12)</f>
        <v>1686.4999999999998</v>
      </c>
      <c r="AC12" s="181">
        <f>AVERAGE(J12,K12,L12,M12)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AVERAGE(F12:I12)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2">
      <c r="A13" s="219" t="s">
        <v>216</v>
      </c>
      <c r="C13" s="282"/>
      <c r="D13" s="282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2">
      <c r="A14" s="218" t="s">
        <v>26</v>
      </c>
      <c r="B14" t="s">
        <v>284</v>
      </c>
      <c r="C14" t="s">
        <v>298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AVERAGE(F14:I14)</f>
        <v>174.75000000000003</v>
      </c>
      <c r="AC14" s="181">
        <f>AVERAGE(J14,K14,L14,M14)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AVERAGE(F14:I14)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2">
      <c r="A15" s="219" t="s">
        <v>216</v>
      </c>
      <c r="C15" s="282"/>
      <c r="D15" s="282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2">
      <c r="A16" s="218" t="s">
        <v>27</v>
      </c>
      <c r="B16" t="s">
        <v>284</v>
      </c>
      <c r="C16" t="s">
        <v>299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AVERAGE(F16:I16)</f>
        <v>1388.075</v>
      </c>
      <c r="AC16" s="181">
        <f>AVERAGE(J16,K16,L16,M16)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AVERAGE(F16:I16)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2">
      <c r="A17" s="219" t="s">
        <v>216</v>
      </c>
      <c r="C17" s="282"/>
      <c r="D17" s="282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2">
      <c r="A18" s="177" t="s">
        <v>0</v>
      </c>
      <c r="B18" t="s">
        <v>284</v>
      </c>
      <c r="C18" t="s">
        <v>300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AVERAGE(F18:I18)</f>
        <v>218.57500000000002</v>
      </c>
      <c r="AC18" s="181">
        <f>AVERAGE(J18,K18,L18,M18)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AVERAGE(F18:I18)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2">
      <c r="A19" s="178" t="s">
        <v>216</v>
      </c>
      <c r="C19" s="282"/>
      <c r="D19" s="282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2">
      <c r="A20" s="170"/>
      <c r="C20" s="282"/>
      <c r="D20" s="282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2">
      <c r="A21" t="s">
        <v>265</v>
      </c>
      <c r="C21" s="282"/>
      <c r="D21" s="282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2">
      <c r="A23" s="218" t="s">
        <v>22</v>
      </c>
      <c r="C23" t="s">
        <v>301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2">
      <c r="A24" s="218" t="s">
        <v>23</v>
      </c>
      <c r="C24" t="s">
        <v>302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2">
      <c r="A25" s="218" t="s">
        <v>24</v>
      </c>
      <c r="C25" t="s">
        <v>303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2">
      <c r="A26" s="177" t="s">
        <v>0</v>
      </c>
      <c r="C26" t="s">
        <v>304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2">
      <c r="A28" s="196"/>
      <c r="B28" s="197"/>
      <c r="C28" s="282"/>
      <c r="D28" s="282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32" x14ac:dyDescent="0.2">
      <c r="A30" s="86" t="s">
        <v>14</v>
      </c>
      <c r="B30" t="s">
        <v>284</v>
      </c>
      <c r="C30" t="s">
        <v>305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AVERAGE(F30:I30)/1000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ht="16" x14ac:dyDescent="0.2">
      <c r="A31" s="86" t="s">
        <v>3</v>
      </c>
      <c r="B31" t="s">
        <v>284</v>
      </c>
      <c r="C31" t="s">
        <v>306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AVERAGE(F31:I31)/1000</f>
        <v>772.56600000000003</v>
      </c>
      <c r="AC31" s="45">
        <f>AVERAGE(J31:M31)/1000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ht="16" x14ac:dyDescent="0.2">
      <c r="A32" s="93" t="s">
        <v>20</v>
      </c>
      <c r="B32" t="s">
        <v>284</v>
      </c>
      <c r="C32" t="s">
        <v>307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AVERAGE(J32:M32)/1000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ht="16" x14ac:dyDescent="0.2">
      <c r="A33" s="86" t="s">
        <v>141</v>
      </c>
      <c r="F33" s="204">
        <v>27025</v>
      </c>
      <c r="G33" s="204">
        <v>28029</v>
      </c>
      <c r="H33" s="204">
        <v>27483</v>
      </c>
      <c r="I33" s="204">
        <v>27578</v>
      </c>
      <c r="J33" s="204">
        <v>27884</v>
      </c>
      <c r="K33" s="204">
        <v>43429</v>
      </c>
      <c r="L33" s="204">
        <v>1112564</v>
      </c>
      <c r="M33" s="199">
        <f>M34+M37</f>
        <v>874878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AVERAGE(F33:I33)/1000</f>
        <v>27.528749999999999</v>
      </c>
      <c r="AC33" s="45">
        <f>AVERAGE(J33:M33)/1000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ht="16" x14ac:dyDescent="0.2">
      <c r="A34" s="115" t="s">
        <v>336</v>
      </c>
      <c r="B34" t="s">
        <v>284</v>
      </c>
      <c r="C34" t="s">
        <v>308</v>
      </c>
      <c r="D34"/>
      <c r="F34" s="204"/>
      <c r="G34" s="204"/>
      <c r="H34" s="204"/>
      <c r="I34" s="204"/>
      <c r="J34" s="204"/>
      <c r="K34" s="204"/>
      <c r="L34" s="204"/>
      <c r="M34" s="199">
        <f>VLOOKUP(C34,'Haver NA'!$A$1:$I$34,9,0)</f>
        <v>768678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ht="16" x14ac:dyDescent="0.2">
      <c r="A35" s="117" t="s">
        <v>213</v>
      </c>
      <c r="F35" s="204"/>
      <c r="G35" s="204"/>
      <c r="H35" s="204"/>
      <c r="I35" s="204"/>
      <c r="J35" s="204"/>
      <c r="K35" s="204"/>
      <c r="L35" s="204">
        <f>L36+L37</f>
        <v>834933.33333333326</v>
      </c>
      <c r="M35" s="199">
        <f>M36+M37</f>
        <v>738200</v>
      </c>
      <c r="N35" s="87">
        <f t="shared" ref="N35:R35" si="26">N36+N37</f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ht="16" x14ac:dyDescent="0.2">
      <c r="A36" s="283" t="s">
        <v>138</v>
      </c>
      <c r="F36" s="204"/>
      <c r="G36" s="204"/>
      <c r="H36" s="204"/>
      <c r="I36" s="204"/>
      <c r="J36" s="204">
        <v>0</v>
      </c>
      <c r="K36" s="204">
        <v>0</v>
      </c>
      <c r="L36" s="204">
        <f>'figuring out UI'!M17*1000</f>
        <v>834933.33333333326</v>
      </c>
      <c r="M36" s="199">
        <f>1000*'figuring out UI'!N17</f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AVERAGE(J36:M36)/1000</f>
        <v>366.73333333333329</v>
      </c>
      <c r="AD36" s="45">
        <f>AVERAGE(N36:Q36)/1000</f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ht="16" x14ac:dyDescent="0.2">
      <c r="A37" s="283" t="s">
        <v>162</v>
      </c>
      <c r="F37" s="204"/>
      <c r="G37" s="204"/>
      <c r="H37" s="204"/>
      <c r="I37" s="204"/>
      <c r="J37" s="204"/>
      <c r="K37" s="204"/>
      <c r="L37" s="204"/>
      <c r="M37" s="199">
        <v>106200</v>
      </c>
      <c r="N37" s="87">
        <f>(44000*4)-M37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ht="16" x14ac:dyDescent="0.2">
      <c r="A38" s="117" t="s">
        <v>139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UI'!M18*1000</f>
        <v>277600</v>
      </c>
      <c r="M38" s="199">
        <f>1000*'figuring out UI'!N18</f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AVERAGE(J38:M38)/1000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32" x14ac:dyDescent="0.2">
      <c r="A39" s="86" t="s">
        <v>147</v>
      </c>
      <c r="F39" s="204"/>
      <c r="G39" s="204"/>
      <c r="H39" s="204"/>
      <c r="I39" s="204"/>
      <c r="J39" s="204">
        <v>0</v>
      </c>
      <c r="K39" s="204">
        <v>0</v>
      </c>
      <c r="L39" s="204">
        <f>SUM(L40:L41)</f>
        <v>179900</v>
      </c>
      <c r="M39" s="199">
        <f>SUM(M40:M41)</f>
        <v>85400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AVERAGE(J39:M39)/1000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ht="16" x14ac:dyDescent="0.2">
      <c r="A40" s="117" t="s">
        <v>206</v>
      </c>
      <c r="B40" t="s">
        <v>284</v>
      </c>
      <c r="C40" t="s">
        <v>309</v>
      </c>
      <c r="D40"/>
      <c r="F40" s="204"/>
      <c r="G40" s="204"/>
      <c r="H40" s="204"/>
      <c r="I40" s="204"/>
      <c r="J40" s="204"/>
      <c r="K40" s="204"/>
      <c r="L40" s="204">
        <v>19000</v>
      </c>
      <c r="M40" s="199">
        <f>VLOOKUP(C40,'Haver NA'!$A$1:$I$34,9,0)</f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16" x14ac:dyDescent="0.2">
      <c r="A41" s="117" t="s">
        <v>207</v>
      </c>
      <c r="B41" t="s">
        <v>284</v>
      </c>
      <c r="C41" t="s">
        <v>310</v>
      </c>
      <c r="D41"/>
      <c r="F41" s="204"/>
      <c r="G41" s="204"/>
      <c r="H41" s="204"/>
      <c r="I41" s="204"/>
      <c r="J41" s="204"/>
      <c r="K41" s="204"/>
      <c r="L41" s="204">
        <v>160900</v>
      </c>
      <c r="M41" s="199">
        <f>VLOOKUP(C41,'Haver NA'!$A$1:$I$34,9,0)</f>
        <v>58400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48" x14ac:dyDescent="0.2">
      <c r="A42" s="86" t="s">
        <v>149</v>
      </c>
      <c r="F42" s="199">
        <f>F30-F32-F33-F31</f>
        <v>1440187</v>
      </c>
      <c r="G42" s="199">
        <f>G30-G32-G33-G31</f>
        <v>1503410</v>
      </c>
      <c r="H42" s="203">
        <f>H30-H32-H33-H31</f>
        <v>1508652</v>
      </c>
      <c r="I42" s="199">
        <f>I30-I32-I33-I31</f>
        <v>1513957</v>
      </c>
      <c r="J42" s="203">
        <f>J30-J32-J33-J31-J39</f>
        <v>1521941</v>
      </c>
      <c r="K42" s="203">
        <f>K30-K32-K33-K31-K39</f>
        <v>1574462</v>
      </c>
      <c r="L42" s="203">
        <f>L30-L32-L33-L31-L39</f>
        <v>1620732</v>
      </c>
      <c r="M42" s="204">
        <f>M30-M32-M33-M31-M39</f>
        <v>1669514</v>
      </c>
      <c r="N42" s="88">
        <f>M42*(1+N44)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AVERAGE(J42:M42)/1000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1671.0682458472502</v>
      </c>
      <c r="AN42">
        <f>AJ42/AH42*AC42</f>
        <v>1711.6524753198171</v>
      </c>
    </row>
    <row r="43" spans="1:40" s="171" customFormat="1" x14ac:dyDescent="0.2">
      <c r="A43" s="170" t="s">
        <v>216</v>
      </c>
      <c r="C43" s="282"/>
      <c r="D43" s="282"/>
      <c r="F43" s="234"/>
      <c r="G43" s="236">
        <f>G42/F42-1</f>
        <v>4.3899160317375507E-2</v>
      </c>
      <c r="H43" s="236">
        <f t="shared" ref="H43:L43" si="31">H42/G42-1</f>
        <v>3.4867401440725754E-3</v>
      </c>
      <c r="I43" s="236">
        <f t="shared" si="31"/>
        <v>3.5163841628156334E-3</v>
      </c>
      <c r="J43" s="236">
        <f t="shared" si="31"/>
        <v>5.2735975988749129E-3</v>
      </c>
      <c r="K43" s="236">
        <f t="shared" si="31"/>
        <v>3.4509222105193249E-2</v>
      </c>
      <c r="L43" s="236">
        <f t="shared" si="31"/>
        <v>2.938781628264131E-2</v>
      </c>
      <c r="M43" s="199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2">
      <c r="A44" s="170" t="s">
        <v>271</v>
      </c>
      <c r="F44" s="209"/>
      <c r="G44" s="209"/>
      <c r="H44" s="209"/>
      <c r="I44" s="209"/>
      <c r="J44" s="202"/>
      <c r="K44" s="202"/>
      <c r="L44" s="202"/>
      <c r="M44" s="199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1671.7532500000002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14" customHeight="1" x14ac:dyDescent="0.2">
      <c r="A45"/>
      <c r="B45"/>
      <c r="E45"/>
      <c r="F45" s="199"/>
      <c r="G45" s="199"/>
      <c r="H45" s="199"/>
      <c r="I45" s="199"/>
      <c r="J45" s="199"/>
      <c r="K45" s="199"/>
      <c r="L45" s="199"/>
      <c r="M45" s="199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5"/>
    </row>
    <row r="46" spans="1:40" s="35" customFormat="1" x14ac:dyDescent="0.2">
      <c r="A46" s="141" t="s">
        <v>4</v>
      </c>
      <c r="B46" s="141" t="s">
        <v>284</v>
      </c>
      <c r="C46" t="s">
        <v>311</v>
      </c>
      <c r="D46"/>
      <c r="E46" s="141"/>
      <c r="F46" s="199">
        <v>79458</v>
      </c>
      <c r="G46" s="199">
        <v>71318</v>
      </c>
      <c r="H46" s="199">
        <v>61083</v>
      </c>
      <c r="I46" s="204">
        <v>81998</v>
      </c>
      <c r="J46" s="204">
        <v>81147</v>
      </c>
      <c r="K46" s="204">
        <v>75093</v>
      </c>
      <c r="L46" s="204">
        <v>1086548</v>
      </c>
      <c r="M46" s="204">
        <f>VLOOKUP(C46,'Haver NA'!$A$1:$I$34,9,0)</f>
        <v>1213308</v>
      </c>
      <c r="N46" s="144">
        <f t="shared" ref="N46:V46" si="32">N47+AVERAGE($H$46:$K$46)</f>
        <v>382932.00834658189</v>
      </c>
      <c r="O46" s="144">
        <f t="shared" si="32"/>
        <v>100250.25</v>
      </c>
      <c r="P46" s="144">
        <f t="shared" si="32"/>
        <v>100250.25</v>
      </c>
      <c r="Q46" s="144">
        <f t="shared" si="32"/>
        <v>100250.25</v>
      </c>
      <c r="R46" s="144">
        <f t="shared" si="32"/>
        <v>100250.25</v>
      </c>
      <c r="S46" s="144">
        <f t="shared" si="32"/>
        <v>74830.25</v>
      </c>
      <c r="T46" s="144">
        <f t="shared" si="32"/>
        <v>74830.25</v>
      </c>
      <c r="U46" s="144">
        <f t="shared" si="32"/>
        <v>74830.25</v>
      </c>
      <c r="V46" s="144">
        <f t="shared" si="32"/>
        <v>74830.25</v>
      </c>
      <c r="W46" s="44"/>
      <c r="X46" s="44"/>
      <c r="Y46" s="44"/>
      <c r="Z46" s="44"/>
      <c r="AA46" s="44"/>
      <c r="AB46" s="44">
        <f>AVERAGE(F46:I46)/1000</f>
        <v>73.464250000000007</v>
      </c>
      <c r="AC46" s="44"/>
      <c r="AD46" s="44"/>
      <c r="AE46" s="44"/>
      <c r="AL46" s="243"/>
    </row>
    <row r="47" spans="1:40" s="35" customFormat="1" ht="16" x14ac:dyDescent="0.2">
      <c r="A47" s="134" t="s">
        <v>201</v>
      </c>
      <c r="F47" s="199"/>
      <c r="G47" s="199"/>
      <c r="H47" s="199"/>
      <c r="I47" s="204"/>
      <c r="J47" s="204"/>
      <c r="K47" s="204"/>
      <c r="L47" s="204"/>
      <c r="M47" s="204">
        <f>M48+M49</f>
        <v>1093900</v>
      </c>
      <c r="N47" s="116">
        <f t="shared" ref="N47:V47" si="33">N48+N49</f>
        <v>308101.75834658189</v>
      </c>
      <c r="O47" s="116">
        <f t="shared" si="33"/>
        <v>25420</v>
      </c>
      <c r="P47" s="116">
        <f t="shared" si="33"/>
        <v>25420</v>
      </c>
      <c r="Q47" s="116">
        <f t="shared" si="33"/>
        <v>25420</v>
      </c>
      <c r="R47" s="116">
        <f t="shared" si="33"/>
        <v>25420</v>
      </c>
      <c r="S47" s="116">
        <f t="shared" si="33"/>
        <v>0</v>
      </c>
      <c r="T47" s="116">
        <f t="shared" si="33"/>
        <v>0</v>
      </c>
      <c r="U47" s="116">
        <f t="shared" si="33"/>
        <v>0</v>
      </c>
      <c r="V47" s="116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3"/>
    </row>
    <row r="48" spans="1:40" s="35" customFormat="1" ht="16" x14ac:dyDescent="0.2">
      <c r="A48" s="227" t="s">
        <v>274</v>
      </c>
      <c r="C48" t="s">
        <v>312</v>
      </c>
      <c r="D48"/>
      <c r="F48" s="199"/>
      <c r="G48" s="199"/>
      <c r="H48" s="199"/>
      <c r="I48" s="204"/>
      <c r="J48" s="204"/>
      <c r="K48" s="204"/>
      <c r="L48" s="204">
        <v>609300</v>
      </c>
      <c r="M48" s="199">
        <f>VLOOKUP(C48,'Haver NA'!$A$1:$I$34,9,0)</f>
        <v>865600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ht="27.5" customHeight="1" x14ac:dyDescent="0.2">
      <c r="A49" s="228" t="s">
        <v>275</v>
      </c>
      <c r="C49" t="s">
        <v>337</v>
      </c>
      <c r="D49"/>
      <c r="F49" s="199"/>
      <c r="G49" s="199"/>
      <c r="H49" s="199"/>
      <c r="I49" s="204"/>
      <c r="J49" s="204"/>
      <c r="K49" s="204"/>
      <c r="L49" s="204">
        <f>SUM(L50:L52)</f>
        <v>277100</v>
      </c>
      <c r="M49" s="199">
        <f>SUM(M50:M52)</f>
        <v>228300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187" customFormat="1" x14ac:dyDescent="0.2">
      <c r="A50" s="263" t="s">
        <v>285</v>
      </c>
      <c r="B50" s="187" t="s">
        <v>284</v>
      </c>
      <c r="C50" t="s">
        <v>313</v>
      </c>
      <c r="D50"/>
      <c r="F50" s="209"/>
      <c r="G50" s="209"/>
      <c r="H50" s="209"/>
      <c r="I50" s="264"/>
      <c r="J50" s="264"/>
      <c r="K50" s="264"/>
      <c r="L50" s="264">
        <v>63800</v>
      </c>
      <c r="M50" s="199">
        <f>VLOOKUP(C50,'Haver NA'!$A$1:$I$34,9,0)</f>
        <v>15000</v>
      </c>
      <c r="N50" s="265"/>
      <c r="O50" s="265"/>
      <c r="P50" s="265"/>
      <c r="Q50" s="265"/>
      <c r="R50" s="265"/>
      <c r="S50" s="265"/>
      <c r="T50" s="265"/>
      <c r="U50" s="265"/>
      <c r="V50" s="265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L50" s="244"/>
    </row>
    <row r="51" spans="1:38" s="187" customFormat="1" x14ac:dyDescent="0.2">
      <c r="A51" s="263" t="s">
        <v>286</v>
      </c>
      <c r="B51" s="187" t="s">
        <v>284</v>
      </c>
      <c r="C51" t="s">
        <v>314</v>
      </c>
      <c r="D51"/>
      <c r="F51" s="209"/>
      <c r="G51" s="209"/>
      <c r="H51" s="209"/>
      <c r="I51" s="264"/>
      <c r="J51" s="264"/>
      <c r="K51" s="264"/>
      <c r="L51" s="264">
        <v>73300</v>
      </c>
      <c r="M51" s="199">
        <f>VLOOKUP(C51,'Haver NA'!$A$1:$I$34,9,0)</f>
        <v>73300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2">
      <c r="A52" s="263" t="s">
        <v>287</v>
      </c>
      <c r="B52" s="187" t="s">
        <v>284</v>
      </c>
      <c r="C52" t="s">
        <v>315</v>
      </c>
      <c r="D52"/>
      <c r="F52" s="209"/>
      <c r="G52" s="209"/>
      <c r="H52" s="209"/>
      <c r="I52" s="264"/>
      <c r="J52" s="264"/>
      <c r="K52" s="264"/>
      <c r="L52" s="264">
        <v>140000</v>
      </c>
      <c r="M52" s="199">
        <f>VLOOKUP(C52,'Haver NA'!$A$1:$I$34,9,0)</f>
        <v>140000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35" customFormat="1" x14ac:dyDescent="0.2">
      <c r="A53" s="134"/>
      <c r="F53" s="199"/>
      <c r="G53" s="199"/>
      <c r="H53" s="199"/>
      <c r="I53" s="204"/>
      <c r="J53" s="204"/>
      <c r="K53" s="204"/>
      <c r="L53" s="204"/>
      <c r="M53" s="199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3"/>
    </row>
    <row r="54" spans="1:38" s="35" customFormat="1" x14ac:dyDescent="0.2">
      <c r="A54" s="35" t="s">
        <v>16</v>
      </c>
      <c r="B54" s="35" t="s">
        <v>284</v>
      </c>
      <c r="C54" t="s">
        <v>316</v>
      </c>
      <c r="D54"/>
      <c r="F54" s="199">
        <v>586475</v>
      </c>
      <c r="G54" s="199">
        <v>594213</v>
      </c>
      <c r="H54" s="199">
        <v>612547</v>
      </c>
      <c r="I54" s="204">
        <v>610331</v>
      </c>
      <c r="J54" s="204">
        <v>615406</v>
      </c>
      <c r="K54" s="204">
        <v>627805</v>
      </c>
      <c r="L54" s="204">
        <v>1396890</v>
      </c>
      <c r="M54" s="199">
        <f>VLOOKUP(C54,'Haver NA'!$A$1:$I$34,9,0)</f>
        <v>728172</v>
      </c>
      <c r="N54" s="116">
        <f>N56+(SUM($M$58:$R$58))/4/6*4</f>
        <v>270372.88477706735</v>
      </c>
      <c r="O54" s="116">
        <f>O56+(SUM($M$58:$R$58))/4/6*4</f>
        <v>271140.99544764287</v>
      </c>
      <c r="P54" s="116">
        <f>P56+(SUM($M$58:$R$58))/4/6*4</f>
        <v>272022.43392207247</v>
      </c>
      <c r="Q54" s="116">
        <f>Q56+(SUM($M$58:$R$58))/4/6*4</f>
        <v>273054.97613497748</v>
      </c>
      <c r="R54" s="116">
        <f>R56+(SUM($M$58:$R$58))/4/6*4</f>
        <v>274544.37969325099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AVERAGE(F54:I54)/1000</f>
        <v>600.89149999999995</v>
      </c>
      <c r="AC54" s="44"/>
      <c r="AD54" s="44"/>
      <c r="AE54" s="44"/>
      <c r="AL54" s="243"/>
    </row>
    <row r="55" spans="1:38" s="35" customFormat="1" x14ac:dyDescent="0.2">
      <c r="A55" s="35" t="s">
        <v>229</v>
      </c>
      <c r="F55" s="205">
        <f>F54-F67</f>
        <v>196851</v>
      </c>
      <c r="G55" s="205">
        <f t="shared" ref="G55:M55" si="34">G54-G67</f>
        <v>189684</v>
      </c>
      <c r="H55" s="205">
        <f t="shared" si="34"/>
        <v>192875</v>
      </c>
      <c r="I55" s="205">
        <f>I54-I67</f>
        <v>191507</v>
      </c>
      <c r="J55" s="205">
        <f t="shared" si="34"/>
        <v>203997</v>
      </c>
      <c r="K55" s="205">
        <f t="shared" si="34"/>
        <v>204376</v>
      </c>
      <c r="L55" s="205">
        <f t="shared" si="34"/>
        <v>884250</v>
      </c>
      <c r="M55" s="199">
        <f t="shared" si="34"/>
        <v>242100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3"/>
    </row>
    <row r="56" spans="1:38" s="35" customFormat="1" x14ac:dyDescent="0.2">
      <c r="A56" s="136" t="s">
        <v>230</v>
      </c>
      <c r="F56" s="199"/>
      <c r="G56" s="199"/>
      <c r="H56" s="199"/>
      <c r="I56" s="204"/>
      <c r="J56" s="204"/>
      <c r="K56" s="204"/>
      <c r="L56" s="204">
        <f>L55-L57</f>
        <v>192250</v>
      </c>
      <c r="M56" s="199">
        <f>L56*(1+M66)</f>
        <v>189950.61436735778</v>
      </c>
      <c r="N56" s="116">
        <f>M56*(1+N66)</f>
        <v>191372.88477706735</v>
      </c>
      <c r="O56" s="116">
        <f t="shared" ref="O56:R56" si="35">N56*(1+O66)</f>
        <v>192140.9954476429</v>
      </c>
      <c r="P56" s="116">
        <f t="shared" si="35"/>
        <v>193022.43392207247</v>
      </c>
      <c r="Q56" s="116">
        <f t="shared" si="35"/>
        <v>194054.97613497748</v>
      </c>
      <c r="R56" s="116">
        <f t="shared" si="35"/>
        <v>195544.37969325102</v>
      </c>
      <c r="S56" s="116">
        <f t="shared" ref="S56" si="36">R56*(1+S66)</f>
        <v>197240.80684971521</v>
      </c>
      <c r="T56" s="116">
        <f t="shared" ref="T56" si="37">S56*(1+T66)</f>
        <v>198958.57178194768</v>
      </c>
      <c r="U56" s="116">
        <f t="shared" ref="U56" si="38">T56*(1+U66)</f>
        <v>200866.80125051294</v>
      </c>
      <c r="V56" s="116">
        <f t="shared" ref="V56:W56" si="39">U56*(1+V66)</f>
        <v>202622.47677399646</v>
      </c>
      <c r="W56" s="116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138" customFormat="1" x14ac:dyDescent="0.2">
      <c r="A57" s="137" t="s">
        <v>210</v>
      </c>
      <c r="C57" t="s">
        <v>317</v>
      </c>
      <c r="D57"/>
      <c r="F57" s="206"/>
      <c r="G57" s="206"/>
      <c r="H57" s="206"/>
      <c r="I57" s="207"/>
      <c r="J57" s="207"/>
      <c r="K57" s="207"/>
      <c r="L57" s="207">
        <v>692000</v>
      </c>
      <c r="M57" s="199"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6"/>
    </row>
    <row r="58" spans="1:38" s="35" customFormat="1" ht="32" x14ac:dyDescent="0.2">
      <c r="A58" s="134" t="s">
        <v>211</v>
      </c>
      <c r="F58" s="199"/>
      <c r="G58" s="199"/>
      <c r="H58" s="199"/>
      <c r="I58" s="204"/>
      <c r="J58" s="204"/>
      <c r="K58" s="204"/>
      <c r="L58" s="208">
        <f>SUM(L59:L61)</f>
        <v>87000</v>
      </c>
      <c r="M58" s="199">
        <f>SUM(M59:M61)</f>
        <v>97000</v>
      </c>
      <c r="N58" s="116">
        <f t="shared" ref="N58:W58" si="40">SUM(N59:N61)</f>
        <v>107000</v>
      </c>
      <c r="O58" s="116">
        <f t="shared" si="40"/>
        <v>90000</v>
      </c>
      <c r="P58" s="116">
        <f t="shared" si="40"/>
        <v>62000</v>
      </c>
      <c r="Q58" s="116">
        <f t="shared" si="40"/>
        <v>62000</v>
      </c>
      <c r="R58" s="116">
        <f t="shared" si="40"/>
        <v>56000</v>
      </c>
      <c r="S58" s="116">
        <f t="shared" si="40"/>
        <v>50000</v>
      </c>
      <c r="T58" s="116">
        <f t="shared" si="40"/>
        <v>50000</v>
      </c>
      <c r="U58" s="116">
        <f t="shared" si="40"/>
        <v>50000</v>
      </c>
      <c r="V58" s="116">
        <f t="shared" si="40"/>
        <v>50000</v>
      </c>
      <c r="W58" s="116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2">
      <c r="A59" s="113" t="s">
        <v>198</v>
      </c>
      <c r="F59" s="199"/>
      <c r="G59" s="199"/>
      <c r="H59" s="199"/>
      <c r="I59" s="204"/>
      <c r="J59" s="204"/>
      <c r="K59" s="204"/>
      <c r="L59" s="208">
        <v>35000</v>
      </c>
      <c r="M59" s="199">
        <v>45000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2">
      <c r="A60" s="113" t="s">
        <v>202</v>
      </c>
      <c r="F60" s="199"/>
      <c r="G60" s="199"/>
      <c r="H60" s="199"/>
      <c r="I60" s="204"/>
      <c r="J60" s="204"/>
      <c r="K60" s="204"/>
      <c r="L60" s="204">
        <v>27000</v>
      </c>
      <c r="M60" s="199">
        <v>27000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2">
      <c r="A61" s="113" t="s">
        <v>199</v>
      </c>
      <c r="F61" s="199"/>
      <c r="G61" s="199"/>
      <c r="H61" s="199"/>
      <c r="I61" s="204"/>
      <c r="J61" s="204"/>
      <c r="K61" s="204"/>
      <c r="L61" s="204">
        <v>25000</v>
      </c>
      <c r="M61" s="199">
        <v>25000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2">
      <c r="A62" s="145" t="s">
        <v>218</v>
      </c>
      <c r="B62" s="141"/>
      <c r="E62" s="141"/>
      <c r="F62" s="199"/>
      <c r="G62" s="199"/>
      <c r="H62" s="199"/>
      <c r="I62" s="204"/>
      <c r="J62" s="204"/>
      <c r="K62" s="204">
        <f>K54-K67</f>
        <v>204376</v>
      </c>
      <c r="L62" s="208">
        <f>L56+L58</f>
        <v>279250</v>
      </c>
      <c r="M62" s="199">
        <f t="shared" ref="M62:W62" si="41">M56+M58</f>
        <v>286950.6143673578</v>
      </c>
      <c r="N62" s="144">
        <f t="shared" si="41"/>
        <v>298372.88477706735</v>
      </c>
      <c r="O62" s="144">
        <f t="shared" si="41"/>
        <v>282140.99544764287</v>
      </c>
      <c r="P62" s="144">
        <f t="shared" si="41"/>
        <v>255022.43392207247</v>
      </c>
      <c r="Q62" s="144">
        <f t="shared" si="41"/>
        <v>256054.97613497748</v>
      </c>
      <c r="R62" s="144">
        <f t="shared" si="41"/>
        <v>251544.37969325102</v>
      </c>
      <c r="S62" s="144">
        <f t="shared" si="41"/>
        <v>247240.80684971521</v>
      </c>
      <c r="T62" s="144">
        <f t="shared" si="41"/>
        <v>248958.57178194768</v>
      </c>
      <c r="U62" s="144">
        <f t="shared" si="41"/>
        <v>250866.80125051294</v>
      </c>
      <c r="V62" s="144">
        <f t="shared" si="41"/>
        <v>252622.47677399646</v>
      </c>
      <c r="W62" s="144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2">
      <c r="F63" s="199"/>
      <c r="G63" s="199"/>
      <c r="H63" s="199"/>
      <c r="I63" s="199"/>
      <c r="J63" s="199"/>
      <c r="K63" s="199"/>
      <c r="L63" s="205"/>
      <c r="M63" s="199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2">
      <c r="A64" s="35" t="s">
        <v>17</v>
      </c>
      <c r="B64" s="35" t="s">
        <v>284</v>
      </c>
      <c r="C64" t="s">
        <v>318</v>
      </c>
      <c r="D64"/>
      <c r="F64" s="208">
        <v>1241.5999999999999</v>
      </c>
      <c r="G64" s="208">
        <v>1245.8</v>
      </c>
      <c r="H64" s="208">
        <v>1473.6</v>
      </c>
      <c r="I64" s="208">
        <v>1288.5</v>
      </c>
      <c r="J64" s="208">
        <v>1301.0999999999999</v>
      </c>
      <c r="K64" s="208">
        <v>1306.0999999999999</v>
      </c>
      <c r="L64" s="208">
        <v>1360.1</v>
      </c>
      <c r="M64" s="199">
        <f>VLOOKUP(C64,'Haver NA'!$A$1:$I$34,9,0)/1000</f>
        <v>1335.3219999999999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5"/>
    </row>
    <row r="65" spans="1:38" s="35" customFormat="1" x14ac:dyDescent="0.2">
      <c r="A65" s="114" t="s">
        <v>204</v>
      </c>
      <c r="B65" s="35" t="s">
        <v>284</v>
      </c>
      <c r="C65" t="s">
        <v>319</v>
      </c>
      <c r="D65"/>
      <c r="F65" s="199"/>
      <c r="G65" s="199"/>
      <c r="H65" s="199"/>
      <c r="I65" s="199"/>
      <c r="J65" s="199">
        <v>1447.9</v>
      </c>
      <c r="K65" s="199">
        <v>1452.6</v>
      </c>
      <c r="L65" s="199">
        <v>1504.8</v>
      </c>
      <c r="M65" s="199">
        <f>VLOOKUP(C65,'Haver NA'!$A$1:$I$34,9,0)/1000</f>
        <v>1486.8019999999999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5"/>
    </row>
    <row r="66" spans="1:38" s="187" customFormat="1" ht="12" x14ac:dyDescent="0.15">
      <c r="A66" s="170" t="s">
        <v>203</v>
      </c>
      <c r="F66" s="209"/>
      <c r="G66" s="209"/>
      <c r="H66" s="209"/>
      <c r="I66" s="209"/>
      <c r="J66" s="209"/>
      <c r="K66" s="209"/>
      <c r="L66" s="209"/>
      <c r="M66" s="202">
        <f>M65/L65-1</f>
        <v>-1.1960393407761893E-2</v>
      </c>
      <c r="N66" s="188">
        <f>N65/M65-1</f>
        <v>7.4875799399045651E-3</v>
      </c>
      <c r="O66" s="188">
        <f t="shared" ref="O66:V66" si="42">O65/N65-1</f>
        <v>4.0136860113193507E-3</v>
      </c>
      <c r="P66" s="188">
        <f t="shared" si="42"/>
        <v>4.5874565829953085E-3</v>
      </c>
      <c r="Q66" s="188">
        <f t="shared" si="42"/>
        <v>5.3493378563544969E-3</v>
      </c>
      <c r="R66" s="188">
        <f t="shared" si="42"/>
        <v>7.6751629251576858E-3</v>
      </c>
      <c r="S66" s="188">
        <f t="shared" si="42"/>
        <v>8.675407388979206E-3</v>
      </c>
      <c r="T66" s="188">
        <f t="shared" si="42"/>
        <v>8.7089733593581631E-3</v>
      </c>
      <c r="U66" s="188">
        <f t="shared" si="42"/>
        <v>9.5910894990571816E-3</v>
      </c>
      <c r="V66" s="188">
        <f t="shared" si="42"/>
        <v>8.7404962520107876E-3</v>
      </c>
      <c r="W66" s="188">
        <f t="shared" ref="W66" si="43">W65/V65-1</f>
        <v>9.6237163965073869E-3</v>
      </c>
      <c r="X66" s="188">
        <f t="shared" ref="X66" si="44">X65/W65-1</f>
        <v>8.7455736250123817E-3</v>
      </c>
      <c r="Y66" s="188">
        <f>Y65/X65-1</f>
        <v>9.6201658414407643E-3</v>
      </c>
      <c r="Z66" s="188">
        <f t="shared" ref="Z66" si="45">Z65/Y65-1</f>
        <v>3.1021950970274714E-2</v>
      </c>
      <c r="AA66" s="188"/>
      <c r="AD66" s="189"/>
      <c r="AE66" s="189"/>
      <c r="AF66" s="189"/>
      <c r="AH66" s="189"/>
      <c r="AI66" s="189"/>
      <c r="AJ66" s="189"/>
      <c r="AK66" s="189"/>
      <c r="AL66" s="247"/>
    </row>
    <row r="67" spans="1:38" s="35" customFormat="1" x14ac:dyDescent="0.2">
      <c r="A67" s="35" t="s">
        <v>205</v>
      </c>
      <c r="B67" s="35" t="s">
        <v>284</v>
      </c>
      <c r="C67" t="s">
        <v>320</v>
      </c>
      <c r="D67"/>
      <c r="F67" s="208">
        <v>389624</v>
      </c>
      <c r="G67" s="208">
        <v>404529</v>
      </c>
      <c r="H67" s="208">
        <v>419672</v>
      </c>
      <c r="I67" s="208">
        <v>418824</v>
      </c>
      <c r="J67" s="208">
        <v>411409</v>
      </c>
      <c r="K67" s="208">
        <v>423429</v>
      </c>
      <c r="L67" s="208">
        <v>512640</v>
      </c>
      <c r="M67" s="199">
        <f>VLOOKUP(C67,'Haver NA'!$A$1:$I$34,9,0)</f>
        <v>486072</v>
      </c>
      <c r="N67" s="116">
        <f t="shared" ref="N67:S67" si="46">N74*0.74</f>
        <v>520762.48586017155</v>
      </c>
      <c r="O67" s="116">
        <f t="shared" si="46"/>
        <v>530153.75073570432</v>
      </c>
      <c r="P67" s="116">
        <f t="shared" si="46"/>
        <v>535444.10571143136</v>
      </c>
      <c r="Q67" s="116">
        <f t="shared" si="46"/>
        <v>535444.10571143136</v>
      </c>
      <c r="R67" s="116">
        <f t="shared" si="46"/>
        <v>535444.10571143136</v>
      </c>
      <c r="S67" s="116">
        <f t="shared" si="46"/>
        <v>535444.10571143136</v>
      </c>
      <c r="T67" s="116">
        <f>T74*0.68</f>
        <v>492029.71876185591</v>
      </c>
      <c r="U67" s="116">
        <f>U74*0.68</f>
        <v>492029.71876185591</v>
      </c>
      <c r="V67" s="116">
        <f>V74*0.68</f>
        <v>492029.71876185591</v>
      </c>
      <c r="W67" s="116"/>
      <c r="X67" s="116"/>
      <c r="Y67" s="116"/>
      <c r="Z67" s="116"/>
      <c r="AA67" s="116"/>
      <c r="AB67" s="44">
        <f>AVERAGE(F67:I67)/1000</f>
        <v>408.16224999999997</v>
      </c>
      <c r="AC67" s="45">
        <f>AVERAGE(J67:M67)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3"/>
    </row>
    <row r="68" spans="1:38" s="35" customFormat="1" x14ac:dyDescent="0.2">
      <c r="A68" s="141" t="s">
        <v>161</v>
      </c>
      <c r="B68" s="141"/>
      <c r="E68" s="141"/>
      <c r="F68" s="203">
        <f t="shared" ref="F68:M68" si="47">F42+F39+F32+F35</f>
        <v>1440187</v>
      </c>
      <c r="G68" s="203">
        <f t="shared" si="47"/>
        <v>1503410</v>
      </c>
      <c r="H68" s="203">
        <f t="shared" si="47"/>
        <v>1508652</v>
      </c>
      <c r="I68" s="203">
        <f t="shared" si="47"/>
        <v>1513957</v>
      </c>
      <c r="J68" s="203">
        <f t="shared" si="47"/>
        <v>1521941</v>
      </c>
      <c r="K68" s="203">
        <f t="shared" si="47"/>
        <v>1574462</v>
      </c>
      <c r="L68" s="203">
        <f t="shared" si="47"/>
        <v>3713565.333333333</v>
      </c>
      <c r="M68" s="199">
        <f t="shared" si="47"/>
        <v>2508714</v>
      </c>
      <c r="N68" s="142">
        <f t="shared" ref="N68:V68" si="48">N42+N39+N32+N35</f>
        <v>1966597.486653418</v>
      </c>
      <c r="O68" s="142">
        <f t="shared" si="48"/>
        <v>1887942.7957109897</v>
      </c>
      <c r="P68" s="142">
        <f t="shared" si="48"/>
        <v>1799230.9611612814</v>
      </c>
      <c r="Q68" s="142">
        <f t="shared" si="48"/>
        <v>1662989.228952572</v>
      </c>
      <c r="R68" s="142">
        <f t="shared" si="48"/>
        <v>1659289.0673868605</v>
      </c>
      <c r="S68" s="142">
        <f t="shared" si="48"/>
        <v>1668953.4033976633</v>
      </c>
      <c r="T68" s="142">
        <f t="shared" si="48"/>
        <v>1693987.704448628</v>
      </c>
      <c r="U68" s="142">
        <f t="shared" si="48"/>
        <v>1719397.5200153573</v>
      </c>
      <c r="V68" s="142">
        <f t="shared" si="48"/>
        <v>1736591.4952155109</v>
      </c>
      <c r="AL68" s="243"/>
    </row>
    <row r="69" spans="1:38" s="35" customFormat="1" x14ac:dyDescent="0.2">
      <c r="A69" s="141" t="s">
        <v>215</v>
      </c>
      <c r="B69" s="141"/>
      <c r="E69" s="141"/>
      <c r="F69" s="199"/>
      <c r="G69" s="199"/>
      <c r="H69" s="199"/>
      <c r="I69" s="199"/>
      <c r="J69" s="199"/>
      <c r="K69" s="199"/>
      <c r="L69" s="205">
        <f>L67+L31</f>
        <v>1336698</v>
      </c>
      <c r="M69" s="199">
        <f>M67+M31</f>
        <v>1328805</v>
      </c>
      <c r="N69" s="143">
        <f t="shared" ref="N69:V69" si="49">N67+N31</f>
        <v>1373815.6728590003</v>
      </c>
      <c r="O69" s="143">
        <f t="shared" si="49"/>
        <v>1393653.5067068823</v>
      </c>
      <c r="P69" s="143">
        <f t="shared" si="49"/>
        <v>1409518.3603139264</v>
      </c>
      <c r="Q69" s="143">
        <f t="shared" si="49"/>
        <v>1420222.3552427585</v>
      </c>
      <c r="R69" s="143">
        <f t="shared" si="49"/>
        <v>1449154.204832383</v>
      </c>
      <c r="S69" s="143">
        <f t="shared" si="49"/>
        <v>1479032.1128509077</v>
      </c>
      <c r="T69" s="143">
        <f t="shared" si="49"/>
        <v>1466472.6280325653</v>
      </c>
      <c r="U69" s="143">
        <f t="shared" si="49"/>
        <v>1498336.4715432189</v>
      </c>
      <c r="V69" s="143">
        <f t="shared" si="49"/>
        <v>1508477.1168994233</v>
      </c>
      <c r="AL69" s="243"/>
    </row>
    <row r="70" spans="1:38" s="35" customFormat="1" x14ac:dyDescent="0.2">
      <c r="F70" s="199"/>
      <c r="G70" s="199"/>
      <c r="H70" s="199"/>
      <c r="I70" s="199"/>
      <c r="J70" s="199"/>
      <c r="K70" s="199"/>
      <c r="L70" s="199"/>
      <c r="M70" s="199"/>
      <c r="AL70" s="243"/>
    </row>
    <row r="71" spans="1:38" s="35" customFormat="1" x14ac:dyDescent="0.2">
      <c r="A71" s="35" t="s">
        <v>15</v>
      </c>
      <c r="B71" s="35" t="s">
        <v>284</v>
      </c>
      <c r="C71" t="s">
        <v>321</v>
      </c>
      <c r="D71"/>
      <c r="F71" s="199">
        <v>728844</v>
      </c>
      <c r="G71" s="199">
        <v>738714</v>
      </c>
      <c r="H71" s="199">
        <v>755204</v>
      </c>
      <c r="I71" s="199">
        <v>763370</v>
      </c>
      <c r="J71" s="199">
        <v>760967</v>
      </c>
      <c r="K71" s="199">
        <v>767087</v>
      </c>
      <c r="L71" s="199">
        <v>812158</v>
      </c>
      <c r="M71" s="199">
        <f>VLOOKUP(C71,'Haver NA'!$A$1:$I$34,9,0)</f>
        <v>835999</v>
      </c>
      <c r="N71" s="133">
        <f t="shared" ref="N71:U71" si="50">N72+N74</f>
        <v>846655.9390002318</v>
      </c>
      <c r="O71" s="133">
        <f t="shared" si="50"/>
        <v>859704.14460568153</v>
      </c>
      <c r="P71" s="133">
        <f t="shared" si="50"/>
        <v>867211.47334407107</v>
      </c>
      <c r="Q71" s="133">
        <f t="shared" si="50"/>
        <v>867929.66513166018</v>
      </c>
      <c r="R71" s="133">
        <f t="shared" si="50"/>
        <v>869012.33925145073</v>
      </c>
      <c r="S71" s="133">
        <f t="shared" si="50"/>
        <v>870466.73148570256</v>
      </c>
      <c r="T71" s="133">
        <f t="shared" si="50"/>
        <v>872014.07451017783</v>
      </c>
      <c r="U71" s="133">
        <f t="shared" si="50"/>
        <v>873408.51802630571</v>
      </c>
      <c r="V71" s="133">
        <f t="shared" ref="V71" si="51">V72+V74</f>
        <v>874637.8300734181</v>
      </c>
      <c r="AL71" s="243"/>
    </row>
    <row r="72" spans="1:38" s="35" customFormat="1" x14ac:dyDescent="0.2">
      <c r="A72" s="35" t="s">
        <v>231</v>
      </c>
      <c r="F72" s="205">
        <f t="shared" ref="F72:K72" si="52">F71-F74</f>
        <v>139025</v>
      </c>
      <c r="G72" s="205">
        <f t="shared" si="52"/>
        <v>139342</v>
      </c>
      <c r="H72" s="205">
        <f t="shared" si="52"/>
        <v>140228</v>
      </c>
      <c r="I72" s="205">
        <f t="shared" si="52"/>
        <v>141105</v>
      </c>
      <c r="J72" s="205">
        <f t="shared" si="52"/>
        <v>141335</v>
      </c>
      <c r="K72" s="205">
        <f t="shared" si="52"/>
        <v>142991</v>
      </c>
      <c r="L72" s="205">
        <f>L71-L74</f>
        <v>143335</v>
      </c>
      <c r="M72" s="199">
        <f>M71-M74</f>
        <v>144732</v>
      </c>
      <c r="N72" s="133">
        <f>M72*(1+N83-0.015)</f>
        <v>142922.84999999998</v>
      </c>
      <c r="O72" s="133">
        <f t="shared" ref="O72:V72" si="53">N72*(1+O83)</f>
        <v>143280.15712499997</v>
      </c>
      <c r="P72" s="133">
        <f t="shared" si="53"/>
        <v>143638.35751781246</v>
      </c>
      <c r="Q72" s="133">
        <f t="shared" si="53"/>
        <v>144356.54930540151</v>
      </c>
      <c r="R72" s="133">
        <f t="shared" si="53"/>
        <v>145439.22342519203</v>
      </c>
      <c r="S72" s="133">
        <f t="shared" si="53"/>
        <v>146893.61565944395</v>
      </c>
      <c r="T72" s="133">
        <f t="shared" si="53"/>
        <v>148440.9586839191</v>
      </c>
      <c r="U72" s="133">
        <f t="shared" si="53"/>
        <v>149835.40220004701</v>
      </c>
      <c r="V72" s="133">
        <f t="shared" si="53"/>
        <v>151064.71424715937</v>
      </c>
      <c r="AL72" s="243"/>
    </row>
    <row r="73" spans="1:38" s="35" customFormat="1" x14ac:dyDescent="0.2">
      <c r="F73" s="205"/>
      <c r="G73" s="199"/>
      <c r="H73" s="199"/>
      <c r="I73" s="199"/>
      <c r="J73" s="199"/>
      <c r="K73" s="199"/>
      <c r="L73" s="199"/>
      <c r="M73" s="199"/>
      <c r="AL73" s="243"/>
    </row>
    <row r="74" spans="1:38" s="35" customFormat="1" x14ac:dyDescent="0.2">
      <c r="A74" s="35" t="s">
        <v>228</v>
      </c>
      <c r="B74" s="35" t="s">
        <v>284</v>
      </c>
      <c r="C74" t="s">
        <v>322</v>
      </c>
      <c r="D74"/>
      <c r="F74" s="199">
        <v>589819</v>
      </c>
      <c r="G74" s="199">
        <v>599372</v>
      </c>
      <c r="H74" s="199">
        <v>614976</v>
      </c>
      <c r="I74" s="199">
        <v>622265</v>
      </c>
      <c r="J74" s="199">
        <v>619632</v>
      </c>
      <c r="K74" s="199">
        <v>624096</v>
      </c>
      <c r="L74" s="199">
        <v>668823</v>
      </c>
      <c r="M74" s="199">
        <f>VLOOKUP(C74,'Haver NA'!$A$1:$I$34,9,0)</f>
        <v>691267</v>
      </c>
      <c r="N74" s="135">
        <f>M74*(($AI$74/$AH$74)^0.18)</f>
        <v>703733.08900023182</v>
      </c>
      <c r="O74" s="135">
        <f>N74*(($AI$74/$AH$74)^0.18)</f>
        <v>716423.98748068151</v>
      </c>
      <c r="P74" s="135">
        <f>O74*(($AI$74/$AH$74)^0.1)</f>
        <v>723573.11582625867</v>
      </c>
      <c r="Q74" s="135">
        <f>P74*(1+Q75)</f>
        <v>723573.11582625867</v>
      </c>
      <c r="R74" s="135">
        <f t="shared" ref="R74:V74" si="54">Q74*(1+R75)</f>
        <v>723573.11582625867</v>
      </c>
      <c r="S74" s="135">
        <f t="shared" si="54"/>
        <v>723573.11582625867</v>
      </c>
      <c r="T74" s="135">
        <f t="shared" si="54"/>
        <v>723573.11582625867</v>
      </c>
      <c r="U74" s="135">
        <f t="shared" si="54"/>
        <v>723573.11582625867</v>
      </c>
      <c r="V74" s="135">
        <f t="shared" si="54"/>
        <v>723573.11582625867</v>
      </c>
      <c r="AC74" s="45">
        <f>AVERAGE(J74:M74)/1000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3"/>
    </row>
    <row r="75" spans="1:38" s="187" customFormat="1" x14ac:dyDescent="0.2">
      <c r="A75" s="170" t="s">
        <v>271</v>
      </c>
      <c r="F75" s="209"/>
      <c r="G75" s="209"/>
      <c r="H75" s="209"/>
      <c r="I75" s="209"/>
      <c r="J75" s="202"/>
      <c r="K75" s="202"/>
      <c r="L75" s="202"/>
      <c r="M75" s="199"/>
      <c r="N75" s="176"/>
      <c r="O75" s="176"/>
      <c r="P75" s="176"/>
      <c r="Q75" s="176">
        <v>0</v>
      </c>
      <c r="R75" s="176">
        <v>0</v>
      </c>
      <c r="S75" s="176">
        <v>0</v>
      </c>
      <c r="T75" s="176">
        <v>0</v>
      </c>
      <c r="U75" s="176">
        <v>0</v>
      </c>
      <c r="V75" s="176">
        <v>0</v>
      </c>
      <c r="W75" s="176"/>
      <c r="AL75" s="244"/>
    </row>
    <row r="76" spans="1:38" s="153" customFormat="1" x14ac:dyDescent="0.2">
      <c r="A76" s="153" t="s">
        <v>223</v>
      </c>
      <c r="F76" s="210">
        <f>F67/F74</f>
        <v>0.66058231423538405</v>
      </c>
      <c r="G76" s="210">
        <f t="shared" ref="G76:I76" si="55">G67/G74</f>
        <v>0.6749214177505789</v>
      </c>
      <c r="H76" s="210">
        <f t="shared" si="55"/>
        <v>0.68242012696430432</v>
      </c>
      <c r="I76" s="210">
        <f t="shared" si="55"/>
        <v>0.6730637268687778</v>
      </c>
      <c r="J76" s="210">
        <f t="shared" ref="J76" si="56">J67/J74</f>
        <v>0.66395699382859508</v>
      </c>
      <c r="K76" s="210">
        <f t="shared" ref="K76" si="57">K67/K74</f>
        <v>0.67846773573296415</v>
      </c>
      <c r="L76" s="211"/>
      <c r="M76" s="199"/>
      <c r="AC76" s="154"/>
      <c r="AD76" s="154"/>
      <c r="AE76" s="154"/>
      <c r="AG76" s="155"/>
      <c r="AH76" s="155"/>
      <c r="AI76" s="155"/>
      <c r="AL76" s="248"/>
    </row>
    <row r="77" spans="1:38" s="35" customFormat="1" x14ac:dyDescent="0.2">
      <c r="A77" s="35" t="s">
        <v>18</v>
      </c>
      <c r="B77" s="35" t="s">
        <v>284</v>
      </c>
      <c r="C77" t="s">
        <v>323</v>
      </c>
      <c r="D77"/>
      <c r="F77" s="199">
        <v>1997.1</v>
      </c>
      <c r="G77" s="199">
        <v>2012.7</v>
      </c>
      <c r="H77" s="199">
        <v>2025.5</v>
      </c>
      <c r="I77" s="199">
        <v>2028.3</v>
      </c>
      <c r="J77" s="199">
        <v>2035.6</v>
      </c>
      <c r="K77" s="199">
        <v>2041</v>
      </c>
      <c r="L77" s="199">
        <v>2013.1</v>
      </c>
      <c r="M77" s="199">
        <f>VLOOKUP(C77,'Haver NA'!$A$1:$I$34,9,0)/1000</f>
        <v>1992.6769999999999</v>
      </c>
      <c r="N77" s="35">
        <f>M77*(1+N79)</f>
        <v>2031.6535672371635</v>
      </c>
      <c r="O77" s="35">
        <f t="shared" ref="O77:V77" si="58">N77*(1+O79)</f>
        <v>2057.2848967789942</v>
      </c>
      <c r="P77" s="35">
        <f t="shared" si="58"/>
        <v>2079.7387887743166</v>
      </c>
      <c r="Q77" s="35">
        <f t="shared" si="58"/>
        <v>2094.5668306580201</v>
      </c>
      <c r="R77" s="35">
        <f t="shared" si="58"/>
        <v>2104.8405453917289</v>
      </c>
      <c r="S77" s="35">
        <f t="shared" si="58"/>
        <v>2115.0083455405543</v>
      </c>
      <c r="T77" s="35">
        <f t="shared" si="58"/>
        <v>2122.4223664824062</v>
      </c>
      <c r="U77" s="35">
        <f t="shared" si="58"/>
        <v>2126.9766936324008</v>
      </c>
      <c r="V77" s="35">
        <f t="shared" si="58"/>
        <v>2128.6713269905381</v>
      </c>
      <c r="AL77" s="243"/>
    </row>
    <row r="78" spans="1:38" s="187" customFormat="1" x14ac:dyDescent="0.2">
      <c r="A78" s="170" t="s">
        <v>288</v>
      </c>
      <c r="B78" s="35"/>
      <c r="C78" s="35"/>
      <c r="D78" s="35"/>
      <c r="F78" s="202"/>
      <c r="G78" s="202">
        <f t="shared" ref="G78:L78" si="59">(G77/F77)-1</f>
        <v>7.8113264233139468E-3</v>
      </c>
      <c r="H78" s="202">
        <f t="shared" si="59"/>
        <v>6.3596164356336526E-3</v>
      </c>
      <c r="I78" s="202">
        <f t="shared" si="59"/>
        <v>1.3823747222907468E-3</v>
      </c>
      <c r="J78" s="202">
        <f t="shared" si="59"/>
        <v>3.5990731154167399E-3</v>
      </c>
      <c r="K78" s="202">
        <f t="shared" si="59"/>
        <v>2.6527805069758159E-3</v>
      </c>
      <c r="L78" s="202">
        <f t="shared" si="59"/>
        <v>-1.36697697207252E-2</v>
      </c>
      <c r="M78" s="199">
        <f>(M77/L77)-1</f>
        <v>-1.0145049923004357E-2</v>
      </c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AL78" s="244"/>
    </row>
    <row r="79" spans="1:38" s="187" customFormat="1" x14ac:dyDescent="0.2">
      <c r="A79" s="170" t="s">
        <v>289</v>
      </c>
      <c r="B79" s="35" t="s">
        <v>284</v>
      </c>
      <c r="C79" s="35"/>
      <c r="D79" s="35"/>
      <c r="F79" s="209"/>
      <c r="G79" s="209"/>
      <c r="H79" s="209"/>
      <c r="I79" s="209"/>
      <c r="J79" s="202"/>
      <c r="K79" s="202"/>
      <c r="L79" s="202"/>
      <c r="M79" s="199"/>
      <c r="N79" s="198">
        <v>1.95599022004889E-2</v>
      </c>
      <c r="O79" s="198">
        <v>1.26159941611927E-2</v>
      </c>
      <c r="P79" s="198">
        <v>1.0914332784184499E-2</v>
      </c>
      <c r="Q79" s="198">
        <v>7.1297616622529904E-3</v>
      </c>
      <c r="R79" s="198">
        <v>4.9049352750809598E-3</v>
      </c>
      <c r="S79" s="198">
        <v>4.8306747848840797E-3</v>
      </c>
      <c r="T79" s="198">
        <v>3.5054334218038701E-3</v>
      </c>
      <c r="U79" s="198">
        <v>2.14581565946403E-3</v>
      </c>
      <c r="V79" s="198">
        <v>7.9673339308827796E-4</v>
      </c>
      <c r="W79" s="198">
        <v>3.9804955716982198E-4</v>
      </c>
      <c r="X79" s="198">
        <v>1.1439371331942701E-3</v>
      </c>
      <c r="Y79" s="198">
        <v>8.9423220229512001E-4</v>
      </c>
      <c r="AL79" s="244"/>
    </row>
    <row r="80" spans="1:38" s="35" customFormat="1" x14ac:dyDescent="0.2">
      <c r="A80" s="35" t="s">
        <v>217</v>
      </c>
      <c r="B80" s="35" t="s">
        <v>284</v>
      </c>
      <c r="C80" t="s">
        <v>324</v>
      </c>
      <c r="D80"/>
      <c r="F80" s="199"/>
      <c r="G80" s="199"/>
      <c r="H80" s="199"/>
      <c r="I80" s="199"/>
      <c r="J80" s="199">
        <v>2357.4</v>
      </c>
      <c r="K80" s="199">
        <v>2381.6</v>
      </c>
      <c r="L80" s="199">
        <v>2334.5</v>
      </c>
      <c r="M80" s="199">
        <f>VLOOKUP(C80,'Haver NA'!$A$1:$I$34,9,0)/1000</f>
        <v>2329.6770000000001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3"/>
    </row>
    <row r="81" spans="1:38" s="35" customFormat="1" x14ac:dyDescent="0.2">
      <c r="A81" s="35" t="s">
        <v>339</v>
      </c>
      <c r="F81" s="199"/>
      <c r="G81" s="199"/>
      <c r="H81" s="199"/>
      <c r="I81" s="199"/>
      <c r="J81" s="199"/>
      <c r="K81" s="199"/>
      <c r="L81" s="199"/>
      <c r="M81" s="199"/>
      <c r="N81">
        <f>M80*(1+N83)</f>
        <v>2335.5011924999999</v>
      </c>
      <c r="O81">
        <f>N81*(1+O83)</f>
        <v>2341.3399454812497</v>
      </c>
      <c r="P81">
        <f t="shared" ref="P81:V81" si="60">O81*(1+P83)</f>
        <v>2347.1932953449527</v>
      </c>
      <c r="Q81">
        <f t="shared" si="60"/>
        <v>2358.9292618216773</v>
      </c>
      <c r="R81">
        <f t="shared" si="60"/>
        <v>2376.6212312853399</v>
      </c>
      <c r="S81">
        <f t="shared" si="60"/>
        <v>2400.3874435981934</v>
      </c>
      <c r="T81">
        <f t="shared" si="60"/>
        <v>2425.6725640591153</v>
      </c>
      <c r="U81">
        <f t="shared" si="60"/>
        <v>2448.4591548302242</v>
      </c>
      <c r="V81">
        <f t="shared" si="60"/>
        <v>2468.5473335363272</v>
      </c>
      <c r="W81"/>
      <c r="X81"/>
      <c r="Y81"/>
      <c r="AL81" s="243"/>
    </row>
    <row r="82" spans="1:38" s="187" customFormat="1" x14ac:dyDescent="0.2">
      <c r="A82" s="170" t="s">
        <v>288</v>
      </c>
      <c r="B82" s="35"/>
      <c r="C82" s="35"/>
      <c r="D82" s="35"/>
      <c r="F82" s="202"/>
      <c r="G82" s="202"/>
      <c r="H82" s="202"/>
      <c r="I82" s="202"/>
      <c r="J82" s="202"/>
      <c r="K82" s="202">
        <f t="shared" ref="K82" si="61">(K80/J80)-1</f>
        <v>1.0265546788835067E-2</v>
      </c>
      <c r="L82" s="202">
        <f t="shared" ref="L82" si="62">(L80/K80)-1</f>
        <v>-1.9776620759153429E-2</v>
      </c>
      <c r="M82" s="202">
        <f>(((M80/L80))^4)-1</f>
        <v>-8.2382940014741335E-3</v>
      </c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AL82" s="244"/>
    </row>
    <row r="83" spans="1:38" s="187" customFormat="1" x14ac:dyDescent="0.2">
      <c r="A83" s="170" t="s">
        <v>289</v>
      </c>
      <c r="F83" s="209"/>
      <c r="G83" s="209"/>
      <c r="H83" s="209"/>
      <c r="I83" s="209"/>
      <c r="J83" s="209"/>
      <c r="K83" s="202"/>
      <c r="L83" s="202"/>
      <c r="M83" s="199"/>
      <c r="N83" s="176">
        <v>2.5000000000000001E-3</v>
      </c>
      <c r="O83" s="176">
        <v>2.5000000000000001E-3</v>
      </c>
      <c r="P83" s="176">
        <v>2.5000000000000001E-3</v>
      </c>
      <c r="Q83" s="176">
        <v>5.0000000000000001E-3</v>
      </c>
      <c r="R83" s="176">
        <v>7.4999999999999997E-3</v>
      </c>
      <c r="S83" s="176">
        <v>0.01</v>
      </c>
      <c r="T83" s="176">
        <f>T80/S80-1</f>
        <v>1.053376634191161E-2</v>
      </c>
      <c r="U83" s="176">
        <f>U80/T80-1</f>
        <v>9.3939269086582566E-3</v>
      </c>
      <c r="V83" s="176">
        <f>V80/U80-1</f>
        <v>8.2044165067951536E-3</v>
      </c>
      <c r="AL83" s="244"/>
    </row>
    <row r="84" spans="1:38" s="187" customFormat="1" x14ac:dyDescent="0.2">
      <c r="A84" s="266" t="s">
        <v>263</v>
      </c>
      <c r="F84" s="209"/>
      <c r="G84" s="209"/>
      <c r="H84" s="209"/>
      <c r="I84" s="209"/>
      <c r="J84" s="209"/>
      <c r="K84" s="202"/>
      <c r="L84" s="202"/>
      <c r="M84" s="199"/>
      <c r="N84" s="176"/>
      <c r="O84" s="176"/>
      <c r="P84" s="176"/>
      <c r="Q84" s="176"/>
      <c r="R84" s="176"/>
      <c r="S84" s="176"/>
      <c r="T84" s="176"/>
      <c r="U84" s="176"/>
      <c r="V84" s="176"/>
      <c r="AL84" s="244"/>
    </row>
    <row r="85" spans="1:38" s="35" customFormat="1" x14ac:dyDescent="0.2">
      <c r="A85" s="35" t="s">
        <v>164</v>
      </c>
      <c r="F85" s="203">
        <f t="shared" ref="F85:M85" si="63">F71+F38-F67</f>
        <v>339220</v>
      </c>
      <c r="G85" s="203">
        <f t="shared" si="63"/>
        <v>334185</v>
      </c>
      <c r="H85" s="203">
        <f t="shared" si="63"/>
        <v>335532</v>
      </c>
      <c r="I85" s="203">
        <f t="shared" si="63"/>
        <v>344546</v>
      </c>
      <c r="J85" s="203">
        <f t="shared" si="63"/>
        <v>349558</v>
      </c>
      <c r="K85" s="203">
        <f t="shared" si="63"/>
        <v>343658</v>
      </c>
      <c r="L85" s="203">
        <f t="shared" si="63"/>
        <v>577118</v>
      </c>
      <c r="M85" s="199">
        <f t="shared" si="63"/>
        <v>489927</v>
      </c>
      <c r="N85" s="223">
        <f>N71+N38-N67</f>
        <v>405893.45314006024</v>
      </c>
      <c r="O85" s="223">
        <f t="shared" ref="N85:Y85" si="64">O71+O38-O67</f>
        <v>389550.39386997721</v>
      </c>
      <c r="P85" s="223">
        <f t="shared" si="64"/>
        <v>375767.36763263971</v>
      </c>
      <c r="Q85" s="223">
        <f t="shared" si="64"/>
        <v>376485.55942022882</v>
      </c>
      <c r="R85" s="223">
        <f t="shared" si="64"/>
        <v>377568.23354001937</v>
      </c>
      <c r="S85" s="223">
        <f t="shared" si="64"/>
        <v>379022.6257742712</v>
      </c>
      <c r="T85" s="223">
        <f t="shared" si="64"/>
        <v>423984.35574832192</v>
      </c>
      <c r="U85" s="223">
        <f t="shared" si="64"/>
        <v>425378.7992644498</v>
      </c>
      <c r="V85" s="223">
        <f t="shared" si="64"/>
        <v>426608.11131156218</v>
      </c>
      <c r="W85" s="223">
        <f t="shared" si="64"/>
        <v>0</v>
      </c>
      <c r="X85" s="223">
        <f t="shared" si="64"/>
        <v>0</v>
      </c>
      <c r="Y85" s="223">
        <f t="shared" si="64"/>
        <v>0</v>
      </c>
      <c r="AL85" s="243"/>
    </row>
    <row r="86" spans="1:38" s="35" customFormat="1" x14ac:dyDescent="0.2">
      <c r="A86" s="141" t="s">
        <v>214</v>
      </c>
      <c r="B86" s="141"/>
      <c r="E86" s="141"/>
      <c r="F86" s="203"/>
      <c r="G86" s="203"/>
      <c r="H86" s="203"/>
      <c r="I86" s="203"/>
      <c r="J86" s="203"/>
      <c r="K86" s="203"/>
      <c r="L86" s="203">
        <f>L74-L67</f>
        <v>156183</v>
      </c>
      <c r="M86" s="199">
        <f t="shared" ref="M86:U86" si="65">M74-M67</f>
        <v>205195</v>
      </c>
      <c r="N86" s="142">
        <f t="shared" si="65"/>
        <v>182970.60314006027</v>
      </c>
      <c r="O86" s="142">
        <f>O73-O67</f>
        <v>-530153.75073570432</v>
      </c>
      <c r="P86" s="142">
        <f t="shared" si="65"/>
        <v>188129.01011482731</v>
      </c>
      <c r="Q86" s="142">
        <f t="shared" si="65"/>
        <v>188129.01011482731</v>
      </c>
      <c r="R86" s="142">
        <f t="shared" si="65"/>
        <v>188129.01011482731</v>
      </c>
      <c r="S86" s="142">
        <f t="shared" si="65"/>
        <v>188129.01011482731</v>
      </c>
      <c r="T86" s="142">
        <f t="shared" si="65"/>
        <v>231543.39706440276</v>
      </c>
      <c r="U86" s="142">
        <f t="shared" si="65"/>
        <v>231543.39706440276</v>
      </c>
      <c r="V86" s="142">
        <f t="shared" ref="V86:Y86" si="66">V74-V67</f>
        <v>231543.39706440276</v>
      </c>
      <c r="W86" s="142">
        <f t="shared" si="66"/>
        <v>0</v>
      </c>
      <c r="X86" s="142">
        <f t="shared" si="66"/>
        <v>0</v>
      </c>
      <c r="Y86" s="142">
        <f t="shared" si="66"/>
        <v>0</v>
      </c>
      <c r="AL86" s="243"/>
    </row>
    <row r="87" spans="1:38" s="141" customFormat="1" x14ac:dyDescent="0.2">
      <c r="A87" s="141" t="s">
        <v>232</v>
      </c>
      <c r="C87" s="35"/>
      <c r="D87" s="35"/>
      <c r="F87" s="203">
        <f>F85-(F74-F67)</f>
        <v>139025</v>
      </c>
      <c r="G87" s="203">
        <f t="shared" ref="G87:V87" si="67">G85-(G74-G67)</f>
        <v>139342</v>
      </c>
      <c r="H87" s="203">
        <f t="shared" si="67"/>
        <v>140228</v>
      </c>
      <c r="I87" s="203">
        <f t="shared" si="67"/>
        <v>141105</v>
      </c>
      <c r="J87" s="203">
        <f t="shared" si="67"/>
        <v>141335</v>
      </c>
      <c r="K87" s="203">
        <f t="shared" si="67"/>
        <v>142991</v>
      </c>
      <c r="L87" s="203">
        <f t="shared" si="67"/>
        <v>420935</v>
      </c>
      <c r="M87" s="199">
        <f>M85-(M74-M67)</f>
        <v>284732</v>
      </c>
      <c r="N87" s="143">
        <f t="shared" si="67"/>
        <v>222922.84999999998</v>
      </c>
      <c r="O87" s="143">
        <f t="shared" si="67"/>
        <v>203280.15712500003</v>
      </c>
      <c r="P87" s="143">
        <f t="shared" si="67"/>
        <v>187638.3575178124</v>
      </c>
      <c r="Q87" s="143">
        <f t="shared" si="67"/>
        <v>188356.54930540151</v>
      </c>
      <c r="R87" s="143">
        <f t="shared" si="67"/>
        <v>189439.22342519206</v>
      </c>
      <c r="S87" s="143">
        <f t="shared" si="67"/>
        <v>190893.61565944389</v>
      </c>
      <c r="T87" s="143">
        <f t="shared" si="67"/>
        <v>192440.95868391916</v>
      </c>
      <c r="U87" s="143">
        <f t="shared" si="67"/>
        <v>193835.40220004704</v>
      </c>
      <c r="V87" s="143">
        <f t="shared" si="67"/>
        <v>195064.71424715943</v>
      </c>
      <c r="W87" s="143">
        <f t="shared" ref="W87:Y87" si="68">W85-(W74-W67)</f>
        <v>0</v>
      </c>
      <c r="X87" s="143">
        <f t="shared" si="68"/>
        <v>0</v>
      </c>
      <c r="Y87" s="143">
        <f t="shared" si="68"/>
        <v>0</v>
      </c>
      <c r="AL87" s="268"/>
    </row>
    <row r="88" spans="1:38" s="35" customFormat="1" x14ac:dyDescent="0.2">
      <c r="A88"/>
      <c r="F88" s="220"/>
      <c r="G88" s="220"/>
      <c r="H88" s="220"/>
      <c r="I88" s="220"/>
      <c r="J88" s="220"/>
      <c r="K88" s="220"/>
      <c r="L88" s="220"/>
      <c r="M88" s="135"/>
      <c r="N88" s="94"/>
      <c r="O88" s="94"/>
      <c r="P88" s="94"/>
      <c r="Q88" s="94"/>
      <c r="R88" s="94"/>
      <c r="S88" s="94"/>
      <c r="T88" s="94"/>
      <c r="U88" s="94"/>
      <c r="V88"/>
      <c r="AL88" s="243"/>
    </row>
    <row r="89" spans="1:38" s="187" customFormat="1" x14ac:dyDescent="0.2">
      <c r="A89" s="170"/>
      <c r="F89" s="195"/>
      <c r="G89" s="195"/>
      <c r="H89" s="195"/>
      <c r="I89" s="195"/>
      <c r="J89" s="195"/>
      <c r="K89" s="195"/>
      <c r="L89" s="195"/>
      <c r="M89" s="221"/>
      <c r="N89" s="195"/>
      <c r="O89" s="195"/>
      <c r="P89" s="195"/>
      <c r="Q89" s="195"/>
      <c r="R89" s="195"/>
      <c r="S89" s="195"/>
      <c r="T89" s="195"/>
      <c r="U89" s="195"/>
      <c r="AL89" s="244"/>
    </row>
    <row r="90" spans="1:38" x14ac:dyDescent="0.2">
      <c r="A90" t="s">
        <v>158</v>
      </c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2"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2"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2"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2"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2"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F2:I2"/>
    <mergeCell ref="A1:B1"/>
    <mergeCell ref="AL1:AO1"/>
    <mergeCell ref="AC2:AE2"/>
    <mergeCell ref="J2:M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D30" activePane="bottomRight" state="frozen"/>
      <selection pane="topRight" activeCell="C1" sqref="C1"/>
      <selection pane="bottomLeft" activeCell="A9" sqref="A9"/>
      <selection pane="bottomRight" activeCell="F40" sqref="F40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291" t="s">
        <v>208</v>
      </c>
      <c r="B1" s="292"/>
      <c r="C1" s="35"/>
      <c r="H1"/>
      <c r="I1" s="250"/>
      <c r="J1" s="299" t="s">
        <v>283</v>
      </c>
      <c r="V1" s="286"/>
      <c r="W1" s="286"/>
      <c r="X1" s="286"/>
      <c r="Y1" s="286"/>
    </row>
    <row r="2" spans="1:27" x14ac:dyDescent="0.2">
      <c r="A2" s="293" t="s">
        <v>192</v>
      </c>
      <c r="B2" s="126"/>
      <c r="C2" t="s">
        <v>193</v>
      </c>
      <c r="I2" s="251"/>
      <c r="J2" s="299"/>
    </row>
    <row r="3" spans="1:27" x14ac:dyDescent="0.2">
      <c r="A3" s="294"/>
      <c r="B3" s="127"/>
      <c r="C3" t="s">
        <v>194</v>
      </c>
      <c r="I3" s="251"/>
      <c r="J3" s="299"/>
    </row>
    <row r="4" spans="1:27" x14ac:dyDescent="0.2">
      <c r="A4" s="294"/>
      <c r="B4" s="128"/>
      <c r="C4" t="s">
        <v>195</v>
      </c>
    </row>
    <row r="5" spans="1:27" x14ac:dyDescent="0.2">
      <c r="A5" s="295"/>
      <c r="B5" s="129"/>
      <c r="C5" t="s">
        <v>182</v>
      </c>
    </row>
    <row r="7" spans="1:27" x14ac:dyDescent="0.2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ht="16" x14ac:dyDescent="0.2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ht="16" x14ac:dyDescent="0.2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2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main!L86/1000</f>
        <v>156.18299999999999</v>
      </c>
      <c r="E24" s="104">
        <f>main!M86/1000</f>
        <v>205.19499999999999</v>
      </c>
      <c r="F24" s="104">
        <f>main!N86/1000</f>
        <v>182.97060314006026</v>
      </c>
      <c r="G24" s="149">
        <f>main!O86/1000</f>
        <v>-530.15375073570431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9">
        <f>main!S86/1000</f>
        <v>188.12901011482731</v>
      </c>
      <c r="L24" s="104">
        <f>main!T86/1000</f>
        <v>231.54339706440277</v>
      </c>
      <c r="M24" s="232">
        <f>main!U86/1000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2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15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-743.21363811012623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main!L87/1000</f>
        <v>420.935</v>
      </c>
      <c r="F31" s="104">
        <f>main!M87/1000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15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main!L69/1000</f>
        <v>1336.6980000000001</v>
      </c>
      <c r="F50" s="104">
        <f>main!M69/1000</f>
        <v>1328.8050000000001</v>
      </c>
      <c r="G50" s="149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2">
        <f>main!Q69/1000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281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main!K68/1000</f>
        <v>1574.462</v>
      </c>
      <c r="E57" s="104">
        <f>main!L68/1000</f>
        <v>3713.565333333333</v>
      </c>
      <c r="F57" s="104">
        <f>main!M68/1000</f>
        <v>2508.7139999999999</v>
      </c>
      <c r="G57" s="149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5">
        <f>main!R68/1000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5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15">
      <c r="B59" s="213" t="s">
        <v>281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440.92675335280069</v>
      </c>
      <c r="I60" s="225">
        <f t="shared" ref="I60" si="96">I57-I58</f>
        <v>517.2278108710334</v>
      </c>
      <c r="J60" s="225">
        <f t="shared" ref="J60" si="97">J57-J58</f>
        <v>495.34254097599887</v>
      </c>
      <c r="K60" s="276">
        <f t="shared" ref="K60" si="98">K57-K58</f>
        <v>463.78244356721166</v>
      </c>
      <c r="L60" s="225">
        <f t="shared" ref="L60:AA60" si="99">L57-L58</f>
        <v>465.84239499799924</v>
      </c>
      <c r="M60" s="225">
        <f t="shared" si="99"/>
        <v>462.33858317017825</v>
      </c>
      <c r="N60" s="225">
        <f t="shared" si="99"/>
        <v>451.1307439185664</v>
      </c>
      <c r="O60" s="150">
        <f t="shared" si="99"/>
        <v>450.91316136999171</v>
      </c>
      <c r="P60" s="225">
        <f t="shared" si="99"/>
        <v>450.91316136999171</v>
      </c>
      <c r="Q60" s="225">
        <f t="shared" si="99"/>
        <v>450.91316136999171</v>
      </c>
      <c r="R60" s="225">
        <f t="shared" si="99"/>
        <v>450.91316136999171</v>
      </c>
      <c r="S60" s="150">
        <f t="shared" si="99"/>
        <v>450.91316136999171</v>
      </c>
      <c r="T60" s="225">
        <f t="shared" si="99"/>
        <v>450.91316136999171</v>
      </c>
      <c r="U60" s="225">
        <f t="shared" si="99"/>
        <v>450.91316136999171</v>
      </c>
      <c r="V60" s="225">
        <f t="shared" si="99"/>
        <v>450.91316136999171</v>
      </c>
      <c r="W60" s="150">
        <f t="shared" si="99"/>
        <v>450.91316136999171</v>
      </c>
      <c r="X60" s="225">
        <f t="shared" si="99"/>
        <v>450.91316136999171</v>
      </c>
      <c r="Y60" s="225">
        <f t="shared" si="99"/>
        <v>450.91316136999171</v>
      </c>
      <c r="Z60" s="225">
        <f t="shared" si="99"/>
        <v>450.91316136999171</v>
      </c>
      <c r="AA60" s="150">
        <f t="shared" si="99"/>
        <v>450.91316136999171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main!L46/1000</f>
        <v>1086.548</v>
      </c>
      <c r="F64" s="104">
        <f>main!M46/1000</f>
        <v>1213.308</v>
      </c>
      <c r="G64" s="149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9">
        <f>main!R46/1000</f>
        <v>100.25024999999999</v>
      </c>
      <c r="L64" s="232">
        <f>main!S46/1000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100">P64*(1+Q66)</f>
        <v>76.505429431105526</v>
      </c>
      <c r="R64" s="240">
        <f t="shared" si="100"/>
        <v>76.852083742211434</v>
      </c>
      <c r="S64" s="257">
        <f t="shared" si="100"/>
        <v>77.203673985457925</v>
      </c>
      <c r="T64" s="240">
        <f t="shared" si="100"/>
        <v>77.559061099581882</v>
      </c>
      <c r="U64" s="240">
        <f t="shared" si="100"/>
        <v>77.91520758788127</v>
      </c>
      <c r="V64" s="240">
        <f t="shared" si="100"/>
        <v>78.27325251161939</v>
      </c>
      <c r="W64" s="257">
        <f t="shared" si="100"/>
        <v>78.633195870796172</v>
      </c>
      <c r="X64" s="240">
        <f t="shared" si="100"/>
        <v>78.993898604148441</v>
      </c>
      <c r="Y64" s="240">
        <f t="shared" si="100"/>
        <v>79.35270290206202</v>
      </c>
      <c r="Z64" s="240">
        <f t="shared" si="100"/>
        <v>79.711886887063343</v>
      </c>
      <c r="AA64" s="257">
        <f t="shared" si="100"/>
        <v>80.071070872064709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15">
      <c r="B66" s="213" t="s">
        <v>281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-1120.5437736769309</v>
      </c>
      <c r="I67" s="225">
        <f t="shared" si="103"/>
        <v>-1124.95583479476</v>
      </c>
      <c r="J67" s="225">
        <f t="shared" si="103"/>
        <v>-1129.7203572857679</v>
      </c>
      <c r="K67" s="150">
        <f t="shared" si="103"/>
        <v>-1134.856223009233</v>
      </c>
      <c r="L67" s="225">
        <f t="shared" si="103"/>
        <v>-1165.6072012785651</v>
      </c>
      <c r="M67" s="225">
        <f t="shared" si="103"/>
        <v>-1170.6993843086477</v>
      </c>
      <c r="N67" s="225">
        <f t="shared" si="103"/>
        <v>-1175.8566242647828</v>
      </c>
      <c r="O67" s="150">
        <f t="shared" si="103"/>
        <v>-1181.0789211469692</v>
      </c>
      <c r="P67" s="225">
        <f t="shared" si="103"/>
        <v>-1186.3781034872188</v>
      </c>
      <c r="Q67" s="225">
        <f t="shared" si="103"/>
        <v>-1191.7009428914864</v>
      </c>
      <c r="R67" s="225">
        <f t="shared" si="103"/>
        <v>-1197.1006677538157</v>
      </c>
      <c r="S67" s="150">
        <f t="shared" si="103"/>
        <v>-1202.5772780742061</v>
      </c>
      <c r="T67" s="225">
        <f t="shared" si="103"/>
        <v>-1208.113031054645</v>
      </c>
      <c r="U67" s="225">
        <f t="shared" si="103"/>
        <v>-1213.6606125670928</v>
      </c>
      <c r="V67" s="225">
        <f t="shared" si="103"/>
        <v>-1219.2377654095646</v>
      </c>
      <c r="W67" s="150">
        <f t="shared" si="103"/>
        <v>-1224.8444895820596</v>
      </c>
      <c r="X67" s="225">
        <f t="shared" si="103"/>
        <v>-1230.4630422865646</v>
      </c>
      <c r="Y67" s="225">
        <f t="shared" si="103"/>
        <v>-1236.052023661046</v>
      </c>
      <c r="Z67" s="225">
        <f t="shared" si="103"/>
        <v>-1241.6469193015316</v>
      </c>
      <c r="AA67" s="150">
        <f t="shared" si="103"/>
        <v>-1247.2418149420184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main!L62/1000</f>
        <v>279.25</v>
      </c>
      <c r="F71" s="226">
        <f>main!M62/1000</f>
        <v>286.95061436735779</v>
      </c>
      <c r="G71" s="151">
        <f>main!N62/1000</f>
        <v>298.37288477706733</v>
      </c>
      <c r="H71" s="226">
        <f>main!O62/1000</f>
        <v>282.14099544764287</v>
      </c>
      <c r="I71" s="226">
        <f>main!P62/1000</f>
        <v>255.02243392207245</v>
      </c>
      <c r="J71" s="226">
        <f>main!Q62/1000</f>
        <v>256.05497613497749</v>
      </c>
      <c r="K71" s="151">
        <f>main!R62/1000</f>
        <v>251.54437969325102</v>
      </c>
      <c r="L71" s="226">
        <f>main!S62/1000</f>
        <v>247.2408068497152</v>
      </c>
      <c r="M71" s="226">
        <f>main!T62/1000</f>
        <v>248.95857178194768</v>
      </c>
      <c r="N71" s="226">
        <f>main!U62/1000</f>
        <v>250.86680125051294</v>
      </c>
      <c r="O71" s="151">
        <f>main!V62/1000</f>
        <v>252.62247677399645</v>
      </c>
      <c r="P71" s="255">
        <f>main!W62/1000</f>
        <v>254.57245802602731</v>
      </c>
      <c r="Q71" s="258">
        <f>P71*(1+Q73)</f>
        <v>266.81611601692032</v>
      </c>
      <c r="R71" s="258">
        <f t="shared" ref="R71:AA71" si="104">Q71*(1+R73)</f>
        <v>279.80337812932891</v>
      </c>
      <c r="S71" s="259">
        <f t="shared" si="104"/>
        <v>281.66851724758942</v>
      </c>
      <c r="T71" s="258">
        <f t="shared" si="104"/>
        <v>283.60929960678783</v>
      </c>
      <c r="U71" s="258">
        <f t="shared" si="104"/>
        <v>285.59477857560597</v>
      </c>
      <c r="V71" s="258">
        <f t="shared" si="104"/>
        <v>287.63695688168502</v>
      </c>
      <c r="W71" s="259">
        <f t="shared" si="104"/>
        <v>288.20265857582245</v>
      </c>
      <c r="X71" s="258">
        <f t="shared" si="104"/>
        <v>289.49562212520686</v>
      </c>
      <c r="Y71" s="258">
        <f t="shared" si="104"/>
        <v>290.12695053666232</v>
      </c>
      <c r="Z71" s="258">
        <f t="shared" si="104"/>
        <v>290.79948831348418</v>
      </c>
      <c r="AA71" s="259">
        <f t="shared" si="104"/>
        <v>291.21361923811332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32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7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281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68.614647648729658</v>
      </c>
      <c r="I74" s="225">
        <f t="shared" si="118"/>
        <v>56.665943583511762</v>
      </c>
      <c r="J74" s="225">
        <f t="shared" si="118"/>
        <v>72.288989016896693</v>
      </c>
      <c r="K74" s="150">
        <f t="shared" si="118"/>
        <v>56.491059459541219</v>
      </c>
      <c r="L74" s="225">
        <f t="shared" ref="L74:N74" si="119">L71-L72</f>
        <v>40.106394189216502</v>
      </c>
      <c r="M74" s="225">
        <f t="shared" si="119"/>
        <v>29.661254484149993</v>
      </c>
      <c r="N74" s="225">
        <f t="shared" si="119"/>
        <v>18.676309913851043</v>
      </c>
      <c r="O74" s="150">
        <f t="shared" ref="O74:AA74" si="120">O71-O72</f>
        <v>8.1784586186428498</v>
      </c>
      <c r="P74" s="249">
        <f t="shared" si="120"/>
        <v>-2.8700840526758213</v>
      </c>
      <c r="Q74" s="260">
        <f t="shared" si="120"/>
        <v>-3.0081206958325879</v>
      </c>
      <c r="R74" s="260">
        <f t="shared" si="120"/>
        <v>-3.1545408316389967</v>
      </c>
      <c r="S74" s="261">
        <f t="shared" si="120"/>
        <v>-3.1755686603398772</v>
      </c>
      <c r="T74" s="260">
        <f t="shared" si="120"/>
        <v>-3.1974493010895912</v>
      </c>
      <c r="U74" s="260">
        <f t="shared" si="120"/>
        <v>-3.2198338574140166</v>
      </c>
      <c r="V74" s="260">
        <f t="shared" si="120"/>
        <v>-3.2428576496751589</v>
      </c>
      <c r="W74" s="261">
        <f t="shared" si="120"/>
        <v>-3.2492354464859545</v>
      </c>
      <c r="X74" s="260">
        <f t="shared" si="120"/>
        <v>-3.2638124910435522</v>
      </c>
      <c r="Y74" s="260">
        <f t="shared" si="120"/>
        <v>-3.2709301722717896</v>
      </c>
      <c r="Z74" s="260">
        <f t="shared" si="120"/>
        <v>-3.2785124534150327</v>
      </c>
      <c r="AA74" s="261">
        <f t="shared" si="120"/>
        <v>-3.2831814210312018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4"/>
  <sheetViews>
    <sheetView topLeftCell="E1" zoomScale="120" zoomScaleNormal="120" workbookViewId="0">
      <selection activeCell="L12" sqref="L1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3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TRANSPOSE(main!L35:P35)/1000</f>
        <v>834.93333333333328</v>
      </c>
      <c r="M2" cm="1">
        <f t="array" ref="M2:M12">TRANSPOSE(main!L38:V38)/1000</f>
        <v>277.60000000000002</v>
      </c>
    </row>
    <row r="3" spans="1:13" x14ac:dyDescent="0.2">
      <c r="A3" s="190">
        <v>44104</v>
      </c>
      <c r="B3" s="102">
        <f t="array" ref="B3:B24">TRANSPOSE('add-ons calculations'!F27:AA27)</f>
        <v>-22.257396859939746</v>
      </c>
      <c r="C3">
        <f t="array" ref="C3:C24">TRANSPOSE('add-ons calculations'!F34:AA34)</f>
        <v>-591.10500000000002</v>
      </c>
      <c r="D3">
        <f t="array" ref="D3:D24">TRANSPOSE('add-ons calculations'!F40:AA40)</f>
        <v>4.5999999999821739E-2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594.45100000000002</v>
      </c>
      <c r="H3">
        <f t="array" ref="H3:H24">TRANSPOSE('add-ons calculations'!F67:AA67)</f>
        <v>0.60799999999994725</v>
      </c>
      <c r="I3">
        <f t="array" ref="I3:I24">TRANSPOSE('add-ons calculations'!F74:AA74)</f>
        <v>44.822614367357801</v>
      </c>
      <c r="J3" s="102">
        <f>'add-ons calculations'!F71</f>
        <v>286.95061436735779</v>
      </c>
      <c r="K3" s="102" cm="1">
        <f t="array" ref="K3:K12">TRANSPOSE(main!M33:V33)/1000</f>
        <v>874.87800000000004</v>
      </c>
      <c r="L3">
        <v>738.2</v>
      </c>
      <c r="M3">
        <v>140</v>
      </c>
    </row>
    <row r="4" spans="1:13" x14ac:dyDescent="0.2">
      <c r="A4" s="190">
        <v>44196</v>
      </c>
      <c r="B4">
        <v>-743.21363811012623</v>
      </c>
      <c r="C4">
        <v>-630.45068126596811</v>
      </c>
      <c r="D4">
        <v>9.1220108456809612E-2</v>
      </c>
      <c r="E4">
        <v>1.9071502101439819E-3</v>
      </c>
      <c r="F4">
        <v>39.284047628965254</v>
      </c>
      <c r="G4">
        <v>314.07836196786297</v>
      </c>
      <c r="H4">
        <v>-833.73947605477315</v>
      </c>
      <c r="I4">
        <v>69.242163837897039</v>
      </c>
      <c r="J4" s="102"/>
      <c r="K4" s="102">
        <v>337.8</v>
      </c>
      <c r="L4">
        <v>257.8</v>
      </c>
      <c r="M4">
        <v>80</v>
      </c>
    </row>
    <row r="5" spans="1:13" x14ac:dyDescent="0.2">
      <c r="A5" s="190">
        <v>44286</v>
      </c>
      <c r="B5">
        <v>-32.762764634016577</v>
      </c>
      <c r="C5">
        <v>-627.6397000131858</v>
      </c>
      <c r="D5">
        <v>9.2732986063538192E-2</v>
      </c>
      <c r="E5">
        <v>1.9387801313541786E-3</v>
      </c>
      <c r="F5">
        <v>53.362256246811285</v>
      </c>
      <c r="G5">
        <v>440.92675335280069</v>
      </c>
      <c r="H5">
        <v>-1120.5437736769309</v>
      </c>
      <c r="I5">
        <v>68.614647648729658</v>
      </c>
      <c r="K5">
        <v>244</v>
      </c>
      <c r="L5">
        <v>184</v>
      </c>
      <c r="M5">
        <v>60</v>
      </c>
    </row>
    <row r="6" spans="1:13" x14ac:dyDescent="0.2">
      <c r="A6" s="190">
        <v>44377</v>
      </c>
      <c r="B6">
        <v>-40.594652008438686</v>
      </c>
      <c r="C6">
        <v>-620.837644585357</v>
      </c>
      <c r="D6">
        <v>9.4207574237998415E-2</v>
      </c>
      <c r="E6">
        <v>1.969609530561911E-3</v>
      </c>
      <c r="F6">
        <v>63.467484623819473</v>
      </c>
      <c r="G6">
        <v>517.2278108710334</v>
      </c>
      <c r="H6">
        <v>-1124.95583479476</v>
      </c>
      <c r="I6">
        <v>56.665943583511762</v>
      </c>
      <c r="K6">
        <v>152</v>
      </c>
      <c r="L6">
        <v>108</v>
      </c>
      <c r="M6">
        <v>44</v>
      </c>
    </row>
    <row r="7" spans="1:13" x14ac:dyDescent="0.2">
      <c r="A7" s="190">
        <v>44469</v>
      </c>
      <c r="B7">
        <v>-48.426539382860597</v>
      </c>
      <c r="C7">
        <v>-601.63274124276234</v>
      </c>
      <c r="D7">
        <v>9.5783673922369417E-2</v>
      </c>
      <c r="E7">
        <v>2.0025612436285201E-3</v>
      </c>
      <c r="F7">
        <v>68.411854322616591</v>
      </c>
      <c r="G7">
        <v>495.34254097599887</v>
      </c>
      <c r="H7">
        <v>-1129.7203572857679</v>
      </c>
      <c r="I7">
        <v>72.288989016896693</v>
      </c>
      <c r="K7">
        <v>44</v>
      </c>
      <c r="L7">
        <v>0</v>
      </c>
      <c r="M7">
        <v>44</v>
      </c>
    </row>
    <row r="8" spans="1:13" x14ac:dyDescent="0.2">
      <c r="A8" s="190">
        <v>44561</v>
      </c>
      <c r="B8">
        <v>-46.071944194504397</v>
      </c>
      <c r="C8">
        <v>-620.38250935733299</v>
      </c>
      <c r="D8">
        <v>9.6839304535023984E-2</v>
      </c>
      <c r="E8">
        <v>2.024631444953684E-3</v>
      </c>
      <c r="F8">
        <v>70.152221482738696</v>
      </c>
      <c r="G8">
        <v>463.78244356721166</v>
      </c>
      <c r="H8">
        <v>-1134.856223009233</v>
      </c>
      <c r="I8">
        <v>56.491059459541219</v>
      </c>
      <c r="K8">
        <v>44</v>
      </c>
      <c r="L8">
        <v>0</v>
      </c>
      <c r="M8">
        <v>44</v>
      </c>
    </row>
    <row r="9" spans="1:13" x14ac:dyDescent="0.2">
      <c r="A9" s="190">
        <v>44651</v>
      </c>
      <c r="B9">
        <v>-0.30296205657262476</v>
      </c>
      <c r="C9">
        <v>-642.84660678631462</v>
      </c>
      <c r="D9">
        <v>0</v>
      </c>
      <c r="E9">
        <v>0</v>
      </c>
      <c r="F9">
        <v>71.892588642860801</v>
      </c>
      <c r="G9">
        <v>465.84239499799924</v>
      </c>
      <c r="H9">
        <v>-1165.6072012785651</v>
      </c>
      <c r="I9">
        <v>40.106394189216502</v>
      </c>
      <c r="K9">
        <v>44</v>
      </c>
      <c r="L9">
        <v>0</v>
      </c>
      <c r="M9">
        <v>44</v>
      </c>
    </row>
    <row r="10" spans="1:13" x14ac:dyDescent="0.2">
      <c r="A10" s="190">
        <v>44742</v>
      </c>
      <c r="B10">
        <v>2.0516331317836602</v>
      </c>
      <c r="C10">
        <v>-662.07651217129251</v>
      </c>
      <c r="D10">
        <v>0</v>
      </c>
      <c r="E10">
        <v>0</v>
      </c>
      <c r="F10">
        <v>73.632955802982906</v>
      </c>
      <c r="G10">
        <v>462.33858317017825</v>
      </c>
      <c r="H10">
        <v>-1170.6993843086477</v>
      </c>
      <c r="I10">
        <v>29.661254484149993</v>
      </c>
      <c r="K10">
        <v>44</v>
      </c>
      <c r="L10">
        <v>0</v>
      </c>
      <c r="M10">
        <v>44</v>
      </c>
    </row>
    <row r="11" spans="1:13" x14ac:dyDescent="0.2">
      <c r="A11" s="190">
        <v>44834</v>
      </c>
      <c r="B11">
        <v>2.0305832892202886</v>
      </c>
      <c r="C11">
        <v>-680.01051493350417</v>
      </c>
      <c r="D11">
        <v>0</v>
      </c>
      <c r="E11">
        <v>0</v>
      </c>
      <c r="F11">
        <v>75.373322963105011</v>
      </c>
      <c r="G11">
        <v>451.1307439185664</v>
      </c>
      <c r="H11">
        <v>-1175.8566242647828</v>
      </c>
      <c r="I11">
        <v>18.676309913851043</v>
      </c>
      <c r="K11">
        <v>44</v>
      </c>
      <c r="L11">
        <v>0</v>
      </c>
      <c r="M11">
        <v>44</v>
      </c>
    </row>
    <row r="12" spans="1:13" x14ac:dyDescent="0.2">
      <c r="A12" s="190">
        <v>44926</v>
      </c>
      <c r="B12">
        <v>2.0097400394941758</v>
      </c>
      <c r="C12">
        <v>-696.48492380078505</v>
      </c>
      <c r="D12">
        <v>0</v>
      </c>
      <c r="E12">
        <v>0</v>
      </c>
      <c r="F12">
        <v>75.586446231400942</v>
      </c>
      <c r="G12">
        <v>450.91316136999171</v>
      </c>
      <c r="H12">
        <v>-1181.0789211469692</v>
      </c>
      <c r="I12">
        <v>8.1784586186428498</v>
      </c>
      <c r="K12">
        <v>44</v>
      </c>
      <c r="M12">
        <v>44</v>
      </c>
    </row>
    <row r="13" spans="1:13" x14ac:dyDescent="0.2">
      <c r="A13" s="190">
        <v>45016</v>
      </c>
      <c r="B13">
        <v>1.9888967897680345</v>
      </c>
      <c r="C13">
        <v>-817.67623215503761</v>
      </c>
      <c r="D13">
        <v>0</v>
      </c>
      <c r="E13">
        <v>0</v>
      </c>
      <c r="F13">
        <v>75.799569499696645</v>
      </c>
      <c r="G13">
        <v>450.91316136999171</v>
      </c>
      <c r="H13">
        <v>-1186.3781034872188</v>
      </c>
      <c r="I13">
        <v>-2.8700840526758213</v>
      </c>
    </row>
    <row r="14" spans="1:13" x14ac:dyDescent="0.2">
      <c r="A14" s="190">
        <v>45107</v>
      </c>
      <c r="B14">
        <v>1.9680535400418933</v>
      </c>
      <c r="C14">
        <v>-835.96322772532972</v>
      </c>
      <c r="D14">
        <v>0</v>
      </c>
      <c r="E14">
        <v>0</v>
      </c>
      <c r="F14">
        <v>76.012692767992348</v>
      </c>
      <c r="G14">
        <v>450.91316136999171</v>
      </c>
      <c r="H14">
        <v>-1191.7009428914864</v>
      </c>
      <c r="I14">
        <v>-3.0081206958325879</v>
      </c>
    </row>
    <row r="15" spans="1:13" x14ac:dyDescent="0.2">
      <c r="A15" s="190">
        <v>45199</v>
      </c>
      <c r="B15">
        <v>1.9472102903157804</v>
      </c>
      <c r="C15">
        <v>-854.1375918451696</v>
      </c>
      <c r="D15">
        <v>0</v>
      </c>
      <c r="E15">
        <v>0</v>
      </c>
      <c r="F15">
        <v>76.225816036288279</v>
      </c>
      <c r="G15">
        <v>450.91316136999171</v>
      </c>
      <c r="H15">
        <v>-1197.1006677538157</v>
      </c>
      <c r="I15">
        <v>-3.1545408316389967</v>
      </c>
    </row>
    <row r="16" spans="1:13" x14ac:dyDescent="0.2">
      <c r="A16" s="190">
        <v>45291</v>
      </c>
      <c r="B16">
        <v>1.9691524171809078</v>
      </c>
      <c r="C16">
        <v>-859.85618944066186</v>
      </c>
      <c r="D16">
        <v>0</v>
      </c>
      <c r="E16">
        <v>0</v>
      </c>
      <c r="F16">
        <v>76.806290770357236</v>
      </c>
      <c r="G16">
        <v>450.91316136999171</v>
      </c>
      <c r="H16">
        <v>-1202.5772780742061</v>
      </c>
      <c r="I16">
        <v>-3.1755686603398772</v>
      </c>
    </row>
    <row r="17" spans="1:9" x14ac:dyDescent="0.2">
      <c r="A17" s="190">
        <v>45382</v>
      </c>
      <c r="B17">
        <v>1.9910945440460637</v>
      </c>
      <c r="C17">
        <v>-866.25057573887523</v>
      </c>
      <c r="D17">
        <v>0</v>
      </c>
      <c r="E17">
        <v>0</v>
      </c>
      <c r="F17">
        <v>77.386765504425966</v>
      </c>
      <c r="G17">
        <v>450.91316136999171</v>
      </c>
      <c r="H17">
        <v>-1208.113031054645</v>
      </c>
      <c r="I17">
        <v>-3.1974493010895912</v>
      </c>
    </row>
    <row r="18" spans="1:9" x14ac:dyDescent="0.2">
      <c r="A18" s="190">
        <v>45473</v>
      </c>
      <c r="B18">
        <v>2.0130366709111911</v>
      </c>
      <c r="C18">
        <v>-873.2644350145722</v>
      </c>
      <c r="D18">
        <v>0</v>
      </c>
      <c r="E18">
        <v>0</v>
      </c>
      <c r="F18">
        <v>77.967240238494924</v>
      </c>
      <c r="G18">
        <v>450.91316136999171</v>
      </c>
      <c r="H18">
        <v>-1213.6606125670928</v>
      </c>
      <c r="I18">
        <v>-3.2198338574140166</v>
      </c>
    </row>
    <row r="19" spans="1:9" x14ac:dyDescent="0.2">
      <c r="A19" s="190">
        <v>45565</v>
      </c>
      <c r="B19">
        <v>2.0349787977763469</v>
      </c>
      <c r="C19">
        <v>-881.17934589388699</v>
      </c>
      <c r="D19">
        <v>0</v>
      </c>
      <c r="E19">
        <v>0</v>
      </c>
      <c r="F19">
        <v>78.547714972563881</v>
      </c>
      <c r="G19">
        <v>450.91316136999171</v>
      </c>
      <c r="H19">
        <v>-1219.2377654095646</v>
      </c>
      <c r="I19">
        <v>-3.2428576496751589</v>
      </c>
    </row>
    <row r="20" spans="1:9" x14ac:dyDescent="0.2">
      <c r="A20" s="190">
        <v>45657</v>
      </c>
      <c r="B20">
        <v>2.0627743883631524</v>
      </c>
      <c r="C20">
        <v>-887.54372249410221</v>
      </c>
      <c r="D20">
        <v>0</v>
      </c>
      <c r="E20">
        <v>0</v>
      </c>
      <c r="F20">
        <v>80.42363380420511</v>
      </c>
      <c r="G20">
        <v>450.91316136999171</v>
      </c>
      <c r="H20">
        <v>-1224.8444895820596</v>
      </c>
      <c r="I20">
        <v>-3.2492354464859545</v>
      </c>
    </row>
    <row r="21" spans="1:9" x14ac:dyDescent="0.2">
      <c r="A21" s="190">
        <v>45747</v>
      </c>
      <c r="B21">
        <v>2.0905699789499579</v>
      </c>
      <c r="C21">
        <v>-893.79546764386509</v>
      </c>
      <c r="D21">
        <v>0</v>
      </c>
      <c r="E21">
        <v>0</v>
      </c>
      <c r="F21">
        <v>82.299552635846567</v>
      </c>
      <c r="G21">
        <v>450.91316136999171</v>
      </c>
      <c r="H21">
        <v>-1230.4630422865646</v>
      </c>
      <c r="I21">
        <v>-3.2638124910435522</v>
      </c>
    </row>
    <row r="22" spans="1:9" x14ac:dyDescent="0.2">
      <c r="A22" s="190">
        <v>45838</v>
      </c>
      <c r="B22">
        <v>2.1183655695367065</v>
      </c>
      <c r="C22">
        <v>-900.49773859542927</v>
      </c>
      <c r="D22">
        <v>0</v>
      </c>
      <c r="E22">
        <v>0</v>
      </c>
      <c r="F22">
        <v>84.175471467487796</v>
      </c>
      <c r="G22">
        <v>450.91316136999171</v>
      </c>
      <c r="H22">
        <v>-1236.052023661046</v>
      </c>
      <c r="I22">
        <v>-3.2709301722717896</v>
      </c>
    </row>
    <row r="23" spans="1:9" x14ac:dyDescent="0.2">
      <c r="A23" s="190">
        <v>45930</v>
      </c>
      <c r="B23">
        <v>2.1461611601234836</v>
      </c>
      <c r="C23">
        <v>-907.70685107403244</v>
      </c>
      <c r="D23">
        <v>0</v>
      </c>
      <c r="E23">
        <v>0</v>
      </c>
      <c r="F23">
        <v>86.051390299129253</v>
      </c>
      <c r="G23">
        <v>450.91316136999171</v>
      </c>
      <c r="H23">
        <v>-1241.6469193015316</v>
      </c>
      <c r="I23">
        <v>-3.2785124534150327</v>
      </c>
    </row>
    <row r="24" spans="1:9" x14ac:dyDescent="0.2">
      <c r="A24" s="190">
        <v>46022</v>
      </c>
      <c r="B24">
        <v>2.1750851411117083</v>
      </c>
      <c r="C24">
        <v>-915.03501956812443</v>
      </c>
      <c r="D24">
        <v>0</v>
      </c>
      <c r="E24">
        <v>0</v>
      </c>
      <c r="F24">
        <v>87.452518457736005</v>
      </c>
      <c r="G24">
        <v>450.91316136999171</v>
      </c>
      <c r="H24">
        <v>-1247.2418149420184</v>
      </c>
      <c r="I24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286" t="s">
        <v>21</v>
      </c>
      <c r="E1" s="286"/>
      <c r="F1" s="286"/>
      <c r="G1" s="286"/>
      <c r="H1" s="286" t="s">
        <v>9</v>
      </c>
      <c r="I1" s="286"/>
      <c r="J1" s="286"/>
      <c r="K1" s="286"/>
      <c r="L1" s="286" t="s">
        <v>10</v>
      </c>
      <c r="M1" s="286"/>
      <c r="N1" s="286"/>
      <c r="O1" s="286"/>
      <c r="P1" s="286" t="s">
        <v>11</v>
      </c>
      <c r="Q1" s="286"/>
      <c r="R1" s="286"/>
      <c r="S1" s="286"/>
      <c r="T1" s="286" t="s">
        <v>268</v>
      </c>
      <c r="U1" s="286"/>
      <c r="V1" s="286"/>
      <c r="W1" s="286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7">
        <f>main!N30</f>
        <v>2847845.8319988288</v>
      </c>
      <c r="M3" s="267">
        <f>main!O30</f>
        <v>2752064.9561336781</v>
      </c>
      <c r="N3" s="267">
        <f>main!P30</f>
        <v>2658305.2157637766</v>
      </c>
      <c r="O3" s="267">
        <f>main!Q30</f>
        <v>2548767.4784838995</v>
      </c>
      <c r="P3" s="267">
        <f>main!R30</f>
        <v>2601999.1665078122</v>
      </c>
      <c r="Q3" s="267">
        <f>main!S30</f>
        <v>2656541.4105371395</v>
      </c>
      <c r="R3" s="267">
        <f>main!T30</f>
        <v>2712430.6137193376</v>
      </c>
      <c r="S3" s="267">
        <f>main!U30</f>
        <v>2769704.2727967203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2">
      <c r="A5" s="35" t="s">
        <v>15</v>
      </c>
      <c r="D5" s="199">
        <f>main!F71</f>
        <v>728844</v>
      </c>
      <c r="E5" s="199">
        <f>main!G71</f>
        <v>738714</v>
      </c>
      <c r="F5" s="199">
        <f>main!H71</f>
        <v>755204</v>
      </c>
      <c r="G5" s="199">
        <f>main!I71</f>
        <v>763370</v>
      </c>
      <c r="H5" s="199">
        <f>main!J71</f>
        <v>760967</v>
      </c>
      <c r="I5" s="199">
        <f>main!K71</f>
        <v>767087</v>
      </c>
      <c r="J5" s="199">
        <f>main!L71</f>
        <v>812158</v>
      </c>
      <c r="K5" s="199">
        <f>main!M71</f>
        <v>835999</v>
      </c>
      <c r="L5" s="274">
        <f>main!N71</f>
        <v>846655.9390002318</v>
      </c>
      <c r="M5" s="274">
        <f>main!O71</f>
        <v>859704.14460568153</v>
      </c>
      <c r="N5" s="274">
        <f>main!P71</f>
        <v>867211.47334407107</v>
      </c>
      <c r="O5" s="274">
        <f>main!Q71</f>
        <v>867929.66513166018</v>
      </c>
      <c r="P5" s="274">
        <f>main!R71</f>
        <v>869012.33925145073</v>
      </c>
      <c r="Q5" s="274">
        <f>main!S71</f>
        <v>870466.73148570256</v>
      </c>
      <c r="R5" s="274">
        <f>main!T71</f>
        <v>872014.07451017783</v>
      </c>
      <c r="S5" s="274">
        <f>main!U71</f>
        <v>873408.51802630571</v>
      </c>
      <c r="T5" s="274">
        <f>main!V71</f>
        <v>874637.8300734181</v>
      </c>
      <c r="U5" s="274"/>
      <c r="V5" s="274"/>
      <c r="W5" s="274"/>
      <c r="AJ5" s="270"/>
    </row>
    <row r="6" spans="1:36" s="35" customFormat="1" x14ac:dyDescent="0.2">
      <c r="A6" s="35" t="s">
        <v>214</v>
      </c>
      <c r="D6" s="199">
        <f>main!F74</f>
        <v>589819</v>
      </c>
      <c r="E6" s="199">
        <f>main!G74</f>
        <v>599372</v>
      </c>
      <c r="F6" s="199">
        <f>main!H74</f>
        <v>614976</v>
      </c>
      <c r="G6" s="199">
        <f>main!I74</f>
        <v>622265</v>
      </c>
      <c r="H6" s="199">
        <f>main!J74</f>
        <v>619632</v>
      </c>
      <c r="I6" s="199">
        <f>main!K74</f>
        <v>624096</v>
      </c>
      <c r="J6" s="199">
        <f>main!L74</f>
        <v>668823</v>
      </c>
      <c r="K6" s="199">
        <f>main!M74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291" t="s">
        <v>208</v>
      </c>
      <c r="B1" s="292"/>
      <c r="C1" s="35"/>
      <c r="I1" s="250"/>
      <c r="J1" s="299" t="s">
        <v>283</v>
      </c>
      <c r="V1" s="286"/>
      <c r="W1" s="286"/>
      <c r="X1" s="286"/>
      <c r="Y1" s="286"/>
    </row>
    <row r="2" spans="1:27" x14ac:dyDescent="0.2">
      <c r="A2" s="293" t="s">
        <v>192</v>
      </c>
      <c r="B2" s="126"/>
      <c r="C2" t="s">
        <v>193</v>
      </c>
      <c r="H2" s="95"/>
      <c r="I2" s="251"/>
      <c r="J2" s="299"/>
    </row>
    <row r="3" spans="1:27" x14ac:dyDescent="0.2">
      <c r="A3" s="294"/>
      <c r="B3" s="127"/>
      <c r="C3" t="s">
        <v>194</v>
      </c>
      <c r="H3" s="95"/>
      <c r="I3" s="251"/>
      <c r="J3" s="299"/>
    </row>
    <row r="4" spans="1:27" x14ac:dyDescent="0.2">
      <c r="A4" s="294"/>
      <c r="B4" s="128"/>
      <c r="C4" t="s">
        <v>195</v>
      </c>
      <c r="H4" s="95"/>
      <c r="I4" s="95"/>
      <c r="J4" s="95"/>
    </row>
    <row r="5" spans="1:27" x14ac:dyDescent="0.2">
      <c r="A5" s="295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69" customFormat="1" x14ac:dyDescent="0.2">
      <c r="B8" s="269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ht="16" x14ac:dyDescent="0.2">
      <c r="B11" s="86" t="s">
        <v>172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ht="16" x14ac:dyDescent="0.2">
      <c r="B12" s="86" t="s">
        <v>173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ht="16" x14ac:dyDescent="0.2">
      <c r="B13" s="86" t="s">
        <v>174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ht="16" x14ac:dyDescent="0.2">
      <c r="B14" s="86" t="s">
        <v>175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ht="16" x14ac:dyDescent="0.2">
      <c r="B15" s="86" t="s">
        <v>176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ht="16" x14ac:dyDescent="0.2">
      <c r="B16" s="86" t="s">
        <v>167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ht="16" x14ac:dyDescent="0.2">
      <c r="B17" s="86" t="s">
        <v>168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ht="16" x14ac:dyDescent="0.2">
      <c r="B18" s="86" t="s">
        <v>169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ht="16" x14ac:dyDescent="0.2">
      <c r="B19" s="86" t="s">
        <v>170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2">
      <c r="B20" t="s">
        <v>196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281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5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281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683.50185830197597</v>
      </c>
      <c r="I48" s="225">
        <f t="shared" si="30"/>
        <v>803.5651155471096</v>
      </c>
      <c r="J48" s="225">
        <f t="shared" si="30"/>
        <v>843.28782539808162</v>
      </c>
      <c r="K48" s="276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1" t="s">
        <v>257</v>
      </c>
      <c r="B1" s="271" t="s">
        <v>250</v>
      </c>
      <c r="C1" s="271" t="s">
        <v>251</v>
      </c>
      <c r="D1" s="271" t="s">
        <v>252</v>
      </c>
      <c r="E1" s="271" t="s">
        <v>253</v>
      </c>
      <c r="F1" s="271" t="s">
        <v>254</v>
      </c>
      <c r="G1" s="271" t="s">
        <v>255</v>
      </c>
      <c r="H1" s="271" t="s">
        <v>256</v>
      </c>
      <c r="I1" s="271" t="s">
        <v>290</v>
      </c>
    </row>
    <row r="2" spans="1:9" x14ac:dyDescent="0.2">
      <c r="A2" s="272">
        <v>44104</v>
      </c>
      <c r="B2" s="273">
        <f t="array" ref="B2:B23">TRANSPOSE('add-ons calculations nipas'!F27:AA27)</f>
        <v>-7.7329999999999472</v>
      </c>
      <c r="C2" s="271">
        <f t="array" ref="C2:C23">TRANSPOSE('add-ons calculations nipas'!F34:AA34)</f>
        <v>691.399</v>
      </c>
      <c r="D2" s="271">
        <f t="array" ref="D2:D23">TRANSPOSE('add-ons calculations'!F40:AA40)</f>
        <v>4.5999999999821739E-2</v>
      </c>
      <c r="E2" s="271">
        <f t="array" ref="E2:E23">TRANSPOSE('add-ons calculations'!F46:AA46)</f>
        <v>0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817.02500000000009</v>
      </c>
      <c r="H2" s="271">
        <f t="array" ref="H2:H23">TRANSPOSE('add-ons calculations'!F67:AA67)</f>
        <v>0.60799999999994725</v>
      </c>
      <c r="I2" s="271">
        <f t="array" ref="I2:I23">TRANSPOSE('add-ons calculations'!F74:AA74)</f>
        <v>44.822614367357801</v>
      </c>
    </row>
    <row r="3" spans="1:9" x14ac:dyDescent="0.2">
      <c r="A3" s="272">
        <v>44196</v>
      </c>
      <c r="B3" s="271">
        <v>-21.942068749787381</v>
      </c>
      <c r="C3" s="271">
        <v>726.6220967502511</v>
      </c>
      <c r="D3" s="271">
        <v>9.1220108456809612E-2</v>
      </c>
      <c r="E3" s="271">
        <v>1.9071502101439819E-3</v>
      </c>
      <c r="F3" s="271">
        <v>23.142985628403267</v>
      </c>
      <c r="G3" s="271">
        <v>513.85424509879022</v>
      </c>
      <c r="H3" s="271">
        <v>-833.73947605477315</v>
      </c>
      <c r="I3" s="271">
        <v>69.242163837897039</v>
      </c>
    </row>
    <row r="4" spans="1:9" x14ac:dyDescent="0.2">
      <c r="A4" s="272">
        <v>44286</v>
      </c>
      <c r="B4" s="271">
        <v>-35.926328019357129</v>
      </c>
      <c r="C4" s="271">
        <v>764.23118760572027</v>
      </c>
      <c r="D4" s="271">
        <v>9.2732986063538192E-2</v>
      </c>
      <c r="E4" s="271">
        <v>1.9387801313541786E-3</v>
      </c>
      <c r="F4" s="271">
        <v>46.379353230327069</v>
      </c>
      <c r="G4" s="271">
        <v>683.50185830197597</v>
      </c>
      <c r="H4" s="271">
        <v>-1120.5437736769309</v>
      </c>
      <c r="I4" s="271">
        <v>68.614647648729658</v>
      </c>
    </row>
    <row r="5" spans="1:9" x14ac:dyDescent="0.2">
      <c r="A5" s="272">
        <v>44377</v>
      </c>
      <c r="B5" s="271">
        <v>-55.452357423799299</v>
      </c>
      <c r="C5" s="271">
        <v>796.29411591287919</v>
      </c>
      <c r="D5" s="271">
        <v>9.4207574237998415E-2</v>
      </c>
      <c r="E5" s="271">
        <v>1.969609530561911E-3</v>
      </c>
      <c r="F5" s="271">
        <v>69.743650491218432</v>
      </c>
      <c r="G5" s="271">
        <v>803.5651155471096</v>
      </c>
      <c r="H5" s="271">
        <v>-1124.95583479476</v>
      </c>
      <c r="I5" s="271">
        <v>56.665943583511762</v>
      </c>
    </row>
    <row r="6" spans="1:9" x14ac:dyDescent="0.2">
      <c r="A6" s="272">
        <v>44469</v>
      </c>
      <c r="B6" s="271">
        <v>-82.127515173818438</v>
      </c>
      <c r="C6" s="271">
        <v>819.43775129708126</v>
      </c>
      <c r="D6" s="271">
        <v>9.5783673922369417E-2</v>
      </c>
      <c r="E6" s="271">
        <v>2.0025612436285201E-3</v>
      </c>
      <c r="F6" s="271">
        <v>93.23744404962531</v>
      </c>
      <c r="G6" s="271">
        <v>843.28782539808162</v>
      </c>
      <c r="H6" s="271">
        <v>-1129.7203572857679</v>
      </c>
      <c r="I6" s="271">
        <v>72.288989016896693</v>
      </c>
    </row>
    <row r="7" spans="1:9" x14ac:dyDescent="0.2">
      <c r="A7" s="272">
        <v>44561</v>
      </c>
      <c r="B7" s="271">
        <v>-74.107839317399907</v>
      </c>
      <c r="C7" s="271">
        <v>806.09430547419333</v>
      </c>
      <c r="D7" s="271">
        <v>9.6839304535023984E-2</v>
      </c>
      <c r="E7" s="271">
        <v>2.024631444953684E-3</v>
      </c>
      <c r="F7" s="271">
        <v>97.945155839323775</v>
      </c>
      <c r="G7" s="271">
        <v>850.04005809445835</v>
      </c>
      <c r="H7" s="271">
        <v>-1134.856223009233</v>
      </c>
      <c r="I7" s="271">
        <v>56.491059459541219</v>
      </c>
    </row>
    <row r="8" spans="1:9" x14ac:dyDescent="0.2">
      <c r="A8" s="272">
        <v>44651</v>
      </c>
      <c r="B8" s="271">
        <v>-66.088163460981491</v>
      </c>
      <c r="C8" s="271">
        <v>790.92303196281762</v>
      </c>
      <c r="D8" s="271">
        <v>0</v>
      </c>
      <c r="E8" s="271">
        <v>0</v>
      </c>
      <c r="F8" s="271">
        <v>102.65286762902224</v>
      </c>
      <c r="G8" s="271">
        <v>858.64698733295586</v>
      </c>
      <c r="H8" s="271">
        <v>-1165.6072012785651</v>
      </c>
      <c r="I8" s="271">
        <v>40.106394189216502</v>
      </c>
    </row>
    <row r="9" spans="1:9" x14ac:dyDescent="0.2">
      <c r="A9" s="272">
        <v>44742</v>
      </c>
      <c r="B9" s="271">
        <v>-58.068487604563074</v>
      </c>
      <c r="C9" s="271">
        <v>961.70512289327155</v>
      </c>
      <c r="D9" s="271">
        <v>0</v>
      </c>
      <c r="E9" s="271">
        <v>0</v>
      </c>
      <c r="F9" s="271">
        <v>107.3605794187207</v>
      </c>
      <c r="G9" s="271">
        <v>858.38505548999569</v>
      </c>
      <c r="H9" s="271">
        <v>-1170.6993843086477</v>
      </c>
      <c r="I9" s="271">
        <v>29.661254484149993</v>
      </c>
    </row>
    <row r="10" spans="1:9" x14ac:dyDescent="0.2">
      <c r="A10" s="272">
        <v>44834</v>
      </c>
      <c r="B10" s="271">
        <v>-57.472702469768592</v>
      </c>
      <c r="C10" s="271">
        <v>1123.4911234396754</v>
      </c>
      <c r="D10" s="271">
        <v>0</v>
      </c>
      <c r="E10" s="271">
        <v>0</v>
      </c>
      <c r="F10" s="271">
        <v>112.06829120841905</v>
      </c>
      <c r="G10" s="271">
        <v>845.84259591544492</v>
      </c>
      <c r="H10" s="271">
        <v>-1175.8566242647828</v>
      </c>
      <c r="I10" s="271">
        <v>18.676309913851043</v>
      </c>
    </row>
    <row r="11" spans="1:9" x14ac:dyDescent="0.2">
      <c r="A11" s="272">
        <v>44926</v>
      </c>
      <c r="B11" s="271">
        <v>-56.882764644330791</v>
      </c>
      <c r="C11" s="271">
        <v>1274.778725078075</v>
      </c>
      <c r="D11" s="271">
        <v>0</v>
      </c>
      <c r="E11" s="271">
        <v>0</v>
      </c>
      <c r="F11" s="271">
        <v>113.21479904544935</v>
      </c>
      <c r="G11" s="271">
        <v>846.79218391518066</v>
      </c>
      <c r="H11" s="271">
        <v>-1181.0789211469692</v>
      </c>
      <c r="I11" s="271">
        <v>8.1784586186428498</v>
      </c>
    </row>
    <row r="12" spans="1:9" x14ac:dyDescent="0.2">
      <c r="A12" s="272">
        <v>45016</v>
      </c>
      <c r="B12" s="271">
        <v>-56.292826818892991</v>
      </c>
      <c r="C12" s="271">
        <v>1423.5474214089395</v>
      </c>
      <c r="D12" s="271">
        <v>0</v>
      </c>
      <c r="E12" s="271">
        <v>0</v>
      </c>
      <c r="F12" s="271">
        <v>114.36130688247965</v>
      </c>
      <c r="G12" s="271">
        <v>848.25444289166103</v>
      </c>
      <c r="H12" s="271">
        <v>-1186.3781034872188</v>
      </c>
      <c r="I12" s="271">
        <v>-2.8700840526758213</v>
      </c>
    </row>
    <row r="13" spans="1:9" x14ac:dyDescent="0.2">
      <c r="A13" s="272">
        <v>45107</v>
      </c>
      <c r="B13" s="271">
        <v>-55.70288899345519</v>
      </c>
      <c r="C13" s="271">
        <v>1580.2326772777706</v>
      </c>
      <c r="D13" s="271">
        <v>0</v>
      </c>
      <c r="E13" s="271">
        <v>0</v>
      </c>
      <c r="F13" s="271">
        <v>115.50781471950995</v>
      </c>
      <c r="G13" s="271">
        <v>850.06731710176859</v>
      </c>
      <c r="H13" s="271">
        <v>-1191.7009428914864</v>
      </c>
      <c r="I13" s="271">
        <v>-3.0081206958325879</v>
      </c>
    </row>
    <row r="14" spans="1:9" x14ac:dyDescent="0.2">
      <c r="A14" s="272">
        <v>45199</v>
      </c>
      <c r="B14" s="271">
        <v>-55.112951168017389</v>
      </c>
      <c r="C14" s="271">
        <v>1736.1982459158774</v>
      </c>
      <c r="D14" s="271">
        <v>0</v>
      </c>
      <c r="E14" s="271">
        <v>0</v>
      </c>
      <c r="F14" s="271">
        <v>116.65432255654025</v>
      </c>
      <c r="G14" s="271">
        <v>852.88477510766552</v>
      </c>
      <c r="H14" s="271">
        <v>-1197.1006677538157</v>
      </c>
      <c r="I14" s="271">
        <v>-3.1545408316389967</v>
      </c>
    </row>
    <row r="15" spans="1:9" x14ac:dyDescent="0.2">
      <c r="A15" s="272">
        <v>45291</v>
      </c>
      <c r="B15" s="271">
        <v>-55.733991110367128</v>
      </c>
      <c r="C15" s="271">
        <v>1730.8026319571122</v>
      </c>
      <c r="D15" s="271">
        <v>0</v>
      </c>
      <c r="E15" s="271">
        <v>0</v>
      </c>
      <c r="F15" s="271">
        <v>117.32067194419665</v>
      </c>
      <c r="G15" s="271">
        <v>861.50572629627095</v>
      </c>
      <c r="H15" s="271">
        <v>-1202.5772780742061</v>
      </c>
      <c r="I15" s="271">
        <v>-3.1755686603398772</v>
      </c>
    </row>
    <row r="16" spans="1:9" x14ac:dyDescent="0.2">
      <c r="A16" s="272">
        <v>45382</v>
      </c>
      <c r="B16" s="271">
        <v>-56.355031052716868</v>
      </c>
      <c r="C16" s="271">
        <v>1729.7251413826953</v>
      </c>
      <c r="D16" s="271">
        <v>0</v>
      </c>
      <c r="E16" s="271">
        <v>0</v>
      </c>
      <c r="F16" s="271">
        <v>117.98702133185293</v>
      </c>
      <c r="G16" s="271">
        <v>869.78940994020809</v>
      </c>
      <c r="H16" s="271">
        <v>-1208.113031054645</v>
      </c>
      <c r="I16" s="271">
        <v>-3.1974493010895912</v>
      </c>
    </row>
    <row r="17" spans="1:9" x14ac:dyDescent="0.2">
      <c r="A17" s="272">
        <v>45473</v>
      </c>
      <c r="B17" s="271">
        <v>-56.976070995066607</v>
      </c>
      <c r="C17" s="271">
        <v>1732.6059305772574</v>
      </c>
      <c r="D17" s="271">
        <v>0</v>
      </c>
      <c r="E17" s="271">
        <v>0</v>
      </c>
      <c r="F17" s="271">
        <v>118.65337071950921</v>
      </c>
      <c r="G17" s="271">
        <v>876.50054554939038</v>
      </c>
      <c r="H17" s="271">
        <v>-1213.6606125670928</v>
      </c>
      <c r="I17" s="271">
        <v>-3.2198338574140166</v>
      </c>
    </row>
    <row r="18" spans="1:9" x14ac:dyDescent="0.2">
      <c r="A18" s="272">
        <v>45565</v>
      </c>
      <c r="B18" s="271">
        <v>-57.597110937416346</v>
      </c>
      <c r="C18" s="271">
        <v>1741.244217617616</v>
      </c>
      <c r="D18" s="271">
        <v>0</v>
      </c>
      <c r="E18" s="271">
        <v>0</v>
      </c>
      <c r="F18" s="271">
        <v>119.31972010716561</v>
      </c>
      <c r="G18" s="271">
        <v>882.24775744790236</v>
      </c>
      <c r="H18" s="271">
        <v>-1219.2377654095646</v>
      </c>
      <c r="I18" s="271">
        <v>-3.2428576496751589</v>
      </c>
    </row>
    <row r="19" spans="1:9" x14ac:dyDescent="0.2">
      <c r="A19" s="272">
        <v>45657</v>
      </c>
      <c r="B19" s="271">
        <v>-58.383824644874608</v>
      </c>
      <c r="C19" s="271">
        <v>1728.7877655292568</v>
      </c>
      <c r="D19" s="271">
        <v>0</v>
      </c>
      <c r="E19" s="271">
        <v>0</v>
      </c>
      <c r="F19" s="271">
        <v>122.81863012191729</v>
      </c>
      <c r="G19" s="271">
        <v>902.60982095533109</v>
      </c>
      <c r="H19" s="271">
        <v>-1224.8444895820596</v>
      </c>
      <c r="I19" s="271">
        <v>-3.2492354464859545</v>
      </c>
    </row>
    <row r="20" spans="1:9" x14ac:dyDescent="0.2">
      <c r="A20" s="272">
        <v>45747</v>
      </c>
      <c r="B20" s="271">
        <v>-59.170538352332983</v>
      </c>
      <c r="C20" s="271">
        <v>1715.6116262101732</v>
      </c>
      <c r="D20" s="271">
        <v>0</v>
      </c>
      <c r="E20" s="271">
        <v>0</v>
      </c>
      <c r="F20" s="271">
        <v>126.31754013666887</v>
      </c>
      <c r="G20" s="271">
        <v>919.79903559883928</v>
      </c>
      <c r="H20" s="271">
        <v>-1230.4630422865646</v>
      </c>
      <c r="I20" s="271">
        <v>-3.2638124910435522</v>
      </c>
    </row>
    <row r="21" spans="1:9" x14ac:dyDescent="0.2">
      <c r="A21" s="272">
        <v>45838</v>
      </c>
      <c r="B21" s="271">
        <v>-59.957252059791244</v>
      </c>
      <c r="C21" s="271">
        <v>1705.3142358139858</v>
      </c>
      <c r="D21" s="271">
        <v>0</v>
      </c>
      <c r="E21" s="271">
        <v>0</v>
      </c>
      <c r="F21" s="271">
        <v>129.81645015142067</v>
      </c>
      <c r="G21" s="271">
        <v>934.17753410578689</v>
      </c>
      <c r="H21" s="271">
        <v>-1236.052023661046</v>
      </c>
      <c r="I21" s="271">
        <v>-3.2709301722717896</v>
      </c>
    </row>
    <row r="22" spans="1:9" x14ac:dyDescent="0.2">
      <c r="A22" s="272">
        <v>45930</v>
      </c>
      <c r="B22" s="271">
        <v>-60.74396576724962</v>
      </c>
      <c r="C22" s="271">
        <v>1698.2554379560565</v>
      </c>
      <c r="D22" s="271">
        <v>0</v>
      </c>
      <c r="E22" s="271">
        <v>0</v>
      </c>
      <c r="F22" s="271">
        <v>133.31536016617247</v>
      </c>
      <c r="G22" s="271">
        <v>945.44284276820849</v>
      </c>
      <c r="H22" s="271">
        <v>-1241.6469193015316</v>
      </c>
      <c r="I22" s="271">
        <v>-3.2785124534150327</v>
      </c>
    </row>
    <row r="23" spans="1:9" x14ac:dyDescent="0.2">
      <c r="A23" s="272">
        <v>46022</v>
      </c>
      <c r="B23" s="271">
        <v>-61.562616921527933</v>
      </c>
      <c r="C23" s="271">
        <v>1689.8007860527734</v>
      </c>
      <c r="D23" s="271">
        <v>0</v>
      </c>
      <c r="E23" s="271">
        <v>0</v>
      </c>
      <c r="F23" s="271">
        <v>135.67395143661656</v>
      </c>
      <c r="G23" s="271">
        <v>951.51196828767593</v>
      </c>
      <c r="H23" s="271">
        <v>-1247.2418149420184</v>
      </c>
      <c r="I23" s="271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7.33203125" bestFit="1" customWidth="1"/>
    <col min="2" max="9" width="10.1640625" bestFit="1" customWidth="1"/>
  </cols>
  <sheetData>
    <row r="1" spans="1:9" s="280" customFormat="1" x14ac:dyDescent="0.2">
      <c r="A1" s="280" t="s">
        <v>325</v>
      </c>
      <c r="B1" s="280" t="s">
        <v>326</v>
      </c>
      <c r="C1" s="280" t="s">
        <v>327</v>
      </c>
      <c r="D1" s="280" t="s">
        <v>328</v>
      </c>
      <c r="E1" s="280" t="s">
        <v>329</v>
      </c>
      <c r="F1" s="280" t="s">
        <v>330</v>
      </c>
      <c r="G1" s="280" t="s">
        <v>331</v>
      </c>
      <c r="H1" s="280" t="s">
        <v>332</v>
      </c>
      <c r="I1" s="280" t="s">
        <v>333</v>
      </c>
    </row>
    <row r="2" spans="1:9" x14ac:dyDescent="0.2">
      <c r="A2" t="s">
        <v>295</v>
      </c>
      <c r="B2" s="284">
        <v>20909.900000000001</v>
      </c>
      <c r="C2" s="284">
        <v>21115.3</v>
      </c>
      <c r="D2" s="284">
        <v>21329.9</v>
      </c>
      <c r="E2" s="284">
        <v>21540.3</v>
      </c>
      <c r="F2" s="284">
        <v>21747.4</v>
      </c>
      <c r="G2" s="284">
        <v>21561.1</v>
      </c>
      <c r="H2" s="284">
        <v>19520.099999999999</v>
      </c>
      <c r="I2" s="284">
        <v>21157.1</v>
      </c>
    </row>
    <row r="3" spans="1:9" x14ac:dyDescent="0.2">
      <c r="A3" t="s">
        <v>296</v>
      </c>
      <c r="B3" s="284">
        <v>18813.900000000001</v>
      </c>
      <c r="C3" s="284">
        <v>18950.3</v>
      </c>
      <c r="D3" s="284">
        <v>19020.599999999999</v>
      </c>
      <c r="E3" s="284">
        <v>19141.7</v>
      </c>
      <c r="F3" s="284">
        <v>19254</v>
      </c>
      <c r="G3" s="284">
        <v>19010.8</v>
      </c>
      <c r="H3" s="284">
        <v>17302.5</v>
      </c>
      <c r="I3" s="284">
        <v>18583.5</v>
      </c>
    </row>
    <row r="4" spans="1:9" x14ac:dyDescent="0.2">
      <c r="A4" t="s">
        <v>297</v>
      </c>
      <c r="B4" s="284">
        <v>1634.2</v>
      </c>
      <c r="C4" s="284">
        <v>1695.5</v>
      </c>
      <c r="D4" s="284">
        <v>1703.1</v>
      </c>
      <c r="E4" s="284">
        <v>1713.2</v>
      </c>
      <c r="F4" s="284">
        <v>1740.2</v>
      </c>
      <c r="G4" s="284">
        <v>1756.6</v>
      </c>
      <c r="H4" s="284">
        <v>1600.1</v>
      </c>
      <c r="I4" s="284">
        <v>1687.2</v>
      </c>
    </row>
    <row r="5" spans="1:9" x14ac:dyDescent="0.2">
      <c r="A5" t="s">
        <v>298</v>
      </c>
      <c r="B5" s="284">
        <v>183.5</v>
      </c>
      <c r="C5" s="284">
        <v>172.1</v>
      </c>
      <c r="D5" s="284">
        <v>168.3</v>
      </c>
      <c r="E5" s="284">
        <v>175.1</v>
      </c>
      <c r="F5" s="284">
        <v>179.2</v>
      </c>
      <c r="G5" s="284">
        <v>183.8</v>
      </c>
      <c r="H5" s="284">
        <v>131.4</v>
      </c>
      <c r="I5" s="284">
        <v>144.69999999999999</v>
      </c>
    </row>
    <row r="6" spans="1:9" x14ac:dyDescent="0.2">
      <c r="A6" t="s">
        <v>299</v>
      </c>
      <c r="B6" s="284">
        <v>1355.2</v>
      </c>
      <c r="C6" s="284">
        <v>1386.7</v>
      </c>
      <c r="D6" s="284">
        <v>1392.6</v>
      </c>
      <c r="E6" s="284">
        <v>1397.2</v>
      </c>
      <c r="F6" s="284">
        <v>1411.7</v>
      </c>
      <c r="G6" s="284">
        <v>1431.2</v>
      </c>
      <c r="H6" s="284">
        <v>1369.2</v>
      </c>
      <c r="I6" s="284">
        <v>1429.6</v>
      </c>
    </row>
    <row r="7" spans="1:9" x14ac:dyDescent="0.2">
      <c r="A7" t="s">
        <v>300</v>
      </c>
      <c r="B7" s="284">
        <v>234.7</v>
      </c>
      <c r="C7" s="284">
        <v>213.8</v>
      </c>
      <c r="D7" s="284">
        <v>224.2</v>
      </c>
      <c r="E7" s="284">
        <v>201.6</v>
      </c>
      <c r="F7" s="284">
        <v>229.7</v>
      </c>
      <c r="G7" s="284">
        <v>180.5</v>
      </c>
      <c r="H7" s="284">
        <v>171.5</v>
      </c>
      <c r="I7" s="284">
        <v>205.3</v>
      </c>
    </row>
    <row r="8" spans="1:9" x14ac:dyDescent="0.2">
      <c r="A8" t="s">
        <v>301</v>
      </c>
      <c r="B8" s="284">
        <v>456.5</v>
      </c>
      <c r="C8" s="284">
        <v>475.2</v>
      </c>
      <c r="D8" s="284">
        <v>519.4</v>
      </c>
      <c r="E8" s="284">
        <v>483.9</v>
      </c>
      <c r="F8" s="284">
        <v>480.9</v>
      </c>
      <c r="G8" s="284">
        <v>495.8</v>
      </c>
      <c r="H8" s="284">
        <v>496.4</v>
      </c>
      <c r="I8" s="284">
        <v>499.4</v>
      </c>
    </row>
    <row r="9" spans="1:9" x14ac:dyDescent="0.2">
      <c r="A9" t="s">
        <v>302</v>
      </c>
      <c r="B9" s="284">
        <v>1295.5</v>
      </c>
      <c r="C9" s="284">
        <v>1301.5999999999999</v>
      </c>
      <c r="D9" s="284">
        <v>1312.4</v>
      </c>
      <c r="E9" s="284">
        <v>1326.5</v>
      </c>
      <c r="F9" s="284">
        <v>1330.4</v>
      </c>
      <c r="G9" s="284">
        <v>1346.2</v>
      </c>
      <c r="H9" s="284">
        <v>1264.3</v>
      </c>
      <c r="I9" s="284">
        <v>1317.3</v>
      </c>
    </row>
    <row r="10" spans="1:9" x14ac:dyDescent="0.2">
      <c r="A10" t="s">
        <v>334</v>
      </c>
      <c r="B10" s="284">
        <v>8600</v>
      </c>
      <c r="C10" s="284">
        <v>8932</v>
      </c>
      <c r="D10" s="284">
        <v>8944</v>
      </c>
      <c r="E10" s="284">
        <v>8604</v>
      </c>
      <c r="F10" s="284">
        <v>7908</v>
      </c>
      <c r="G10" s="284">
        <v>7020</v>
      </c>
      <c r="H10" s="284">
        <v>6744</v>
      </c>
      <c r="I10" s="284">
        <v>7248</v>
      </c>
    </row>
    <row r="11" spans="1:9" x14ac:dyDescent="0.2">
      <c r="A11" t="s">
        <v>335</v>
      </c>
      <c r="B11" s="284">
        <v>12969</v>
      </c>
      <c r="C11" s="284">
        <v>13054</v>
      </c>
      <c r="D11" s="284">
        <v>13132</v>
      </c>
      <c r="E11" s="284">
        <v>13183</v>
      </c>
      <c r="F11" s="284">
        <v>13235</v>
      </c>
      <c r="G11" s="284">
        <v>13345</v>
      </c>
      <c r="H11" s="284">
        <v>12362</v>
      </c>
      <c r="I11" s="284">
        <v>12998</v>
      </c>
    </row>
    <row r="12" spans="1:9" x14ac:dyDescent="0.2">
      <c r="A12" t="s">
        <v>304</v>
      </c>
      <c r="B12" s="284">
        <v>63.5</v>
      </c>
      <c r="C12" s="284">
        <v>68.5</v>
      </c>
      <c r="D12" s="284">
        <v>68.7</v>
      </c>
      <c r="E12" s="284">
        <v>69.8</v>
      </c>
      <c r="F12" s="284">
        <v>71</v>
      </c>
      <c r="G12" s="284">
        <v>62.7</v>
      </c>
      <c r="H12" s="284">
        <v>54.2</v>
      </c>
      <c r="I12" s="284">
        <v>79.099999999999994</v>
      </c>
    </row>
    <row r="13" spans="1:9" x14ac:dyDescent="0.2">
      <c r="A13" t="s">
        <v>305</v>
      </c>
      <c r="B13" s="284">
        <v>2220523</v>
      </c>
      <c r="C13" s="284">
        <v>2298792</v>
      </c>
      <c r="D13" s="284">
        <v>2315842</v>
      </c>
      <c r="E13" s="284">
        <v>2331428</v>
      </c>
      <c r="F13" s="284">
        <v>2347737</v>
      </c>
      <c r="G13" s="284">
        <v>2422546</v>
      </c>
      <c r="H13" s="284">
        <v>4815254</v>
      </c>
      <c r="I13" s="284">
        <v>3488125</v>
      </c>
    </row>
    <row r="14" spans="1:9" x14ac:dyDescent="0.2">
      <c r="A14" t="s">
        <v>306</v>
      </c>
      <c r="B14" s="284">
        <v>753311</v>
      </c>
      <c r="C14" s="284">
        <v>767353</v>
      </c>
      <c r="D14" s="284">
        <v>779707</v>
      </c>
      <c r="E14" s="284">
        <v>789893</v>
      </c>
      <c r="F14" s="284">
        <v>797912</v>
      </c>
      <c r="G14" s="284">
        <v>804655</v>
      </c>
      <c r="H14" s="284">
        <v>824058</v>
      </c>
      <c r="I14" s="284">
        <v>842733</v>
      </c>
    </row>
    <row r="15" spans="1:9" x14ac:dyDescent="0.2">
      <c r="A15" t="s">
        <v>307</v>
      </c>
      <c r="H15" s="284">
        <v>1078100</v>
      </c>
      <c r="I15" s="284">
        <v>15600</v>
      </c>
    </row>
    <row r="16" spans="1:9" x14ac:dyDescent="0.2">
      <c r="A16" t="s">
        <v>308</v>
      </c>
      <c r="B16" s="284">
        <v>27025</v>
      </c>
      <c r="C16" s="284">
        <v>28029</v>
      </c>
      <c r="D16" s="284">
        <v>27483</v>
      </c>
      <c r="E16" s="284">
        <v>27578</v>
      </c>
      <c r="F16" s="284">
        <v>27884</v>
      </c>
      <c r="G16" s="284">
        <v>43429</v>
      </c>
      <c r="H16" s="284">
        <v>1084572</v>
      </c>
      <c r="I16" s="284">
        <v>768678</v>
      </c>
    </row>
    <row r="17" spans="1:9" x14ac:dyDescent="0.2">
      <c r="A17" t="s">
        <v>309</v>
      </c>
      <c r="H17" s="284">
        <v>19100</v>
      </c>
      <c r="I17" s="284">
        <v>27000</v>
      </c>
    </row>
    <row r="18" spans="1:9" x14ac:dyDescent="0.2">
      <c r="A18" t="s">
        <v>310</v>
      </c>
      <c r="H18" s="284">
        <v>160900</v>
      </c>
      <c r="I18" s="284">
        <v>58400</v>
      </c>
    </row>
    <row r="19" spans="1:9" x14ac:dyDescent="0.2">
      <c r="A19" t="s">
        <v>311</v>
      </c>
      <c r="B19" s="284">
        <v>79458</v>
      </c>
      <c r="C19" s="284">
        <v>71318</v>
      </c>
      <c r="D19" s="284">
        <v>61083</v>
      </c>
      <c r="E19" s="284">
        <v>81998</v>
      </c>
      <c r="F19" s="284">
        <v>81147</v>
      </c>
      <c r="G19" s="284">
        <v>75093</v>
      </c>
      <c r="H19" s="284">
        <v>1086548</v>
      </c>
      <c r="I19" s="284">
        <v>1213308</v>
      </c>
    </row>
    <row r="20" spans="1:9" x14ac:dyDescent="0.2">
      <c r="A20" t="s">
        <v>312</v>
      </c>
      <c r="H20" s="284">
        <v>609300</v>
      </c>
      <c r="I20" s="284">
        <v>865600</v>
      </c>
    </row>
    <row r="21" spans="1:9" x14ac:dyDescent="0.2">
      <c r="A21" t="s">
        <v>313</v>
      </c>
      <c r="H21" s="284">
        <v>63800</v>
      </c>
      <c r="I21" s="284">
        <v>15000</v>
      </c>
    </row>
    <row r="22" spans="1:9" x14ac:dyDescent="0.2">
      <c r="A22" t="s">
        <v>314</v>
      </c>
      <c r="H22" s="284">
        <v>73300</v>
      </c>
      <c r="I22" s="284">
        <v>73300</v>
      </c>
    </row>
    <row r="23" spans="1:9" x14ac:dyDescent="0.2">
      <c r="A23" t="s">
        <v>315</v>
      </c>
      <c r="H23" s="284">
        <v>140000</v>
      </c>
      <c r="I23" s="284">
        <v>140000</v>
      </c>
    </row>
    <row r="24" spans="1:9" x14ac:dyDescent="0.2">
      <c r="A24" t="s">
        <v>316</v>
      </c>
      <c r="B24" s="284">
        <v>586475</v>
      </c>
      <c r="C24" s="284">
        <v>594213</v>
      </c>
      <c r="D24" s="284">
        <v>612547</v>
      </c>
      <c r="E24" s="284">
        <v>610331</v>
      </c>
      <c r="F24" s="284">
        <v>615406</v>
      </c>
      <c r="G24" s="284">
        <v>627805</v>
      </c>
      <c r="H24" s="284">
        <v>1396890</v>
      </c>
      <c r="I24" s="284">
        <v>728172</v>
      </c>
    </row>
    <row r="25" spans="1:9" x14ac:dyDescent="0.2">
      <c r="A25" t="s">
        <v>319</v>
      </c>
      <c r="B25" s="284">
        <v>1368395</v>
      </c>
      <c r="C25" s="284">
        <v>1388750</v>
      </c>
      <c r="D25" s="284">
        <v>1410626</v>
      </c>
      <c r="E25" s="284">
        <v>1429281</v>
      </c>
      <c r="F25" s="284">
        <v>1447946</v>
      </c>
      <c r="G25" s="284">
        <v>1452551</v>
      </c>
      <c r="H25" s="284">
        <v>1504782</v>
      </c>
      <c r="I25" s="284">
        <v>1486802</v>
      </c>
    </row>
    <row r="26" spans="1:9" x14ac:dyDescent="0.2">
      <c r="A26" t="s">
        <v>318</v>
      </c>
      <c r="B26" s="284">
        <v>1241599</v>
      </c>
      <c r="C26" s="284">
        <v>1245767</v>
      </c>
      <c r="D26" s="284">
        <v>1273567</v>
      </c>
      <c r="E26" s="284">
        <v>1288518</v>
      </c>
      <c r="F26" s="284">
        <v>1301120</v>
      </c>
      <c r="G26" s="284">
        <v>1306142</v>
      </c>
      <c r="H26" s="284">
        <v>1356816</v>
      </c>
      <c r="I26" s="284">
        <v>1335322</v>
      </c>
    </row>
    <row r="27" spans="1:9" x14ac:dyDescent="0.2">
      <c r="A27" t="s">
        <v>320</v>
      </c>
      <c r="B27" s="284">
        <v>389624</v>
      </c>
      <c r="C27" s="284">
        <v>404529</v>
      </c>
      <c r="D27" s="284">
        <v>419672</v>
      </c>
      <c r="E27" s="284">
        <v>418824</v>
      </c>
      <c r="F27" s="284">
        <v>411409</v>
      </c>
      <c r="G27" s="284">
        <v>423429</v>
      </c>
      <c r="H27" s="284">
        <v>512640</v>
      </c>
      <c r="I27" s="284">
        <v>486072</v>
      </c>
    </row>
    <row r="28" spans="1:9" x14ac:dyDescent="0.2">
      <c r="A28" t="s">
        <v>321</v>
      </c>
      <c r="B28" s="284">
        <v>728844</v>
      </c>
      <c r="C28" s="284">
        <v>738714</v>
      </c>
      <c r="D28" s="284">
        <v>755204</v>
      </c>
      <c r="E28" s="284">
        <v>763370</v>
      </c>
      <c r="F28" s="284">
        <v>760967</v>
      </c>
      <c r="G28" s="284">
        <v>767087</v>
      </c>
      <c r="H28" s="284">
        <v>812158</v>
      </c>
      <c r="I28" s="284">
        <v>835999</v>
      </c>
    </row>
    <row r="29" spans="1:9" x14ac:dyDescent="0.2">
      <c r="A29" t="s">
        <v>322</v>
      </c>
      <c r="B29" s="284">
        <v>589819</v>
      </c>
      <c r="C29" s="284">
        <v>599372</v>
      </c>
      <c r="D29" s="284">
        <v>614976</v>
      </c>
      <c r="E29" s="284">
        <v>622265</v>
      </c>
      <c r="F29" s="284">
        <v>619362</v>
      </c>
      <c r="G29" s="284">
        <v>624096</v>
      </c>
      <c r="H29" s="284">
        <v>668823</v>
      </c>
      <c r="I29" s="284">
        <v>691267</v>
      </c>
    </row>
    <row r="30" spans="1:9" x14ac:dyDescent="0.2">
      <c r="A30" t="s">
        <v>323</v>
      </c>
      <c r="B30" s="284">
        <v>1997129</v>
      </c>
      <c r="C30" s="284">
        <v>2012720</v>
      </c>
      <c r="D30" s="284">
        <v>2025477</v>
      </c>
      <c r="E30" s="284">
        <v>2028275</v>
      </c>
      <c r="F30" s="284">
        <v>2035602</v>
      </c>
      <c r="G30" s="284">
        <v>2041017</v>
      </c>
      <c r="H30" s="284">
        <v>2013139</v>
      </c>
      <c r="I30" s="284">
        <v>1992677</v>
      </c>
    </row>
    <row r="31" spans="1:9" x14ac:dyDescent="0.2">
      <c r="A31" t="s">
        <v>324</v>
      </c>
      <c r="B31" s="284">
        <v>2279638</v>
      </c>
      <c r="C31" s="284">
        <v>2292717</v>
      </c>
      <c r="D31" s="284">
        <v>2327018</v>
      </c>
      <c r="E31" s="284">
        <v>2337774</v>
      </c>
      <c r="F31" s="284">
        <v>2357385</v>
      </c>
      <c r="G31" s="284">
        <v>2381563</v>
      </c>
      <c r="H31" s="284">
        <v>2334544</v>
      </c>
      <c r="I31" s="284">
        <v>2329677</v>
      </c>
    </row>
    <row r="32" spans="1:9" x14ac:dyDescent="0.2">
      <c r="A32" t="s">
        <v>303</v>
      </c>
      <c r="B32" s="284">
        <v>21.568999999999999</v>
      </c>
      <c r="C32" s="284">
        <v>21.986000000000001</v>
      </c>
      <c r="D32" s="284">
        <v>22.076000000000001</v>
      </c>
      <c r="E32" s="284">
        <v>21.786999999999999</v>
      </c>
      <c r="F32" s="284">
        <v>21.143000000000001</v>
      </c>
      <c r="G32" s="284">
        <v>20.364999999999998</v>
      </c>
      <c r="H32" s="284">
        <v>19.106000000000002</v>
      </c>
      <c r="I32" s="284">
        <v>20.245999999999999</v>
      </c>
    </row>
    <row r="33" spans="1:9" x14ac:dyDescent="0.2">
      <c r="A33" t="s">
        <v>337</v>
      </c>
      <c r="H33" s="284">
        <v>277100</v>
      </c>
      <c r="I33" s="284">
        <v>228300</v>
      </c>
    </row>
    <row r="34" spans="1:9" x14ac:dyDescent="0.2">
      <c r="A34" t="s">
        <v>317</v>
      </c>
      <c r="H34" s="284">
        <v>690700</v>
      </c>
      <c r="I34" s="284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291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325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15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3"/>
      <c r="S8" s="304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287" t="s">
        <v>208</v>
      </c>
      <c r="B1" s="287"/>
      <c r="C1" s="35"/>
      <c r="H1"/>
      <c r="I1"/>
      <c r="J1"/>
      <c r="X1" t="s">
        <v>28</v>
      </c>
      <c r="Z1" s="305" t="s">
        <v>84</v>
      </c>
      <c r="AA1" s="305"/>
      <c r="AB1" s="305"/>
      <c r="AC1" s="286"/>
      <c r="AD1" s="286"/>
      <c r="AE1" s="286"/>
      <c r="AF1" s="286"/>
    </row>
    <row r="2" spans="1:32" x14ac:dyDescent="0.2">
      <c r="A2" s="306" t="s">
        <v>192</v>
      </c>
      <c r="B2" s="107"/>
      <c r="C2" t="s">
        <v>193</v>
      </c>
    </row>
    <row r="3" spans="1:32" x14ac:dyDescent="0.2">
      <c r="A3" s="306"/>
      <c r="B3" s="108"/>
      <c r="C3" t="s">
        <v>194</v>
      </c>
    </row>
    <row r="4" spans="1:32" x14ac:dyDescent="0.2">
      <c r="A4" s="306"/>
      <c r="B4" s="109"/>
      <c r="C4" t="s">
        <v>195</v>
      </c>
    </row>
    <row r="5" spans="1:32" x14ac:dyDescent="0.2">
      <c r="A5" s="306"/>
      <c r="B5" s="98"/>
      <c r="C5" t="s">
        <v>182</v>
      </c>
    </row>
    <row r="7" spans="1:32" x14ac:dyDescent="0.2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8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main!L46/1000</f>
        <v>1086.548</v>
      </c>
      <c r="F70" s="102">
        <f>main!M46/1000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5"/>
  <sheetViews>
    <sheetView tabSelected="1" topLeftCell="B3" zoomScale="91" zoomScaleNormal="110" workbookViewId="0">
      <selection activeCell="P28" sqref="P2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5" max="22" width="20.83203125" bestFit="1" customWidth="1"/>
  </cols>
  <sheetData>
    <row r="1" spans="1:24" x14ac:dyDescent="0.2">
      <c r="L1" s="46"/>
      <c r="M1" s="46"/>
    </row>
    <row r="2" spans="1:24" x14ac:dyDescent="0.2">
      <c r="A2" s="312" t="s">
        <v>104</v>
      </c>
      <c r="B2" s="312"/>
      <c r="C2" s="312"/>
      <c r="D2" s="312"/>
      <c r="E2" s="312"/>
      <c r="F2" s="312"/>
      <c r="G2" s="312"/>
      <c r="H2" s="312"/>
      <c r="I2" s="312"/>
      <c r="J2" s="312"/>
      <c r="K2" s="77"/>
    </row>
    <row r="3" spans="1:24" x14ac:dyDescent="0.2">
      <c r="A3" s="312" t="s">
        <v>105</v>
      </c>
      <c r="B3" s="312"/>
      <c r="C3" s="312"/>
      <c r="D3" s="312"/>
      <c r="E3" s="312"/>
      <c r="F3" s="312"/>
      <c r="G3" s="312"/>
      <c r="H3" s="312"/>
      <c r="I3" s="312"/>
      <c r="J3" s="312"/>
      <c r="K3" s="77"/>
    </row>
    <row r="4" spans="1:24" ht="16" thickBot="1" x14ac:dyDescent="0.25">
      <c r="A4" s="313"/>
      <c r="B4" s="313"/>
      <c r="C4" s="313"/>
      <c r="D4" s="313"/>
      <c r="E4" s="313"/>
      <c r="F4" s="313"/>
      <c r="G4" s="313"/>
      <c r="H4" s="313"/>
      <c r="I4" s="313"/>
      <c r="J4" s="313"/>
      <c r="K4" s="318" t="s">
        <v>160</v>
      </c>
      <c r="L4" s="318"/>
      <c r="M4" s="318"/>
      <c r="N4" s="318"/>
    </row>
    <row r="5" spans="1:24" x14ac:dyDescent="0.2">
      <c r="A5" s="47"/>
      <c r="B5" s="48"/>
      <c r="C5" s="314" t="s">
        <v>106</v>
      </c>
      <c r="D5" s="315"/>
      <c r="E5" s="315"/>
      <c r="F5" s="315"/>
      <c r="G5" s="315"/>
      <c r="H5" s="315"/>
      <c r="I5" s="315"/>
      <c r="J5" s="316"/>
      <c r="K5" s="78"/>
      <c r="L5" s="317" t="s">
        <v>107</v>
      </c>
      <c r="M5" s="286"/>
      <c r="N5" s="286"/>
    </row>
    <row r="6" spans="1:24" x14ac:dyDescent="0.2">
      <c r="A6" s="1" t="s">
        <v>109</v>
      </c>
      <c r="B6" s="49"/>
      <c r="C6" s="308">
        <v>2020</v>
      </c>
      <c r="D6" s="309"/>
      <c r="E6" s="309"/>
      <c r="F6" s="309"/>
      <c r="G6" s="309"/>
      <c r="H6" s="309"/>
      <c r="I6" s="309"/>
      <c r="J6" s="31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>AVERAGE(F10:H10)</f>
        <v>7.0666666666666673</v>
      </c>
      <c r="N10" s="73">
        <f t="shared" ref="N10:O12" si="0">4*N28</f>
        <v>37.413333333333327</v>
      </c>
      <c r="O10">
        <f t="shared" si="0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ref="M11" si="1">AVERAGE(F11:H11)</f>
        <v>122.73333333333335</v>
      </c>
      <c r="N11" s="73">
        <f t="shared" si="0"/>
        <v>146.10666666666663</v>
      </c>
      <c r="O11">
        <f t="shared" si="0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>AVERAGE(F12:H12)</f>
        <v>686.06666666666661</v>
      </c>
      <c r="N12" s="73">
        <f t="shared" si="0"/>
        <v>456.1733333333334</v>
      </c>
      <c r="O12">
        <f t="shared" si="0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6" t="s">
        <v>9</v>
      </c>
      <c r="L22" s="286"/>
      <c r="M22" s="286"/>
      <c r="N22" s="286"/>
      <c r="O22" s="286" t="s">
        <v>10</v>
      </c>
      <c r="P22" s="286"/>
      <c r="Q22" s="286"/>
      <c r="R22" s="286"/>
      <c r="S22" s="286" t="s">
        <v>11</v>
      </c>
      <c r="T22" s="286"/>
      <c r="U22" s="286"/>
      <c r="V22" s="286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1" t="s">
        <v>108</v>
      </c>
      <c r="L23" s="311"/>
      <c r="M23" s="311"/>
      <c r="N23" s="311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0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>M10/4</f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0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0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0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G30-G24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0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07"/>
      <c r="J34" t="s">
        <v>260</v>
      </c>
      <c r="K34" s="327">
        <f>K26-K33</f>
        <v>6.95</v>
      </c>
      <c r="L34" s="327">
        <f>L26-L33</f>
        <v>10.85</v>
      </c>
      <c r="M34" s="327">
        <f>M26-M33</f>
        <v>71.166666666666686</v>
      </c>
      <c r="N34" s="327">
        <f>N26-N33</f>
        <v>30.076666666666654</v>
      </c>
      <c r="O34" s="327">
        <v>25</v>
      </c>
      <c r="P34" s="327">
        <v>25</v>
      </c>
      <c r="Q34" s="327">
        <v>23</v>
      </c>
      <c r="R34" s="327">
        <v>22</v>
      </c>
      <c r="S34" s="327">
        <v>20</v>
      </c>
      <c r="T34" s="327">
        <v>15</v>
      </c>
      <c r="U34" s="327">
        <v>15</v>
      </c>
      <c r="V34" s="327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  <row r="43" spans="3:23" x14ac:dyDescent="0.2">
      <c r="O43" s="326">
        <v>25</v>
      </c>
      <c r="P43" s="326">
        <v>25</v>
      </c>
      <c r="Q43" s="326">
        <v>23</v>
      </c>
      <c r="R43" s="326">
        <v>22</v>
      </c>
      <c r="S43" s="326">
        <v>21.8</v>
      </c>
      <c r="T43" s="326">
        <v>15</v>
      </c>
      <c r="U43" s="326">
        <v>15</v>
      </c>
      <c r="V43" s="326">
        <v>15</v>
      </c>
    </row>
    <row r="44" spans="3:23" x14ac:dyDescent="0.2">
      <c r="O44">
        <v>23.7</v>
      </c>
      <c r="P44">
        <v>23.7</v>
      </c>
      <c r="Q44">
        <v>23.7</v>
      </c>
      <c r="R44">
        <v>23.7</v>
      </c>
    </row>
    <row r="45" spans="3:23" x14ac:dyDescent="0.2">
      <c r="O45" s="102">
        <f>O43/95</f>
        <v>0.26315789473684209</v>
      </c>
      <c r="P45" s="102">
        <f t="shared" ref="P45:R45" si="15">P43/95</f>
        <v>0.26315789473684209</v>
      </c>
      <c r="Q45" s="102">
        <f t="shared" si="15"/>
        <v>0.24210526315789474</v>
      </c>
      <c r="R45" s="102">
        <f t="shared" si="15"/>
        <v>0.23157894736842105</v>
      </c>
      <c r="S45" s="102">
        <f>S43/66.8</f>
        <v>0.32634730538922158</v>
      </c>
      <c r="T45" s="102">
        <f>T43/66.8</f>
        <v>0.22455089820359284</v>
      </c>
      <c r="U45" s="102">
        <f t="shared" ref="U45:V45" si="16">U43/66.8</f>
        <v>0.22455089820359284</v>
      </c>
      <c r="V45" s="102">
        <f t="shared" si="16"/>
        <v>0.22455089820359284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20" t="s">
        <v>87</v>
      </c>
      <c r="F6" s="320"/>
      <c r="G6" s="320"/>
      <c r="H6" s="320"/>
      <c r="I6" s="320"/>
      <c r="J6" s="320"/>
      <c r="K6" s="320"/>
      <c r="L6" s="320"/>
      <c r="M6" s="320"/>
      <c r="N6" s="320"/>
      <c r="O6" s="320"/>
      <c r="P6" s="320"/>
      <c r="Q6" s="320"/>
      <c r="R6" s="320"/>
    </row>
    <row r="7" spans="1:18" x14ac:dyDescent="0.2">
      <c r="A7" s="319" t="s">
        <v>88</v>
      </c>
      <c r="B7" s="319"/>
      <c r="C7" s="319"/>
      <c r="D7" s="319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19" t="s">
        <v>89</v>
      </c>
      <c r="C8" s="319"/>
      <c r="D8" s="319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19" t="s">
        <v>90</v>
      </c>
      <c r="C9" s="319"/>
      <c r="D9" s="319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19" t="s">
        <v>91</v>
      </c>
      <c r="C10" s="319"/>
      <c r="D10" s="319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19" t="s">
        <v>58</v>
      </c>
      <c r="C11" s="319"/>
      <c r="D11" s="319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19" t="s">
        <v>34</v>
      </c>
      <c r="D13" s="319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19" t="s">
        <v>89</v>
      </c>
      <c r="C19" s="319"/>
      <c r="D19" s="319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19" t="s">
        <v>90</v>
      </c>
      <c r="C20" s="319"/>
      <c r="D20" s="319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19" t="s">
        <v>91</v>
      </c>
      <c r="C21" s="319"/>
      <c r="D21" s="319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19" t="s">
        <v>58</v>
      </c>
      <c r="C22" s="319"/>
      <c r="D22" s="319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21" t="s">
        <v>95</v>
      </c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22" t="s">
        <v>99</v>
      </c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21" t="s">
        <v>101</v>
      </c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21"/>
      <c r="R48" s="321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60" activePane="bottomLeft" state="frozen"/>
      <selection activeCell="A6" sqref="A6"/>
      <selection pane="bottomLeft" activeCell="F48" sqref="F4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15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3" t="s">
        <v>34</v>
      </c>
      <c r="S8" s="304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23" t="s">
        <v>42</v>
      </c>
      <c r="E75" s="324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dcmitype/"/>
    <ds:schemaRef ds:uri="cac5d118-ba7b-4807-b700-df6f95cfff50"/>
    <ds:schemaRef ds:uri="66951ee6-cd93-49c7-9437-e871b2a117d6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2021-01-16T07:33:06Z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