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EE51FD06-E347-0740-BCCF-3CFEBB5429DC}" xr6:coauthVersionLast="46" xr6:coauthVersionMax="46" xr10:uidLastSave="{00000000-0000-0000-0000-000000000000}"/>
  <bookViews>
    <workbookView xWindow="2660" yWindow="580" windowWidth="33600" windowHeight="1884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3" i="4" l="1"/>
  <c r="O33" i="4"/>
  <c r="O34" i="4" s="1"/>
  <c r="P33" i="4"/>
  <c r="Q33" i="4"/>
  <c r="R33" i="4"/>
  <c r="S33" i="4"/>
  <c r="T33" i="4"/>
  <c r="U33" i="4"/>
  <c r="V33" i="4"/>
  <c r="M33" i="4"/>
  <c r="M34" i="4" s="1"/>
  <c r="N34" i="4"/>
  <c r="F32" i="4" l="1"/>
  <c r="P59" i="1"/>
  <c r="O59" i="1"/>
  <c r="O26" i="4" l="1"/>
  <c r="N26" i="4"/>
  <c r="L106" i="1"/>
  <c r="K106" i="1"/>
  <c r="J106" i="1"/>
  <c r="I106" i="1"/>
  <c r="H106" i="1"/>
  <c r="G106" i="1"/>
  <c r="F106" i="1"/>
  <c r="P5" i="9" l="1"/>
  <c r="B21" i="16"/>
  <c r="X75" i="1"/>
  <c r="W75" i="1"/>
  <c r="W74" i="1"/>
  <c r="P74" i="1"/>
  <c r="O74" i="1"/>
  <c r="T62" i="1"/>
  <c r="C20" i="16"/>
  <c r="S62" i="1" s="1"/>
  <c r="S51" i="1" s="1"/>
  <c r="C19" i="16"/>
  <c r="R35" i="1" s="1"/>
  <c r="C18" i="16"/>
  <c r="R61" i="1" s="1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Q86" i="1"/>
  <c r="R86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5" i="1" l="1"/>
  <c r="X74" i="1"/>
  <c r="V76" i="1"/>
  <c r="Y74" i="1"/>
  <c r="W76" i="1"/>
  <c r="Z74" i="1"/>
  <c r="Z73" i="1" s="1"/>
  <c r="Z68" i="1" s="1"/>
  <c r="X76" i="1"/>
  <c r="Y75" i="1"/>
  <c r="O75" i="1"/>
  <c r="Y76" i="1"/>
  <c r="R84" i="1"/>
  <c r="O61" i="1"/>
  <c r="P75" i="1"/>
  <c r="Z76" i="1"/>
  <c r="P61" i="1"/>
  <c r="Q75" i="1"/>
  <c r="Q61" i="1"/>
  <c r="U75" i="1"/>
  <c r="V75" i="1"/>
  <c r="Z77" i="1"/>
  <c r="Y77" i="1"/>
  <c r="X77" i="1"/>
  <c r="X73" i="1" s="1"/>
  <c r="X68" i="1" s="1"/>
  <c r="W77" i="1"/>
  <c r="W73" i="1" s="1"/>
  <c r="W68" i="1" s="1"/>
  <c r="V77" i="1"/>
  <c r="O77" i="1"/>
  <c r="U77" i="1"/>
  <c r="T77" i="1"/>
  <c r="S77" i="1"/>
  <c r="R77" i="1"/>
  <c r="Q77" i="1"/>
  <c r="P77" i="1"/>
  <c r="O60" i="1"/>
  <c r="O51" i="1" s="1"/>
  <c r="U62" i="1"/>
  <c r="Q60" i="1"/>
  <c r="V62" i="1"/>
  <c r="O35" i="1"/>
  <c r="O62" i="1"/>
  <c r="P35" i="1"/>
  <c r="R85" i="1"/>
  <c r="Q35" i="1"/>
  <c r="O76" i="1"/>
  <c r="Q74" i="1"/>
  <c r="P76" i="1"/>
  <c r="P73" i="1" s="1"/>
  <c r="P68" i="1" s="1"/>
  <c r="O34" i="1"/>
  <c r="R74" i="1"/>
  <c r="Q76" i="1"/>
  <c r="O86" i="1"/>
  <c r="R62" i="1"/>
  <c r="S74" i="1"/>
  <c r="R76" i="1"/>
  <c r="O85" i="1"/>
  <c r="Q62" i="1"/>
  <c r="T74" i="1"/>
  <c r="R75" i="1"/>
  <c r="S76" i="1"/>
  <c r="P62" i="1"/>
  <c r="U74" i="1"/>
  <c r="U73" i="1" s="1"/>
  <c r="U68" i="1" s="1"/>
  <c r="S75" i="1"/>
  <c r="T76" i="1"/>
  <c r="P85" i="1"/>
  <c r="Q83" i="1"/>
  <c r="P83" i="1"/>
  <c r="W50" i="1"/>
  <c r="X50" i="1"/>
  <c r="Y50" i="1"/>
  <c r="Z50" i="1"/>
  <c r="Z89" i="1"/>
  <c r="N68" i="1"/>
  <c r="V73" i="1"/>
  <c r="V68" i="1" s="1"/>
  <c r="Y73" i="1"/>
  <c r="Y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Q73" i="1" l="1"/>
  <c r="Q68" i="1" s="1"/>
  <c r="O73" i="1"/>
  <c r="O68" i="1" s="1"/>
  <c r="T73" i="1"/>
  <c r="T68" i="1" s="1"/>
  <c r="O83" i="1"/>
  <c r="R83" i="1"/>
  <c r="S73" i="1"/>
  <c r="S68" i="1" s="1"/>
  <c r="R73" i="1"/>
  <c r="R68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a="1"/>
  <c r="N4" i="9" s="1"/>
  <c r="G20" i="15" l="1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X105" i="1"/>
  <c r="W105" i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W107" i="1" l="1"/>
  <c r="X107" i="1"/>
  <c r="Y107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26" i="4"/>
  <c r="U26" i="4"/>
  <c r="T26" i="4"/>
  <c r="S37" i="4"/>
  <c r="V103" i="1"/>
  <c r="V50" i="1"/>
  <c r="U50" i="1"/>
  <c r="T50" i="1"/>
  <c r="S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7" i="4" l="1"/>
  <c r="O38" i="4" s="1"/>
  <c r="F33" i="4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M37" i="4"/>
  <c r="AF39" i="1"/>
  <c r="L34" i="4"/>
  <c r="L38" i="4"/>
  <c r="L18" i="4" s="1"/>
  <c r="P18" i="4"/>
  <c r="O42" i="1" s="1"/>
  <c r="O18" i="4"/>
  <c r="N42" i="1" s="1"/>
  <c r="R18" i="4"/>
  <c r="Q42" i="1" s="1"/>
  <c r="M17" i="4" l="1"/>
  <c r="L39" i="1" s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X71" i="5"/>
  <c r="W74" i="5"/>
  <c r="N10" i="4"/>
  <c r="AE42" i="1"/>
  <c r="M38" i="4"/>
  <c r="M18" i="4" s="1"/>
  <c r="L42" i="1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N37" i="4" l="1"/>
  <c r="N38" i="4" s="1"/>
  <c r="N18" i="4" s="1"/>
  <c r="M42" i="1" s="1"/>
  <c r="L88" i="1"/>
  <c r="E57" i="5" s="1"/>
  <c r="L36" i="1"/>
  <c r="M105" i="1"/>
  <c r="M107" i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5" i="4"/>
  <c r="AD42" i="1"/>
  <c r="L105" i="1"/>
  <c r="L107" i="1" s="1"/>
  <c r="AE36" i="1"/>
  <c r="H49" i="2"/>
  <c r="H50" i="2" s="1"/>
  <c r="I49" i="2"/>
  <c r="I50" i="2" s="1"/>
  <c r="N17" i="4" l="1"/>
  <c r="M39" i="1" s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L2" i="9" s="1" a="1"/>
  <c r="L2" i="9" s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<sst xmlns="http://schemas.openxmlformats.org/spreadsheetml/2006/main" count="999" uniqueCount="375">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</sst>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tabSelected="1" zoomScale="110" zoomScaleNormal="110" workbookViewId="0">
      <pane xSplit="2" ySplit="3" topLeftCell="I12" activePane="bottomRight" state="frozen"/>
      <selection pane="topRight" activeCell="C1" sqref="C1"/>
      <selection pane="bottomLeft" activeCell="A4" sqref="A4"/>
      <selection pane="bottomRight" activeCell="L55" sqref="L55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46"/>
  </cols>
  <sheetData>
    <row r="1" spans="1:43" ht="19" x14ac:dyDescent="0.25">
      <c r="A1" s="316" t="s">
        <v>163</v>
      </c>
      <c r="B1" s="316"/>
      <c r="C1" s="279"/>
      <c r="D1" s="279"/>
      <c r="E1" s="35"/>
      <c r="M1" t="s">
        <v>373</v>
      </c>
      <c r="AC1" s="179" t="s">
        <v>249</v>
      </c>
      <c r="AD1" s="318" t="s">
        <v>247</v>
      </c>
      <c r="AE1" s="318"/>
      <c r="AF1" s="318"/>
      <c r="AG1" t="s">
        <v>28</v>
      </c>
      <c r="AI1" s="319" t="s">
        <v>281</v>
      </c>
      <c r="AJ1" s="319"/>
      <c r="AK1" s="319"/>
      <c r="AL1" s="319"/>
      <c r="AM1" s="317" t="s">
        <v>279</v>
      </c>
      <c r="AN1" s="317"/>
      <c r="AO1" s="317"/>
      <c r="AP1" s="317"/>
    </row>
    <row r="2" spans="1:43" x14ac:dyDescent="0.2">
      <c r="F2" s="315" t="s">
        <v>21</v>
      </c>
      <c r="G2" s="315"/>
      <c r="H2" s="315"/>
      <c r="I2" s="315"/>
      <c r="J2" s="315" t="s">
        <v>9</v>
      </c>
      <c r="K2" s="315"/>
      <c r="L2" s="315"/>
      <c r="M2" s="315"/>
      <c r="N2" s="315" t="s">
        <v>10</v>
      </c>
      <c r="O2" s="315"/>
      <c r="P2" s="315"/>
      <c r="Q2" s="315"/>
      <c r="R2" s="315" t="s">
        <v>11</v>
      </c>
      <c r="S2" s="315"/>
      <c r="T2" s="315"/>
      <c r="U2" s="315"/>
      <c r="V2" s="315" t="s">
        <v>268</v>
      </c>
      <c r="W2" s="315"/>
      <c r="X2" s="315"/>
      <c r="Y2" s="315"/>
      <c r="Z2" s="229"/>
      <c r="AA2" s="296"/>
      <c r="AB2" s="229"/>
      <c r="AC2" s="156"/>
      <c r="AD2" s="315" t="s">
        <v>102</v>
      </c>
      <c r="AE2" s="315"/>
      <c r="AF2" s="315"/>
      <c r="AG2" s="156"/>
      <c r="AH2" s="156" t="s">
        <v>21</v>
      </c>
      <c r="AI2" s="315" t="s">
        <v>102</v>
      </c>
      <c r="AJ2" s="315"/>
      <c r="AK2" s="315"/>
      <c r="AL2" s="230"/>
    </row>
    <row r="3" spans="1:43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9" x14ac:dyDescent="0.25">
      <c r="A4" s="314" t="s">
        <v>264</v>
      </c>
      <c r="B4" s="314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2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1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2.0221686650997883E-2</v>
      </c>
      <c r="O6" s="198">
        <f t="shared" si="0"/>
        <v>1.6584913488054021E-2</v>
      </c>
      <c r="P6" s="198">
        <f t="shared" si="0"/>
        <v>1.5901441788336301E-2</v>
      </c>
      <c r="Q6" s="198">
        <f t="shared" si="0"/>
        <v>1.673007396204973E-2</v>
      </c>
      <c r="R6" s="198">
        <f t="shared" si="0"/>
        <v>1.1020986822227741E-2</v>
      </c>
      <c r="S6" s="198">
        <f t="shared" si="0"/>
        <v>9.9767362739417997E-3</v>
      </c>
      <c r="T6" s="198">
        <f t="shared" si="0"/>
        <v>9.778036745024643E-3</v>
      </c>
      <c r="U6" s="198">
        <f t="shared" si="0"/>
        <v>1.0125144258510854E-2</v>
      </c>
      <c r="V6" s="198">
        <f t="shared" si="0"/>
        <v>1.0170928727630146E-2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2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2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2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2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2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2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2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2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2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2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2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2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1909.1908330926583</v>
      </c>
      <c r="O22" s="102">
        <f t="shared" si="12"/>
        <v>1940.8545978916857</v>
      </c>
      <c r="P22" s="102">
        <f t="shared" si="12"/>
        <v>1971.716984299685</v>
      </c>
      <c r="Q22" s="102">
        <f t="shared" si="12"/>
        <v>2004.7039552792487</v>
      </c>
      <c r="R22" s="102">
        <f t="shared" si="12"/>
        <v>2026.797771152849</v>
      </c>
      <c r="S22" s="102">
        <f t="shared" si="12"/>
        <v>2047.0185979962541</v>
      </c>
      <c r="T22" s="102">
        <f t="shared" si="12"/>
        <v>2067.0344210652102</v>
      </c>
      <c r="U22" s="102">
        <f t="shared" si="12"/>
        <v>2087.9634427658029</v>
      </c>
      <c r="V22" s="102">
        <f t="shared" ref="V22" si="13">SUM(V23:V25)</f>
        <v>2109.1999701280711</v>
      </c>
    </row>
    <row r="23" spans="1:39" x14ac:dyDescent="0.2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516.84430645739553</v>
      </c>
      <c r="O23" s="102">
        <f t="shared" ref="O23:V23" si="14">N23*(1+O$6)</f>
        <v>525.41612456678467</v>
      </c>
      <c r="P23" s="102">
        <f t="shared" si="14"/>
        <v>533.77099848623664</v>
      </c>
      <c r="Q23" s="102">
        <f t="shared" si="14"/>
        <v>542.70102676970851</v>
      </c>
      <c r="R23" s="102">
        <f t="shared" si="14"/>
        <v>548.68212763414692</v>
      </c>
      <c r="S23" s="102">
        <f t="shared" si="14"/>
        <v>554.15618451977809</v>
      </c>
      <c r="T23" s="102">
        <f t="shared" si="14"/>
        <v>559.57474405449511</v>
      </c>
      <c r="U23" s="102">
        <f t="shared" si="14"/>
        <v>565.24051906146622</v>
      </c>
      <c r="V23" s="102">
        <f t="shared" si="14"/>
        <v>570.98954009480906</v>
      </c>
    </row>
    <row r="24" spans="1:39" x14ac:dyDescent="0.2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1371.6880577022666</v>
      </c>
      <c r="O24" s="102">
        <f t="shared" ref="O24:V24" si="15">N24*(1+O$6)</f>
        <v>1394.4373854718556</v>
      </c>
      <c r="P24" s="102">
        <f t="shared" si="15"/>
        <v>1416.6109503844161</v>
      </c>
      <c r="Q24" s="102">
        <f t="shared" si="15"/>
        <v>1440.310956359797</v>
      </c>
      <c r="R24" s="102">
        <f t="shared" si="15"/>
        <v>1456.1846044297486</v>
      </c>
      <c r="S24" s="102">
        <f t="shared" si="15"/>
        <v>1470.7125741943184</v>
      </c>
      <c r="T24" s="102">
        <f t="shared" si="15"/>
        <v>1485.0932557861602</v>
      </c>
      <c r="U24" s="102">
        <f t="shared" si="15"/>
        <v>1500.1300392383366</v>
      </c>
      <c r="V24" s="102">
        <f t="shared" si="15"/>
        <v>1515.3877549496067</v>
      </c>
    </row>
    <row r="25" spans="1:39" x14ac:dyDescent="0.2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20.658468932996055</v>
      </c>
      <c r="O25" s="102">
        <f t="shared" ref="O25:V25" si="16">N25*(1+O$6)</f>
        <v>21.001087853045448</v>
      </c>
      <c r="P25" s="102">
        <f t="shared" si="16"/>
        <v>21.335035429032388</v>
      </c>
      <c r="Q25" s="102">
        <f t="shared" si="16"/>
        <v>21.691972149743052</v>
      </c>
      <c r="R25" s="102">
        <f t="shared" si="16"/>
        <v>21.931039088953501</v>
      </c>
      <c r="S25" s="102">
        <f t="shared" si="16"/>
        <v>22.149839282157497</v>
      </c>
      <c r="T25" s="102">
        <f t="shared" si="16"/>
        <v>22.366421224554824</v>
      </c>
      <c r="U25" s="102">
        <f t="shared" si="16"/>
        <v>22.592884466000061</v>
      </c>
      <c r="V25" s="102">
        <f t="shared" si="16"/>
        <v>22.82267508365533</v>
      </c>
    </row>
    <row r="26" spans="1:39" x14ac:dyDescent="0.2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92.023996135920015</v>
      </c>
      <c r="O26" s="102">
        <f t="shared" ref="O26:V26" si="17">N26*(1+O6)</f>
        <v>93.550206150659264</v>
      </c>
      <c r="P26" s="102">
        <f t="shared" si="17"/>
        <v>95.037789308050833</v>
      </c>
      <c r="Q26" s="102">
        <f t="shared" si="17"/>
        <v>96.627778552364219</v>
      </c>
      <c r="R26" s="102">
        <f t="shared" si="17"/>
        <v>97.692712026450963</v>
      </c>
      <c r="S26" s="102">
        <f t="shared" si="17"/>
        <v>98.667366450225003</v>
      </c>
      <c r="T26" s="102">
        <f t="shared" si="17"/>
        <v>99.632139584910121</v>
      </c>
      <c r="U26" s="102">
        <f t="shared" si="17"/>
        <v>100.64092937099143</v>
      </c>
      <c r="V26" s="102">
        <f t="shared" si="17"/>
        <v>101.66454109070624</v>
      </c>
    </row>
    <row r="27" spans="1:39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2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ht="16" x14ac:dyDescent="0.2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2855130.6794988289</v>
      </c>
      <c r="O30" s="44">
        <f t="shared" ref="O30:U30" si="19">O31+O36+O46</f>
        <v>3244347.6672774283</v>
      </c>
      <c r="P30" s="44">
        <f t="shared" si="19"/>
        <v>2682732.759694315</v>
      </c>
      <c r="Q30" s="44">
        <f t="shared" si="19"/>
        <v>2585488.623825727</v>
      </c>
      <c r="R30" s="44">
        <f t="shared" si="19"/>
        <v>2651916.1476522055</v>
      </c>
      <c r="S30" s="44">
        <f t="shared" si="19"/>
        <v>2708085.6514252573</v>
      </c>
      <c r="T30" s="44">
        <f t="shared" si="19"/>
        <v>2765655.2499653636</v>
      </c>
      <c r="U30" s="44">
        <f t="shared" si="19"/>
        <v>2824664.1763997721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ht="16" x14ac:dyDescent="0.2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N31*((($AJ$31/$AI$31)^0.25))+12000</f>
        <v>875499.75597117806</v>
      </c>
      <c r="P31" s="87">
        <f>O31*((($AJ$31/$AI$31)^0.25))+12000</f>
        <v>898221.20772286167</v>
      </c>
      <c r="Q31" s="87">
        <f>P31*((($AJ$31/$AI$31)^0.25))+12000</f>
        <v>921220.90849405946</v>
      </c>
      <c r="R31" s="87">
        <f>Q31*((($AK$31/$AJ$31)^0.25))+12000</f>
        <v>963344.41659056314</v>
      </c>
      <c r="S31" s="87">
        <f>R31*((($AK$31/$AJ$31)^0.25))</f>
        <v>994845.34439769038</v>
      </c>
      <c r="T31" s="87">
        <f>S31*((($AK$31/$AJ$31)^0.25))</f>
        <v>1027376.3383323837</v>
      </c>
      <c r="U31" s="87">
        <f>T31*((($AK$31/$AJ$31)^0.25))</f>
        <v>1060971.0810922973</v>
      </c>
      <c r="V31" s="87">
        <f>U31*((($AL$31/$AK$31)^0.25))</f>
        <v>1071662.5838938125</v>
      </c>
      <c r="W31" s="87">
        <f>V31*((($AL$31/$AK$31)^0.25))</f>
        <v>1082461.8259487266</v>
      </c>
      <c r="X31" s="87">
        <f>W31*((($AL$31/$AK$31)^0.25))</f>
        <v>1093369.8929553684</v>
      </c>
      <c r="Y31" s="87">
        <f>X31*((($AL$31/$AK$31)^0.25))</f>
        <v>1104387.8815527481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886.99876479673196</v>
      </c>
      <c r="AF31" s="45">
        <f>AVERAGE(R31:U31)/1000</f>
        <v>1011.6342951032335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ht="16" x14ac:dyDescent="0.2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ht="16" x14ac:dyDescent="0.2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ht="16" x14ac:dyDescent="0.2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ht="16" x14ac:dyDescent="0.2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ht="16" x14ac:dyDescent="0.2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88">
        <f>L38+L42</f>
        <v>1084000</v>
      </c>
      <c r="M36" s="199">
        <f>M37+M40</f>
        <v>881354</v>
      </c>
      <c r="N36" s="87">
        <f>N38+N42</f>
        <v>344800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509.16674999999998</v>
      </c>
      <c r="AE36" s="45">
        <f t="shared" ref="AE36:AE46" si="21">AVERAGE(N36:Q36)/1000</f>
        <v>316.2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ht="16" x14ac:dyDescent="0.2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ht="16" x14ac:dyDescent="0.2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ht="16" x14ac:dyDescent="0.2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355.98333333333329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ht="16" x14ac:dyDescent="0.2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2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ht="16" x14ac:dyDescent="0.2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87">
        <f>1000*'figuring out UI'!O18</f>
        <v>87000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108.76666666666668</v>
      </c>
      <c r="AE42" s="45">
        <f t="shared" si="21"/>
        <v>58.75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32" x14ac:dyDescent="0.2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ht="16" x14ac:dyDescent="0.2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16" x14ac:dyDescent="0.2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8" x14ac:dyDescent="0.2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-1666.23125</v>
      </c>
      <c r="AD46" s="45">
        <f>AVERAGE(J46:M46)/1000</f>
        <v>1603.732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1678.467452993958</v>
      </c>
      <c r="AO46">
        <f>AK46/AI46*AD46</f>
        <v>1719.2313825604638</v>
      </c>
    </row>
    <row r="47" spans="1:41" s="171" customFormat="1" x14ac:dyDescent="0.2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4.7166587697893059E-2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2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1666.23125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2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2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794083.58333333337</v>
      </c>
      <c r="P50" s="144">
        <f t="shared" si="30"/>
        <v>794083.58333333337</v>
      </c>
      <c r="Q50" s="144">
        <f t="shared" si="30"/>
        <v>144083.58333333331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ht="16" x14ac:dyDescent="0.2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719253.33333333337</v>
      </c>
      <c r="P51" s="116">
        <f t="shared" ref="P51:V51" si="32">P53+P54+SUM(P59:P62)</f>
        <v>719253.33333333337</v>
      </c>
      <c r="Q51" s="116">
        <f t="shared" si="32"/>
        <v>69253.333333333328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ht="16" x14ac:dyDescent="0.2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16" x14ac:dyDescent="0.2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2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2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2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2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ht="16" x14ac:dyDescent="0.2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ht="16" x14ac:dyDescent="0.2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2'!$C$2*4/2</f>
        <v>650000</v>
      </c>
      <c r="P59" s="292">
        <f>'Stimulus Round 2'!$C$2*4/2</f>
        <v>650000</v>
      </c>
      <c r="Q59" s="292"/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ht="16" x14ac:dyDescent="0.2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ht="16" x14ac:dyDescent="0.2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ht="16" x14ac:dyDescent="0.2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2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2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309757.71088176518</v>
      </c>
      <c r="O64" s="116">
        <f>O66+(SUM($M$68:$R$68))/4/6*4</f>
        <v>310526.0282281565</v>
      </c>
      <c r="P64" s="116">
        <f>P66+(SUM($M$68:$R$68))/4/6*4</f>
        <v>311407.70387155632</v>
      </c>
      <c r="Q64" s="116">
        <f>Q66+(SUM($M$68:$R$68))/4/6*4</f>
        <v>312440.5239109674</v>
      </c>
      <c r="R64" s="116">
        <f>R66+(SUM($M$68:$R$68))/4/6*4</f>
        <v>313930.32822359644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2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2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191424.37754843186</v>
      </c>
      <c r="O66" s="116">
        <f t="shared" ref="O66:R66" si="34">N66*(1+O82)</f>
        <v>192192.69489482319</v>
      </c>
      <c r="P66" s="116">
        <f t="shared" si="34"/>
        <v>193074.37053822298</v>
      </c>
      <c r="Q66" s="116">
        <f t="shared" si="34"/>
        <v>194107.19057763406</v>
      </c>
      <c r="R66" s="116">
        <f t="shared" si="34"/>
        <v>195596.9948902631</v>
      </c>
      <c r="S66" s="116">
        <f t="shared" ref="S66" si="35">R66*(1+S82)</f>
        <v>197293.87850499584</v>
      </c>
      <c r="T66" s="116">
        <f t="shared" ref="T66" si="36">S66*(1+T82)</f>
        <v>199012.10563686007</v>
      </c>
      <c r="U66" s="116">
        <f t="shared" ref="U66" si="37">T66*(1+U82)</f>
        <v>200920.8485534183</v>
      </c>
      <c r="V66" s="116">
        <f t="shared" ref="V66:X66" si="38">U66*(1+V82)</f>
        <v>202676.99647715053</v>
      </c>
      <c r="W66" s="116">
        <f t="shared" si="38"/>
        <v>204627.50241134351</v>
      </c>
      <c r="X66" s="116">
        <f t="shared" si="38"/>
        <v>206417.08729938377</v>
      </c>
      <c r="Y66" s="116">
        <f t="shared" ref="Y66" si="39">X66*(1+Y82)</f>
        <v>208402.85391171087</v>
      </c>
      <c r="Z66" s="116">
        <f t="shared" ref="Z66" si="40">Y66*(1+Z82)</f>
        <v>210411.47948991408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2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16" x14ac:dyDescent="0.2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ht="16" x14ac:dyDescent="0.2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2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2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2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2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2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2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2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2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298424.37754843186</v>
      </c>
      <c r="O78" s="144">
        <f t="shared" si="43"/>
        <v>341192.69489482319</v>
      </c>
      <c r="P78" s="144">
        <f t="shared" si="43"/>
        <v>314074.37053822295</v>
      </c>
      <c r="Q78" s="144">
        <f t="shared" si="43"/>
        <v>315107.19057763403</v>
      </c>
      <c r="R78" s="144">
        <f t="shared" si="43"/>
        <v>310596.99489026307</v>
      </c>
      <c r="S78" s="144">
        <f t="shared" si="43"/>
        <v>306293.87850499584</v>
      </c>
      <c r="T78" s="144">
        <f t="shared" si="43"/>
        <v>308012.10563686007</v>
      </c>
      <c r="U78" s="144">
        <f t="shared" si="43"/>
        <v>309920.8485534183</v>
      </c>
      <c r="V78" s="144">
        <f t="shared" si="43"/>
        <v>311676.99647715053</v>
      </c>
      <c r="W78" s="144">
        <f t="shared" si="43"/>
        <v>313627.50241134351</v>
      </c>
      <c r="X78" s="144">
        <f t="shared" si="43"/>
        <v>265417.08729938377</v>
      </c>
      <c r="Y78" s="144">
        <f t="shared" si="43"/>
        <v>267402.8539117109</v>
      </c>
      <c r="Z78" s="144">
        <f t="shared" si="43"/>
        <v>269411.47948991408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2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2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2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1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7.6007616639579556E-3</v>
      </c>
      <c r="O82" s="188">
        <f t="shared" ref="O82:V82" si="44">O81/N81-1</f>
        <v>4.0136860113175743E-3</v>
      </c>
      <c r="P82" s="188">
        <f t="shared" si="44"/>
        <v>4.5874565830001934E-3</v>
      </c>
      <c r="Q82" s="188">
        <f t="shared" si="44"/>
        <v>5.349337856350056E-3</v>
      </c>
      <c r="R82" s="188">
        <f t="shared" si="44"/>
        <v>7.6751629251632369E-3</v>
      </c>
      <c r="S82" s="188">
        <f t="shared" si="44"/>
        <v>8.6754073889772076E-3</v>
      </c>
      <c r="T82" s="188">
        <f t="shared" si="44"/>
        <v>8.7089733593570529E-3</v>
      </c>
      <c r="U82" s="188">
        <f t="shared" si="44"/>
        <v>9.5910894990536288E-3</v>
      </c>
      <c r="V82" s="188">
        <f t="shared" si="44"/>
        <v>8.7404962520121199E-3</v>
      </c>
      <c r="W82" s="188">
        <f t="shared" ref="W82" si="45">W81/V81-1</f>
        <v>9.6237163965120498E-3</v>
      </c>
      <c r="X82" s="188">
        <f t="shared" ref="X82" si="46">X81/W81-1</f>
        <v>8.7455736250097171E-3</v>
      </c>
      <c r="Y82" s="188">
        <f>Y81/X81-1</f>
        <v>9.6201658414400981E-3</v>
      </c>
      <c r="Z82" s="188">
        <f t="shared" ref="Z82" si="47">Z81/Y81-1</f>
        <v>9.6381865243273523E-3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2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2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2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2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2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2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3741557.333333333</v>
      </c>
      <c r="M88" s="199">
        <f t="shared" si="50"/>
        <v>2466001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2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1399852.444352445</v>
      </c>
      <c r="P89" s="143">
        <f t="shared" si="52"/>
        <v>1427806.3628181037</v>
      </c>
      <c r="Q89" s="143">
        <f t="shared" si="52"/>
        <v>1450806.0635893014</v>
      </c>
      <c r="R89" s="143">
        <f t="shared" si="52"/>
        <v>1492929.5716858052</v>
      </c>
      <c r="S89" s="143">
        <f t="shared" si="52"/>
        <v>1524430.4994929326</v>
      </c>
      <c r="T89" s="143">
        <f t="shared" si="52"/>
        <v>1514022.1565280114</v>
      </c>
      <c r="U89" s="143">
        <f t="shared" si="52"/>
        <v>1547616.8992879251</v>
      </c>
      <c r="V89" s="143">
        <f t="shared" si="52"/>
        <v>1558308.4020894403</v>
      </c>
      <c r="W89" s="143">
        <f t="shared" si="52"/>
        <v>1082461.8259487266</v>
      </c>
      <c r="X89" s="143">
        <f t="shared" si="52"/>
        <v>1093369.8929553684</v>
      </c>
      <c r="Y89" s="143">
        <f t="shared" si="52"/>
        <v>1104387.8815527481</v>
      </c>
      <c r="Z89" s="143">
        <f t="shared" si="52"/>
        <v>0</v>
      </c>
      <c r="AM89" s="243"/>
    </row>
    <row r="90" spans="1:39" s="35" customFormat="1" x14ac:dyDescent="0.2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2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2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2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2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2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2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2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2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202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2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2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2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2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2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2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2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548584.66666666674</v>
      </c>
      <c r="M105" s="199">
        <f t="shared" si="64"/>
        <v>528408</v>
      </c>
      <c r="N105" s="223">
        <f t="shared" si="64"/>
        <v>410935.78488041688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2">
      <c r="A106" s="141" t="s">
        <v>214</v>
      </c>
      <c r="B106" s="141"/>
      <c r="E106" s="141"/>
      <c r="F106" s="203">
        <f t="shared" ref="F106:K106" si="65">F94-F87</f>
        <v>200195</v>
      </c>
      <c r="G106" s="203">
        <f t="shared" si="65"/>
        <v>194843</v>
      </c>
      <c r="H106" s="203">
        <f t="shared" si="65"/>
        <v>195304</v>
      </c>
      <c r="I106" s="203">
        <f t="shared" si="65"/>
        <v>203441</v>
      </c>
      <c r="J106" s="203">
        <f t="shared" si="65"/>
        <v>208223</v>
      </c>
      <c r="K106" s="203">
        <f t="shared" si="65"/>
        <v>200667</v>
      </c>
      <c r="L106" s="203">
        <f>L94-L87</f>
        <v>156183</v>
      </c>
      <c r="M106" s="199">
        <f t="shared" ref="M106:Y106" si="66">M94-M87</f>
        <v>197631</v>
      </c>
      <c r="N106" s="142">
        <f t="shared" si="66"/>
        <v>180968.4973804169</v>
      </c>
      <c r="O106" s="142">
        <f t="shared" si="66"/>
        <v>184232.02564747212</v>
      </c>
      <c r="P106" s="142">
        <f t="shared" si="66"/>
        <v>186070.45989832829</v>
      </c>
      <c r="Q106" s="142">
        <f t="shared" si="66"/>
        <v>186070.45989832829</v>
      </c>
      <c r="R106" s="142">
        <f t="shared" si="66"/>
        <v>186070.45989832829</v>
      </c>
      <c r="S106" s="142">
        <f t="shared" si="66"/>
        <v>186070.45989832829</v>
      </c>
      <c r="T106" s="142">
        <f t="shared" si="66"/>
        <v>229009.79679794249</v>
      </c>
      <c r="U106" s="142">
        <f t="shared" si="66"/>
        <v>229009.79679794249</v>
      </c>
      <c r="V106" s="142">
        <f t="shared" si="66"/>
        <v>229009.79679794249</v>
      </c>
      <c r="W106" s="142">
        <f t="shared" si="66"/>
        <v>0</v>
      </c>
      <c r="X106" s="142">
        <f t="shared" si="66"/>
        <v>0</v>
      </c>
      <c r="Y106" s="142">
        <f t="shared" si="66"/>
        <v>0</v>
      </c>
      <c r="AM106" s="243"/>
    </row>
    <row r="107" spans="1:39" s="141" customFormat="1" x14ac:dyDescent="0.2">
      <c r="A107" s="141" t="s">
        <v>232</v>
      </c>
      <c r="C107" s="35"/>
      <c r="D107" s="35"/>
      <c r="F107" s="203">
        <f t="shared" ref="F107:K107" si="67">F105-F106</f>
        <v>139025</v>
      </c>
      <c r="G107" s="203">
        <f t="shared" si="67"/>
        <v>139342</v>
      </c>
      <c r="H107" s="203">
        <f t="shared" si="67"/>
        <v>140228</v>
      </c>
      <c r="I107" s="203">
        <f t="shared" si="67"/>
        <v>141105</v>
      </c>
      <c r="J107" s="203">
        <f t="shared" si="67"/>
        <v>141335</v>
      </c>
      <c r="K107" s="203">
        <f t="shared" si="67"/>
        <v>142991</v>
      </c>
      <c r="L107" s="203">
        <f>L105-L106</f>
        <v>392401.66666666674</v>
      </c>
      <c r="M107" s="203">
        <f>M105-M106</f>
        <v>330777</v>
      </c>
      <c r="N107" s="142">
        <f t="shared" ref="N107:Y107" si="68">N105-N106</f>
        <v>229967.28749999998</v>
      </c>
      <c r="O107" s="142">
        <f t="shared" si="68"/>
        <v>203324.70571875002</v>
      </c>
      <c r="P107" s="142">
        <f t="shared" si="68"/>
        <v>187683.01748304686</v>
      </c>
      <c r="Q107" s="142">
        <f t="shared" si="68"/>
        <v>188401.43257046212</v>
      </c>
      <c r="R107" s="142">
        <f t="shared" si="68"/>
        <v>189484.44331474055</v>
      </c>
      <c r="S107" s="142">
        <f t="shared" si="68"/>
        <v>190939.28774788789</v>
      </c>
      <c r="T107" s="142">
        <f t="shared" si="68"/>
        <v>192487.11187147116</v>
      </c>
      <c r="U107" s="142">
        <f t="shared" si="68"/>
        <v>193881.98894726951</v>
      </c>
      <c r="V107" s="142">
        <f t="shared" si="68"/>
        <v>195111.68321145978</v>
      </c>
      <c r="W107" s="142">
        <f t="shared" si="68"/>
        <v>0</v>
      </c>
      <c r="X107" s="142">
        <f t="shared" si="68"/>
        <v>0</v>
      </c>
      <c r="Y107" s="142">
        <f t="shared" si="68"/>
        <v>0</v>
      </c>
      <c r="AM107" s="267"/>
    </row>
    <row r="108" spans="1:39" s="35" customFormat="1" x14ac:dyDescent="0.2">
      <c r="A108"/>
      <c r="F108" s="220"/>
      <c r="G108" s="220"/>
      <c r="H108" s="220"/>
      <c r="I108" s="220"/>
      <c r="J108" s="220"/>
      <c r="K108" s="220"/>
      <c r="L108" s="135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2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2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358</v>
      </c>
      <c r="B1" s="97" t="s">
        <v>360</v>
      </c>
      <c r="C1" s="97" t="s">
        <v>361</v>
      </c>
    </row>
    <row r="2" spans="1:3" x14ac:dyDescent="0.2">
      <c r="A2" s="306" t="s">
        <v>363</v>
      </c>
      <c r="B2" s="306">
        <v>325</v>
      </c>
      <c r="C2" s="307">
        <f>B2*1000</f>
        <v>325000</v>
      </c>
    </row>
    <row r="3" spans="1:3" x14ac:dyDescent="0.2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2">
      <c r="A4" s="306" t="s">
        <v>20</v>
      </c>
      <c r="B4" s="306">
        <v>166</v>
      </c>
      <c r="C4" s="307">
        <f t="shared" si="0"/>
        <v>166000</v>
      </c>
    </row>
    <row r="5" spans="1:3" x14ac:dyDescent="0.2">
      <c r="A5" s="306" t="s">
        <v>199</v>
      </c>
      <c r="B5" s="306">
        <v>82</v>
      </c>
      <c r="C5" s="307">
        <f t="shared" si="0"/>
        <v>82000</v>
      </c>
    </row>
    <row r="6" spans="1:3" x14ac:dyDescent="0.2">
      <c r="A6" s="306" t="s">
        <v>365</v>
      </c>
      <c r="B6" s="306">
        <v>63</v>
      </c>
      <c r="C6" s="307">
        <f t="shared" si="0"/>
        <v>63000</v>
      </c>
    </row>
    <row r="7" spans="1:3" x14ac:dyDescent="0.2">
      <c r="A7" s="308" t="s">
        <v>355</v>
      </c>
      <c r="B7">
        <v>22</v>
      </c>
      <c r="C7" s="307">
        <f>B7*1000</f>
        <v>22000</v>
      </c>
    </row>
    <row r="8" spans="1:3" x14ac:dyDescent="0.2">
      <c r="A8" s="177" t="s">
        <v>356</v>
      </c>
      <c r="B8">
        <v>20</v>
      </c>
      <c r="C8" s="307">
        <f>B8*1000</f>
        <v>20000</v>
      </c>
    </row>
    <row r="9" spans="1:3" x14ac:dyDescent="0.2">
      <c r="A9" s="177" t="s">
        <v>357</v>
      </c>
      <c r="B9">
        <v>9</v>
      </c>
      <c r="C9" s="307">
        <f>B9*1000</f>
        <v>9000</v>
      </c>
    </row>
    <row r="10" spans="1:3" x14ac:dyDescent="0.2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2">
      <c r="A11" s="309" t="s">
        <v>366</v>
      </c>
      <c r="B11" s="306">
        <v>45</v>
      </c>
      <c r="C11" s="307">
        <f t="shared" si="0"/>
        <v>45000</v>
      </c>
    </row>
    <row r="12" spans="1:3" x14ac:dyDescent="0.2">
      <c r="A12" s="308" t="s">
        <v>367</v>
      </c>
      <c r="B12" s="306">
        <v>16</v>
      </c>
      <c r="C12" s="307">
        <f t="shared" si="0"/>
        <v>16000</v>
      </c>
    </row>
    <row r="13" spans="1:3" x14ac:dyDescent="0.2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2">
      <c r="A14" s="309" t="s">
        <v>368</v>
      </c>
      <c r="B14" s="306">
        <v>80</v>
      </c>
      <c r="C14" s="307">
        <f t="shared" si="0"/>
        <v>80000</v>
      </c>
    </row>
    <row r="15" spans="1:3" x14ac:dyDescent="0.2">
      <c r="A15" s="308" t="s">
        <v>349</v>
      </c>
      <c r="B15" s="306">
        <v>26</v>
      </c>
      <c r="C15" s="307">
        <f t="shared" si="0"/>
        <v>26000</v>
      </c>
    </row>
    <row r="16" spans="1:3" x14ac:dyDescent="0.2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2">
      <c r="A17" s="309" t="s">
        <v>369</v>
      </c>
      <c r="B17">
        <v>30</v>
      </c>
      <c r="C17" s="307">
        <f t="shared" si="0"/>
        <v>30000</v>
      </c>
    </row>
    <row r="18" spans="1:3" x14ac:dyDescent="0.2">
      <c r="A18" s="308" t="s">
        <v>370</v>
      </c>
      <c r="B18">
        <v>20</v>
      </c>
      <c r="C18" s="307">
        <f t="shared" si="0"/>
        <v>20000</v>
      </c>
    </row>
    <row r="19" spans="1:3" x14ac:dyDescent="0.2">
      <c r="A19" s="308" t="s">
        <v>371</v>
      </c>
      <c r="B19">
        <v>5</v>
      </c>
      <c r="C19" s="307">
        <f t="shared" si="0"/>
        <v>5000</v>
      </c>
    </row>
    <row r="20" spans="1:3" ht="16" thickBot="1" x14ac:dyDescent="0.25">
      <c r="A20" s="310" t="s">
        <v>372</v>
      </c>
      <c r="B20" s="311">
        <v>5</v>
      </c>
      <c r="C20" s="312">
        <f t="shared" si="0"/>
        <v>5000</v>
      </c>
    </row>
    <row r="21" spans="1:3" x14ac:dyDescent="0.2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65" sqref="G6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20" t="s">
        <v>208</v>
      </c>
      <c r="B1" s="321"/>
      <c r="C1" s="35"/>
      <c r="H1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I2" s="251"/>
      <c r="J2" s="328"/>
    </row>
    <row r="3" spans="1:27" x14ac:dyDescent="0.2">
      <c r="A3" s="323"/>
      <c r="B3" s="127"/>
      <c r="C3" t="s">
        <v>194</v>
      </c>
      <c r="I3" s="251"/>
      <c r="J3" s="328"/>
    </row>
    <row r="4" spans="1:27" x14ac:dyDescent="0.2">
      <c r="A4" s="323"/>
      <c r="B4" s="128"/>
      <c r="C4" t="s">
        <v>195</v>
      </c>
    </row>
    <row r="5" spans="1:27" x14ac:dyDescent="0.2">
      <c r="A5" s="324"/>
      <c r="B5" s="129"/>
      <c r="C5" t="s">
        <v>182</v>
      </c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2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main!L107/1000</f>
        <v>392.40166666666676</v>
      </c>
      <c r="F31" s="104">
        <f>main!M107/1000</f>
        <v>330.77699999999999</v>
      </c>
      <c r="G31" s="104">
        <f>main!N107/1000</f>
        <v>229.96728749999997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110.25698590656407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1909.1908330926583</v>
      </c>
      <c r="H38" s="104">
        <f>main!O22</f>
        <v>1940.8545978916857</v>
      </c>
      <c r="I38" s="104">
        <f>main!P22</f>
        <v>1971.716984299685</v>
      </c>
      <c r="J38" s="104">
        <f>main!Q22</f>
        <v>2004.7039552792487</v>
      </c>
      <c r="K38" s="149">
        <f>main!R22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92.023996135920015</v>
      </c>
      <c r="H44" s="104">
        <f>main!O26</f>
        <v>93.550206150659264</v>
      </c>
      <c r="I44" s="104">
        <f>main!P26</f>
        <v>95.037789308050833</v>
      </c>
      <c r="J44" s="104">
        <f>main!Q26</f>
        <v>96.627778552364219</v>
      </c>
      <c r="K44" s="149">
        <f>main!R26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1399.852444352445</v>
      </c>
      <c r="I50" s="104">
        <f>main!P89/1000</f>
        <v>1427.8063628181037</v>
      </c>
      <c r="J50" s="232">
        <f>main!Q89/1000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15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794.08358333333342</v>
      </c>
      <c r="I64" s="104">
        <f>main!P50/1000</f>
        <v>794.08358333333342</v>
      </c>
      <c r="J64" s="104">
        <f>main!Q50/1000</f>
        <v>144.08358333333331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15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-426.91177522010059</v>
      </c>
      <c r="I67" s="225">
        <f t="shared" si="103"/>
        <v>-431.32456398056468</v>
      </c>
      <c r="J67" s="225">
        <f t="shared" si="103"/>
        <v>-1086.0898722425786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298.42437754843183</v>
      </c>
      <c r="H71" s="226">
        <f>main!O78/1000</f>
        <v>341.19269489482321</v>
      </c>
      <c r="I71" s="226">
        <f>main!P78/1000</f>
        <v>314.07437053822298</v>
      </c>
      <c r="J71" s="226">
        <f>main!Q78/1000</f>
        <v>315.10719057763401</v>
      </c>
      <c r="K71" s="151">
        <f>main!R78/1000</f>
        <v>310.59699489026309</v>
      </c>
      <c r="L71" s="226">
        <f>main!S78/1000</f>
        <v>306.29387850499586</v>
      </c>
      <c r="M71" s="226">
        <f>main!T78/1000</f>
        <v>308.01210563686004</v>
      </c>
      <c r="N71" s="226">
        <f>main!U78/1000</f>
        <v>309.9208485534183</v>
      </c>
      <c r="O71" s="151">
        <f>main!V78/1000</f>
        <v>311.67699647715051</v>
      </c>
      <c r="P71" s="258">
        <f>main!W78/1000</f>
        <v>313.62750241134353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69.293656609261546</v>
      </c>
      <c r="H74" s="225">
        <f t="shared" si="118"/>
        <v>127.66634709591</v>
      </c>
      <c r="I74" s="225">
        <f t="shared" si="118"/>
        <v>115.71788019966229</v>
      </c>
      <c r="J74" s="225">
        <f t="shared" si="118"/>
        <v>131.34120345955321</v>
      </c>
      <c r="K74" s="150">
        <f t="shared" si="118"/>
        <v>115.54367465655329</v>
      </c>
      <c r="L74" s="225">
        <f t="shared" ref="L74:N74" si="119">L71-L72</f>
        <v>99.159465844497163</v>
      </c>
      <c r="M74" s="225">
        <f t="shared" si="119"/>
        <v>88.714788339062352</v>
      </c>
      <c r="N74" s="225">
        <f t="shared" si="119"/>
        <v>77.730357216756403</v>
      </c>
      <c r="O74" s="150">
        <f t="shared" ref="O74:AA74" si="120">O71-O72</f>
        <v>67.23297832179702</v>
      </c>
      <c r="P74" s="260">
        <f t="shared" si="120"/>
        <v>56.184960332640401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I1" activePane="topRight" state="frozen"/>
      <selection pane="topRight" activeCell="L6" sqref="L6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>
        <v>0</v>
      </c>
      <c r="L2" cm="1">
        <f t="array" ref="L2:L6">TRANSPOSE(main!L38:P38)/1000</f>
        <v>834.93333333333328</v>
      </c>
      <c r="M2" cm="1">
        <f t="array" ref="M2:M12">TRANSPOSE(main!L42:V42)/1000</f>
        <v>249.06666666666672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-20.937831399481894</v>
      </c>
      <c r="C4">
        <v>110.25698590656407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102">
        <v>0</v>
      </c>
      <c r="K4" s="102">
        <v>344.8</v>
      </c>
      <c r="L4">
        <v>257.8</v>
      </c>
      <c r="M4">
        <v>87</v>
      </c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-426.91177522010059</v>
      </c>
      <c r="I5">
        <v>127.66634709591</v>
      </c>
      <c r="J5">
        <v>0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13">
        <f>664000/1000</f>
        <v>664</v>
      </c>
    </row>
    <row r="6" spans="1:16" x14ac:dyDescent="0.2">
      <c r="A6" s="190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-431.32456398056468</v>
      </c>
      <c r="I6">
        <v>115.71788019966229</v>
      </c>
      <c r="J6">
        <v>0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90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-1086.0898722425786</v>
      </c>
      <c r="I7">
        <v>131.34120345955321</v>
      </c>
      <c r="J7" s="102">
        <v>0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90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115.54367465655329</v>
      </c>
      <c r="J8" s="102">
        <v>0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99.159465844497163</v>
      </c>
      <c r="J9" s="102">
        <v>0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88.714788339062352</v>
      </c>
      <c r="J10" s="102">
        <v>0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77.730357216756403</v>
      </c>
      <c r="J11" s="102">
        <v>0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67.23297832179702</v>
      </c>
      <c r="J12" s="102">
        <v>0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56.184960332640401</v>
      </c>
      <c r="J13" s="102">
        <v>0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J14" s="102">
        <v>0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J15" s="102">
        <v>0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J16" s="102">
        <v>0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J17" s="102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J18" s="102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J19" s="102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J20" s="102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J21" s="102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J22" s="10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J23" s="102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J24" s="102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15" t="s">
        <v>21</v>
      </c>
      <c r="E1" s="315"/>
      <c r="F1" s="315"/>
      <c r="G1" s="315"/>
      <c r="H1" s="315" t="s">
        <v>9</v>
      </c>
      <c r="I1" s="315"/>
      <c r="J1" s="315"/>
      <c r="K1" s="315"/>
      <c r="L1" s="315" t="s">
        <v>10</v>
      </c>
      <c r="M1" s="315"/>
      <c r="N1" s="315"/>
      <c r="O1" s="315"/>
      <c r="P1" s="315" t="s">
        <v>11</v>
      </c>
      <c r="Q1" s="315"/>
      <c r="R1" s="315"/>
      <c r="S1" s="315"/>
      <c r="T1" s="315" t="s">
        <v>268</v>
      </c>
      <c r="U1" s="315"/>
      <c r="V1" s="315"/>
      <c r="W1" s="315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2855130.6794988289</v>
      </c>
      <c r="M3" s="266">
        <f>main!O30</f>
        <v>3244347.6672774283</v>
      </c>
      <c r="N3" s="266">
        <f>main!P30</f>
        <v>2682732.759694315</v>
      </c>
      <c r="O3" s="266">
        <f>main!Q30</f>
        <v>2585488.623825727</v>
      </c>
      <c r="P3" s="266">
        <f>main!R30</f>
        <v>2651916.1476522055</v>
      </c>
      <c r="Q3" s="266">
        <f>main!S30</f>
        <v>2708085.6514252573</v>
      </c>
      <c r="R3" s="266">
        <f>main!T30</f>
        <v>2765655.2499653636</v>
      </c>
      <c r="S3" s="266">
        <f>main!U30</f>
        <v>2824664.1763997721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875499.75597117806</v>
      </c>
      <c r="N4" s="220">
        <f>main!P31</f>
        <v>898221.20772286167</v>
      </c>
      <c r="O4" s="220">
        <f>main!Q31</f>
        <v>921220.90849405946</v>
      </c>
      <c r="P4" s="220">
        <f>main!R31</f>
        <v>963344.41659056314</v>
      </c>
      <c r="Q4" s="220">
        <f>main!S31</f>
        <v>994845.34439769038</v>
      </c>
      <c r="R4" s="220">
        <f>main!T31</f>
        <v>1027376.3383323837</v>
      </c>
      <c r="S4" s="220">
        <f>main!U31</f>
        <v>1060971.0810922973</v>
      </c>
      <c r="T4" s="220">
        <f>main!V31</f>
        <v>1071662.5838938125</v>
      </c>
      <c r="U4" s="220">
        <f>main!W31</f>
        <v>1082461.8259487266</v>
      </c>
      <c r="V4" s="220">
        <f>main!X31</f>
        <v>1093369.8929553684</v>
      </c>
      <c r="W4" s="220">
        <f>main!Y31</f>
        <v>1104387.8815527481</v>
      </c>
      <c r="AJ4" s="243"/>
    </row>
    <row r="5" spans="1:36" s="35" customFormat="1" x14ac:dyDescent="0.2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2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20" t="s">
        <v>208</v>
      </c>
      <c r="B1" s="321"/>
      <c r="C1" s="35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H2" s="95"/>
      <c r="I2" s="251"/>
      <c r="J2" s="328"/>
    </row>
    <row r="3" spans="1:27" x14ac:dyDescent="0.2">
      <c r="A3" s="323"/>
      <c r="B3" s="127"/>
      <c r="C3" t="s">
        <v>194</v>
      </c>
      <c r="H3" s="95"/>
      <c r="I3" s="251"/>
      <c r="J3" s="328"/>
    </row>
    <row r="4" spans="1:27" x14ac:dyDescent="0.2">
      <c r="A4" s="323"/>
      <c r="B4" s="128"/>
      <c r="C4" t="s">
        <v>195</v>
      </c>
      <c r="H4" s="95"/>
      <c r="I4" s="95"/>
      <c r="J4" s="95"/>
    </row>
    <row r="5" spans="1:27" x14ac:dyDescent="0.2">
      <c r="A5" s="324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68" customFormat="1" x14ac:dyDescent="0.2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ht="16" x14ac:dyDescent="0.2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ht="16" x14ac:dyDescent="0.2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ht="16" x14ac:dyDescent="0.2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ht="16" x14ac:dyDescent="0.2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ht="16" x14ac:dyDescent="0.2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ht="16" x14ac:dyDescent="0.2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ht="16" x14ac:dyDescent="0.2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ht="16" x14ac:dyDescent="0.2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ht="16" x14ac:dyDescent="0.2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2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2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2">
      <c r="A3" s="271">
        <v>44196</v>
      </c>
      <c r="B3" s="270">
        <v>-29.642475517646631</v>
      </c>
      <c r="C3" s="270">
        <v>718.96612748239181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69.293656609261546</v>
      </c>
    </row>
    <row r="4" spans="1:9" x14ac:dyDescent="0.2">
      <c r="A4" s="271">
        <v>44286</v>
      </c>
      <c r="B4" s="270">
        <v>-43.765601471299647</v>
      </c>
      <c r="C4" s="270">
        <v>756.43646274752768</v>
      </c>
      <c r="D4" s="270">
        <v>5.0819956777559128E-2</v>
      </c>
      <c r="E4" s="270">
        <v>0</v>
      </c>
      <c r="F4" s="270">
        <v>58.379353230327069</v>
      </c>
      <c r="G4" s="270">
        <v>1175.784569445726</v>
      </c>
      <c r="H4" s="270">
        <v>-426.91177522010059</v>
      </c>
      <c r="I4" s="270">
        <v>127.66634709591</v>
      </c>
    </row>
    <row r="5" spans="1:9" x14ac:dyDescent="0.2">
      <c r="A5" s="271">
        <v>44377</v>
      </c>
      <c r="B5" s="270">
        <v>-63.369858256487646</v>
      </c>
      <c r="C5" s="270">
        <v>788.42127504542532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-431.32456398056468</v>
      </c>
      <c r="I5" s="270">
        <v>115.71788019966229</v>
      </c>
    </row>
    <row r="6" spans="1:9" x14ac:dyDescent="0.2">
      <c r="A6" s="271">
        <v>44469</v>
      </c>
      <c r="B6" s="270">
        <v>-90.045016006506785</v>
      </c>
      <c r="C6" s="270">
        <v>811.56513372945358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-1086.0898722425786</v>
      </c>
      <c r="I6" s="270">
        <v>131.34120345955321</v>
      </c>
    </row>
    <row r="7" spans="1:9" x14ac:dyDescent="0.2">
      <c r="A7" s="271">
        <v>44561</v>
      </c>
      <c r="B7" s="270">
        <v>-82.025340150088255</v>
      </c>
      <c r="C7" s="270">
        <v>798.22202453105353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-1112.559918312772</v>
      </c>
      <c r="I7" s="270">
        <v>115.54367465655329</v>
      </c>
    </row>
    <row r="8" spans="1:9" x14ac:dyDescent="0.2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99.159465844497163</v>
      </c>
    </row>
    <row r="9" spans="1:9" x14ac:dyDescent="0.2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88.714788339062352</v>
      </c>
    </row>
    <row r="10" spans="1:9" x14ac:dyDescent="0.2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77.730357216756403</v>
      </c>
    </row>
    <row r="11" spans="1:9" x14ac:dyDescent="0.2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67.23297832179702</v>
      </c>
    </row>
    <row r="12" spans="1:9" x14ac:dyDescent="0.2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56.184960332640401</v>
      </c>
    </row>
    <row r="13" spans="1:9" x14ac:dyDescent="0.2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2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2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2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2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2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2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2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2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2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2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98" customFormat="1" x14ac:dyDescent="0.2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239</v>
      </c>
      <c r="C8" s="161"/>
      <c r="D8" s="162">
        <f>SUMPRODUCT(B5:B6,C5:C6)</f>
        <v>0.52500000000000002</v>
      </c>
    </row>
    <row r="9" spans="1:16" x14ac:dyDescent="0.2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2"/>
      <c r="S8" s="33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16" t="s">
        <v>208</v>
      </c>
      <c r="B1" s="316"/>
      <c r="C1" s="35"/>
      <c r="H1"/>
      <c r="I1"/>
      <c r="J1"/>
      <c r="X1" t="s">
        <v>28</v>
      </c>
      <c r="Z1" s="334" t="s">
        <v>84</v>
      </c>
      <c r="AA1" s="334"/>
      <c r="AB1" s="334"/>
      <c r="AC1" s="315"/>
      <c r="AD1" s="315"/>
      <c r="AE1" s="315"/>
      <c r="AF1" s="315"/>
    </row>
    <row r="2" spans="1:32" x14ac:dyDescent="0.2">
      <c r="A2" s="335" t="s">
        <v>192</v>
      </c>
      <c r="B2" s="107"/>
      <c r="C2" t="s">
        <v>193</v>
      </c>
    </row>
    <row r="3" spans="1:32" x14ac:dyDescent="0.2">
      <c r="A3" s="335"/>
      <c r="B3" s="108"/>
      <c r="C3" t="s">
        <v>194</v>
      </c>
    </row>
    <row r="4" spans="1:32" x14ac:dyDescent="0.2">
      <c r="A4" s="335"/>
      <c r="B4" s="109"/>
      <c r="C4" t="s">
        <v>195</v>
      </c>
    </row>
    <row r="5" spans="1:32" x14ac:dyDescent="0.2">
      <c r="A5" s="335"/>
      <c r="B5" s="98"/>
      <c r="C5" t="s">
        <v>182</v>
      </c>
    </row>
    <row r="7" spans="1:32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7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794.08358333333342</v>
      </c>
      <c r="I70" s="102">
        <f>main!P50/1000</f>
        <v>794.08358333333342</v>
      </c>
      <c r="J70" s="102">
        <f>main!Q50/1000</f>
        <v>144.08358333333331</v>
      </c>
      <c r="K70" s="102">
        <f>main!R50/1000</f>
        <v>122.75024999999999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F2" zoomScale="110" zoomScaleNormal="110" workbookViewId="0">
      <selection activeCell="N35" sqref="N35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41" t="s">
        <v>104</v>
      </c>
      <c r="B2" s="341"/>
      <c r="C2" s="341"/>
      <c r="D2" s="341"/>
      <c r="E2" s="341"/>
      <c r="F2" s="341"/>
      <c r="G2" s="341"/>
      <c r="H2" s="341"/>
      <c r="I2" s="341"/>
      <c r="J2" s="341"/>
      <c r="K2" s="77"/>
    </row>
    <row r="3" spans="1:24" x14ac:dyDescent="0.2">
      <c r="A3" s="341" t="s">
        <v>105</v>
      </c>
      <c r="B3" s="341"/>
      <c r="C3" s="341"/>
      <c r="D3" s="341"/>
      <c r="E3" s="341"/>
      <c r="F3" s="341"/>
      <c r="G3" s="341"/>
      <c r="H3" s="341"/>
      <c r="I3" s="341"/>
      <c r="J3" s="341"/>
      <c r="K3" s="77"/>
    </row>
    <row r="4" spans="1:24" ht="16" thickBot="1" x14ac:dyDescent="0.25">
      <c r="A4" s="342"/>
      <c r="B4" s="342"/>
      <c r="C4" s="342"/>
      <c r="D4" s="342"/>
      <c r="E4" s="342"/>
      <c r="F4" s="342"/>
      <c r="G4" s="342"/>
      <c r="H4" s="342"/>
      <c r="I4" s="342"/>
      <c r="J4" s="342"/>
      <c r="K4" s="347" t="s">
        <v>160</v>
      </c>
      <c r="L4" s="347"/>
      <c r="M4" s="347"/>
      <c r="N4" s="347"/>
    </row>
    <row r="5" spans="1:24" x14ac:dyDescent="0.2">
      <c r="A5" s="47"/>
      <c r="B5" s="48"/>
      <c r="C5" s="343" t="s">
        <v>106</v>
      </c>
      <c r="D5" s="344"/>
      <c r="E5" s="344"/>
      <c r="F5" s="344"/>
      <c r="G5" s="344"/>
      <c r="H5" s="344"/>
      <c r="I5" s="344"/>
      <c r="J5" s="345"/>
      <c r="K5" s="78"/>
      <c r="L5" s="346" t="s">
        <v>107</v>
      </c>
      <c r="M5" s="315"/>
      <c r="N5" s="315"/>
    </row>
    <row r="6" spans="1:24" x14ac:dyDescent="0.2">
      <c r="A6" s="1" t="s">
        <v>109</v>
      </c>
      <c r="B6" s="49"/>
      <c r="C6" s="337">
        <v>2020</v>
      </c>
      <c r="D6" s="338"/>
      <c r="E6" s="338"/>
      <c r="F6" s="338"/>
      <c r="G6" s="338"/>
      <c r="H6" s="338"/>
      <c r="I6" s="338"/>
      <c r="J6" s="33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5" t="s">
        <v>9</v>
      </c>
      <c r="L22" s="315"/>
      <c r="M22" s="315"/>
      <c r="N22" s="315"/>
      <c r="O22" s="315" t="s">
        <v>10</v>
      </c>
      <c r="P22" s="315"/>
      <c r="Q22" s="315"/>
      <c r="R22" s="315"/>
      <c r="S22" s="315" t="s">
        <v>11</v>
      </c>
      <c r="T22" s="315"/>
      <c r="U22" s="315"/>
      <c r="V22" s="315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0" t="s">
        <v>108</v>
      </c>
      <c r="L23" s="340"/>
      <c r="M23" s="340"/>
      <c r="N23" s="340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36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3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3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36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36" t="s">
        <v>141</v>
      </c>
      <c r="J33" s="85" t="s">
        <v>259</v>
      </c>
      <c r="M33" s="72">
        <f>SUM(M28:M31)</f>
        <v>206.96666666666664</v>
      </c>
      <c r="N33" s="72">
        <f t="shared" ref="N33:V33" si="9">SUM(N28:N31)</f>
        <v>141.25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36"/>
      <c r="J34" t="s">
        <v>260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49" t="s">
        <v>87</v>
      </c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9"/>
      <c r="R6" s="349"/>
    </row>
    <row r="7" spans="1:18" x14ac:dyDescent="0.2">
      <c r="A7" s="348" t="s">
        <v>88</v>
      </c>
      <c r="B7" s="348"/>
      <c r="C7" s="348"/>
      <c r="D7" s="34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48" t="s">
        <v>89</v>
      </c>
      <c r="C8" s="348"/>
      <c r="D8" s="34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48" t="s">
        <v>90</v>
      </c>
      <c r="C9" s="348"/>
      <c r="D9" s="34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48" t="s">
        <v>91</v>
      </c>
      <c r="C10" s="348"/>
      <c r="D10" s="34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48" t="s">
        <v>58</v>
      </c>
      <c r="C11" s="348"/>
      <c r="D11" s="34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48" t="s">
        <v>34</v>
      </c>
      <c r="D13" s="34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48" t="s">
        <v>89</v>
      </c>
      <c r="C19" s="348"/>
      <c r="D19" s="34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48" t="s">
        <v>90</v>
      </c>
      <c r="C20" s="348"/>
      <c r="D20" s="34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48" t="s">
        <v>91</v>
      </c>
      <c r="C21" s="348"/>
      <c r="D21" s="34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48" t="s">
        <v>58</v>
      </c>
      <c r="C22" s="348"/>
      <c r="D22" s="34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50" t="s">
        <v>95</v>
      </c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51" t="s">
        <v>99</v>
      </c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50" t="s">
        <v>101</v>
      </c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2" t="s">
        <v>34</v>
      </c>
      <c r="S8" s="33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52" t="s">
        <v>42</v>
      </c>
      <c r="E75" s="35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purl.org/dc/elements/1.1/"/>
    <ds:schemaRef ds:uri="http://www.w3.org/XML/1998/namespace"/>
    <ds:schemaRef ds:uri="cac5d118-ba7b-4807-b700-df6f95cfff50"/>
    <ds:schemaRef ds:uri="http://purl.org/dc/terms/"/>
    <ds:schemaRef ds:uri="http://schemas.microsoft.com/office/infopath/2007/PartnerControls"/>
    <ds:schemaRef ds:uri="http://schemas.microsoft.com/office/2006/documentManagement/types"/>
    <ds:schemaRef ds:uri="66951ee6-cd93-49c7-9437-e871b2a117d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2021-01-25T17:38:17Z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